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workbookProtection workbookAlgorithmName="SHA-512" workbookHashValue="euNQy8vUZhK0griFZxKs7fW3py+nE0hfwaeM/0DbzVcXRLoFWDX/CF5N35uA+S5xcZHqXhHp41V5DUJvIcEM+w==" workbookSpinCount="100000" workbookSaltValue="WHAtLjOK2KSRidDdd6ZEoQ==" lockStructure="1"/>
  <bookViews>
    <workbookView xWindow="65428" yWindow="65428" windowWidth="23256" windowHeight="12576" activeTab="2"/>
  </bookViews>
  <sheets>
    <sheet name="Krycí list rozpočtu" sheetId="4" r:id="rId1"/>
    <sheet name="Stavební rozpočet - součet" sheetId="2" r:id="rId2"/>
    <sheet name="Stavební rozpočet" sheetId="1" r:id="rId3"/>
    <sheet name="Výkaz výměr" sheetId="3" r:id="rId4"/>
    <sheet name="VORN" sheetId="5" state="hidden" r:id="rId5"/>
  </sheets>
  <definedNames>
    <definedName name="vorn_sum">'VORN'!$I$36</definedName>
  </definedNames>
  <calcPr calcId="191029"/>
</workbook>
</file>

<file path=xl/sharedStrings.xml><?xml version="1.0" encoding="utf-8"?>
<sst xmlns="http://schemas.openxmlformats.org/spreadsheetml/2006/main" count="6890" uniqueCount="1441">
  <si>
    <t>342941115R00</t>
  </si>
  <si>
    <t>B - Svítidlo LED 36W kruhové , IP43, 5070 lm</t>
  </si>
  <si>
    <t>360</t>
  </si>
  <si>
    <t>92</t>
  </si>
  <si>
    <t>Omítka stěrková s adhezním můstkem -pod obklady</t>
  </si>
  <si>
    <t>02</t>
  </si>
  <si>
    <t>penetrace povrchu+přeštukování původních stropů</t>
  </si>
  <si>
    <t>165</t>
  </si>
  <si>
    <t>711141559R00</t>
  </si>
  <si>
    <t>Bourání příček z tvárnic bet. dutinových tl.100 mm -dle pozn.11</t>
  </si>
  <si>
    <t>Vybourání kovových dveřních zárubní pl. do 2 m2 -dveře na chodby</t>
  </si>
  <si>
    <t>Doba výstavby:</t>
  </si>
  <si>
    <t>Hloubené vykopávky</t>
  </si>
  <si>
    <t>198</t>
  </si>
  <si>
    <t>297</t>
  </si>
  <si>
    <t>261</t>
  </si>
  <si>
    <t>vč.likvidace na skládce</t>
  </si>
  <si>
    <t>Provedení izolace proti vlhkosti na ploše vodorovné, asfaltovými pásy přitavením</t>
  </si>
  <si>
    <t>M+D Zásobník na toaletní papír dle popisu v PD -ozn.OS 09</t>
  </si>
  <si>
    <t>72251</t>
  </si>
  <si>
    <t>323</t>
  </si>
  <si>
    <t>72254</t>
  </si>
  <si>
    <t>Projektant</t>
  </si>
  <si>
    <t>67</t>
  </si>
  <si>
    <t>02_71_</t>
  </si>
  <si>
    <t>Drážky pro potrubí DN 32 až 50 - 120x120 mm ve stěně + oprava a začištění omítky</t>
  </si>
  <si>
    <t>209</t>
  </si>
  <si>
    <t>272</t>
  </si>
  <si>
    <t>D+M - Záslepka vnitřní na potrubí O 160 mm s gumovým těsněním</t>
  </si>
  <si>
    <t>226</t>
  </si>
  <si>
    <t>283</t>
  </si>
  <si>
    <t>Malby</t>
  </si>
  <si>
    <t>183</t>
  </si>
  <si>
    <t>D+M - Madlo univerzální 550 mm, pevné, nerez</t>
  </si>
  <si>
    <t>766661112RU2</t>
  </si>
  <si>
    <t>72245</t>
  </si>
  <si>
    <t>379</t>
  </si>
  <si>
    <t>73156</t>
  </si>
  <si>
    <t>103</t>
  </si>
  <si>
    <t>D+M - potrubí PP-RCT - d 20x2,8 mm</t>
  </si>
  <si>
    <t>D+M - Odpadní a připojovací potrubí (HT systém) DN 32</t>
  </si>
  <si>
    <t>Vyvěšení dřevěných dveřních křídel pl. do 2 m2 -dle pozn.06, 09, 10</t>
  </si>
  <si>
    <t>D+M - Odpadní a připojovací potrubí (HT systém) DN 50</t>
  </si>
  <si>
    <t>771101210R00</t>
  </si>
  <si>
    <t>Hydroizolační stěrka pod obklady -svislá</t>
  </si>
  <si>
    <t>trubka elektroinstalační ohebná D23 mm</t>
  </si>
  <si>
    <t>Penetrace podkladu pod dlažby</t>
  </si>
  <si>
    <t>005 24-1020.R</t>
  </si>
  <si>
    <t>166</t>
  </si>
  <si>
    <t>D+M - Přechod z kruhového potrubí O 160 mm na čtyřhranné potrubí - 40% tvarovek</t>
  </si>
  <si>
    <t>02_76_</t>
  </si>
  <si>
    <t>0,265+20,64+0,407+14,493+31,033+0,19+0,005</t>
  </si>
  <si>
    <t>228</t>
  </si>
  <si>
    <t>361</t>
  </si>
  <si>
    <t>73143</t>
  </si>
  <si>
    <t>Energie a jiná media</t>
  </si>
  <si>
    <t>91</t>
  </si>
  <si>
    <t>Vykopávka v uzavřených prostorách v hor.1-4 dle pozn.15</t>
  </si>
  <si>
    <t>D+M - Potrubí Oc DN 32</t>
  </si>
  <si>
    <t>87</t>
  </si>
  <si>
    <t>výměra: 17,579(18,865)m2 -provedení dle popisu v PD</t>
  </si>
  <si>
    <t>Základ 21%</t>
  </si>
  <si>
    <t>D+M - Zpětná klapka „motýlová“  pro kruhové potrubí O 160 mm, vyrobená z galvanizované oceli</t>
  </si>
  <si>
    <t>20</t>
  </si>
  <si>
    <t>998781101R00</t>
  </si>
  <si>
    <t>Přesun hmot pro obklady keramické, výšky do 6 m</t>
  </si>
  <si>
    <t>237</t>
  </si>
  <si>
    <t>Vypuštění otopné soustavy</t>
  </si>
  <si>
    <t>341110380</t>
  </si>
  <si>
    <t>Ukončení vodič izolovaný do 4 mm2 v rozváděči nebo na přístroji</t>
  </si>
  <si>
    <t>NUS celkem z obj.</t>
  </si>
  <si>
    <t>336</t>
  </si>
  <si>
    <t>D+M - Potrubí SPIRO do O 250 mm - 40% tvarovek</t>
  </si>
  <si>
    <t>998767101R00</t>
  </si>
  <si>
    <t>167</t>
  </si>
  <si>
    <t>Náklady (Kč) - celkem</t>
  </si>
  <si>
    <t>711</t>
  </si>
  <si>
    <t>72117</t>
  </si>
  <si>
    <t>73173</t>
  </si>
  <si>
    <t>74899220R</t>
  </si>
  <si>
    <t>2,169</t>
  </si>
  <si>
    <t>338</t>
  </si>
  <si>
    <t>2*(6,125+1,42*2+2,895+3,4)*3,3-2*(0,9*2,02)*2-2*(0,8*2,02)-2*(0,7*2,02)</t>
  </si>
  <si>
    <t>342261111R00</t>
  </si>
  <si>
    <t>171</t>
  </si>
  <si>
    <t>147</t>
  </si>
  <si>
    <t>(1,355+1,07)*0,3*0,4</t>
  </si>
  <si>
    <t>Název stavby:</t>
  </si>
  <si>
    <t>Ostatní materiál</t>
  </si>
  <si>
    <t>(1,355+1,37)*2+0,6*4*2</t>
  </si>
  <si>
    <t>48</t>
  </si>
  <si>
    <t>29</t>
  </si>
  <si>
    <t>D+M - Zo1 - Elektrický akumulační ohřívač teplé vody, pro svislou montáž o objemu 80 l.</t>
  </si>
  <si>
    <t>Vytápění</t>
  </si>
  <si>
    <t>Č</t>
  </si>
  <si>
    <t>stěny+stropy</t>
  </si>
  <si>
    <t>784111101R00</t>
  </si>
  <si>
    <t>10038862R</t>
  </si>
  <si>
    <t>767995201RU2</t>
  </si>
  <si>
    <t>72,041*7</t>
  </si>
  <si>
    <t>967031732RT1</t>
  </si>
  <si>
    <t>Příplatek za sklon mazaniny 15°-35°  tl. 8 - 12 cm</t>
  </si>
  <si>
    <t>72262</t>
  </si>
  <si>
    <t>721517</t>
  </si>
  <si>
    <t>Poznámka:</t>
  </si>
  <si>
    <t>Lak asfaltový izolační</t>
  </si>
  <si>
    <t>979990111R00</t>
  </si>
  <si>
    <t>Lokalita:</t>
  </si>
  <si>
    <t>79</t>
  </si>
  <si>
    <t>D+M - Ležaté potrubí PVC-KG DN 125</t>
  </si>
  <si>
    <t>71</t>
  </si>
  <si>
    <t>722710</t>
  </si>
  <si>
    <t>16</t>
  </si>
  <si>
    <t>PSV</t>
  </si>
  <si>
    <t>345715110</t>
  </si>
  <si>
    <t>357</t>
  </si>
  <si>
    <t>189</t>
  </si>
  <si>
    <t>24</t>
  </si>
  <si>
    <t>377</t>
  </si>
  <si>
    <t>Bez pevné podl.</t>
  </si>
  <si>
    <t>597642031</t>
  </si>
  <si>
    <t>Provoz dalšího subjektu</t>
  </si>
  <si>
    <t>327</t>
  </si>
  <si>
    <t>Celkem</t>
  </si>
  <si>
    <t>Protokoly, revize, zkoušky, testy</t>
  </si>
  <si>
    <t>Zařízení staveniště</t>
  </si>
  <si>
    <t>73141</t>
  </si>
  <si>
    <t>72271</t>
  </si>
  <si>
    <t>711140101R00</t>
  </si>
  <si>
    <t>Demontáž vzduchotechnického potrubí - odstranit včetně závěsů, armatur a příslušenství</t>
  </si>
  <si>
    <t>2*(5+2)</t>
  </si>
  <si>
    <t>D+M - WC - Závěsný klozet keramický.</t>
  </si>
  <si>
    <t>D+M - Zu - Vodní zápachová uzávěrka DN32 pro odvod kondenzátu s hygienickým adaptérem.</t>
  </si>
  <si>
    <t>766_</t>
  </si>
  <si>
    <t>Montáž dveří protipožárních 1kříd. nad 80 cm vč.dodávky ozn.D1</t>
  </si>
  <si>
    <t>D+M - Čistící kus DN 110</t>
  </si>
  <si>
    <t>979087212R00</t>
  </si>
  <si>
    <t>73153</t>
  </si>
  <si>
    <t>4</t>
  </si>
  <si>
    <t>97</t>
  </si>
  <si>
    <t>121</t>
  </si>
  <si>
    <t>94</t>
  </si>
  <si>
    <t>D+M - Sada navrtávacích konzol 15/120 (6 ks), včetně vrutů a hmoždinek</t>
  </si>
  <si>
    <t>145</t>
  </si>
  <si>
    <t>Příčka sádrokarton. ocel.kce, 1x oplášť. tl. 75 mm</t>
  </si>
  <si>
    <t>092100008</t>
  </si>
  <si>
    <t>Montáž pospojení</t>
  </si>
  <si>
    <t>766661112RU1</t>
  </si>
  <si>
    <t>D+M - Připojovací armatura niklovaná, pro tělesa s integrovanými ventily.</t>
  </si>
  <si>
    <t>Bourání dlažeb keramických tl.10 mm, nad 1 m2 -dle pozn.03, 05 a 15</t>
  </si>
  <si>
    <t>60</t>
  </si>
  <si>
    <t>Základní rozpočtové náklady</t>
  </si>
  <si>
    <t>D+M - Návleková tepelná izolace PE tl. 25 mm + polep AL fólií na potrubí d 40x5,5 mm</t>
  </si>
  <si>
    <t>2*4</t>
  </si>
  <si>
    <t>352</t>
  </si>
  <si>
    <t>235</t>
  </si>
  <si>
    <t>005 10-1020.R</t>
  </si>
  <si>
    <t>26</t>
  </si>
  <si>
    <t>105</t>
  </si>
  <si>
    <t>135</t>
  </si>
  <si>
    <t>332</t>
  </si>
  <si>
    <t>D+M - Zpětná klapka s gumovým těsněním, mosazná, DN 15</t>
  </si>
  <si>
    <t>Překlad nenosný porobeton, světlost otv. do 105 cm</t>
  </si>
  <si>
    <t>345710510</t>
  </si>
  <si>
    <t>D+M - Pv - Podlahová vpust DN 50/75 s otočným kloubem na odtoku.</t>
  </si>
  <si>
    <t>Konstrukce ze zemin</t>
  </si>
  <si>
    <t>253</t>
  </si>
  <si>
    <t>Příplatek za spárování vodotěsnou hmotou - plošně</t>
  </si>
  <si>
    <t>345715240</t>
  </si>
  <si>
    <t>005 10-1030.R</t>
  </si>
  <si>
    <t>Poplatek za uložení suti - asfaltové pásy, skupina odpadu 170302</t>
  </si>
  <si>
    <t>Celkem bez DPH</t>
  </si>
  <si>
    <t>Kabel silový CMFM 2Ax1,5 mm2</t>
  </si>
  <si>
    <t>D+M - Potrubí SPIRO do O 160 mm - 40% tvarovek</t>
  </si>
  <si>
    <t>771101142R00</t>
  </si>
  <si>
    <t>122</t>
  </si>
  <si>
    <t>73124</t>
  </si>
  <si>
    <t>(0,57*0,3*0,1)+(0,75*0,32*0,1)</t>
  </si>
  <si>
    <t>005 12-2010.R</t>
  </si>
  <si>
    <t>Vedlejší a ostatní rozpočtové náklady</t>
  </si>
  <si>
    <t>Mazanina betonová tl. 8 - 12 cm C 16/20</t>
  </si>
  <si>
    <t>2*29+4</t>
  </si>
  <si>
    <t>268</t>
  </si>
  <si>
    <t>Montáž krabice zapuštěná plastová čtyřhranná typ KO100, KO125</t>
  </si>
  <si>
    <t>2*(5,225+0,3*2+5,125+2,975*2)*2,1+2*(2,765+0,15+2,19+4,15+2,105*2+0,68)*2,1</t>
  </si>
  <si>
    <t>291</t>
  </si>
  <si>
    <t>138</t>
  </si>
  <si>
    <t>M21</t>
  </si>
  <si>
    <t>Montáž vypínač nástěnný jednopólový tlačítkový 1/0 prostředí obyčejné nebo vlhké</t>
  </si>
  <si>
    <t>781419706R00</t>
  </si>
  <si>
    <t>721_</t>
  </si>
  <si>
    <t>72264</t>
  </si>
  <si>
    <t>6,467+3,377+18,249+39,042</t>
  </si>
  <si>
    <t>172</t>
  </si>
  <si>
    <t>965049111RT2</t>
  </si>
  <si>
    <t>Řezání obkladaček diamantovým kotoučem</t>
  </si>
  <si>
    <t>Hydroizolační stěrka pod dlažbu -vodorovná</t>
  </si>
  <si>
    <t>242</t>
  </si>
  <si>
    <t>223</t>
  </si>
  <si>
    <t>D+M - Redukční ventil DN 15/20</t>
  </si>
  <si>
    <t>0,6*0,6*1,4*2</t>
  </si>
  <si>
    <t>72154</t>
  </si>
  <si>
    <t>6*(2,5*3,4)*7</t>
  </si>
  <si>
    <t>2*(2,1*8+1,2*12+2,02*14)+2,1*2+1,5*2</t>
  </si>
  <si>
    <t>6</t>
  </si>
  <si>
    <t>Rozpočtové náklady v Kč</t>
  </si>
  <si>
    <t>2*(1,2*0,2)*6*2</t>
  </si>
  <si>
    <t>Profil ukončovací horní -dle výběru investora</t>
  </si>
  <si>
    <t>68</t>
  </si>
  <si>
    <t>2*1</t>
  </si>
  <si>
    <t>307</t>
  </si>
  <si>
    <t>OZNAC.STITEK C.1</t>
  </si>
  <si>
    <t>73162</t>
  </si>
  <si>
    <t>D+M - potrubí PP-RCT - d 35x4,4 mm</t>
  </si>
  <si>
    <t>81</t>
  </si>
  <si>
    <t>979990101R00</t>
  </si>
  <si>
    <t>73189</t>
  </si>
  <si>
    <t>2*(3,4+1,22)*2,25</t>
  </si>
  <si>
    <t>216</t>
  </si>
  <si>
    <t>73172</t>
  </si>
  <si>
    <t>Příčka sádrokarton. ocel.kce, 1x oplášť. tl. 75 mm -pouze montáž</t>
  </si>
  <si>
    <t>protiprašné a protihlukové opatření - celkem 8 etap</t>
  </si>
  <si>
    <t>748992300</t>
  </si>
  <si>
    <t>B</t>
  </si>
  <si>
    <t>119</t>
  </si>
  <si>
    <t>160</t>
  </si>
  <si>
    <t>Náklady na umístění stavby (NUS)</t>
  </si>
  <si>
    <t>343</t>
  </si>
  <si>
    <t>Přesun hmot pro budovy zděné výšky do 6 m</t>
  </si>
  <si>
    <t>42</t>
  </si>
  <si>
    <t>101b</t>
  </si>
  <si>
    <t>231</t>
  </si>
  <si>
    <t>766661422RU1</t>
  </si>
  <si>
    <t>82</t>
  </si>
  <si>
    <t>731511</t>
  </si>
  <si>
    <t>Montáž</t>
  </si>
  <si>
    <t>72144</t>
  </si>
  <si>
    <t>767995201RU3</t>
  </si>
  <si>
    <t>968072641RT1</t>
  </si>
  <si>
    <t>Kompletační činnost</t>
  </si>
  <si>
    <t>34814435R1</t>
  </si>
  <si>
    <t>342948111R00</t>
  </si>
  <si>
    <t>229</t>
  </si>
  <si>
    <t>2*(4,455+0,325*2+3,775+2,2+0,4*2+5,975+1,78)*1,2-2*(0,6*1,01)*3</t>
  </si>
  <si>
    <t>1,2*2</t>
  </si>
  <si>
    <t>Datum, razítko a podpis</t>
  </si>
  <si>
    <t>Vyregulování otopné soustavy - projekční práce</t>
  </si>
  <si>
    <t>2*(1,2*8)+2*(1,1+0,6+1,1)*6</t>
  </si>
  <si>
    <t>překlad nenosný 125 x 24,9 x 15 cm ozn.P2</t>
  </si>
  <si>
    <t>ZRN celkem</t>
  </si>
  <si>
    <t>968072455R00</t>
  </si>
  <si>
    <t>978056391RT1</t>
  </si>
  <si>
    <t>979093111R00</t>
  </si>
  <si>
    <t>Zásyp ruční se zhutněním</t>
  </si>
  <si>
    <t>Topná zkouška celého zařízení 72 hodin</t>
  </si>
  <si>
    <t>965042141RT2</t>
  </si>
  <si>
    <t>Montáž vypínač nástěnný 1-jednopólový prostředí obyčejné nebo vlhké</t>
  </si>
  <si>
    <t>D+M - Připojovací ventil 1/2"</t>
  </si>
  <si>
    <t>72222</t>
  </si>
  <si>
    <t>(0,75+0,57+2,095+0,3+6,47+1,53+1,4+0,69+4,385)*0,3*0,4</t>
  </si>
  <si>
    <t>D+M - Volná příruba pro kruhové potrubí O 250 mm</t>
  </si>
  <si>
    <t>17_</t>
  </si>
  <si>
    <t>979082121R00</t>
  </si>
  <si>
    <t>317121047RT4</t>
  </si>
  <si>
    <t>sada</t>
  </si>
  <si>
    <t>72253</t>
  </si>
  <si>
    <t>D+M - Integrovaná armatura pro trubková otopná tělesa.</t>
  </si>
  <si>
    <t>342255024RT1</t>
  </si>
  <si>
    <t>ZTI-Vnitřní vodovod</t>
  </si>
  <si>
    <t>(2*55,07+8,9-15,35)</t>
  </si>
  <si>
    <t>Oprava vápen.omítek stěn do 50 % pl. - štukových -dle pozn.03</t>
  </si>
  <si>
    <t>69</t>
  </si>
  <si>
    <t>304</t>
  </si>
  <si>
    <t>D+M - Odvzdušňovací ventil DN 15</t>
  </si>
  <si>
    <t>742231100</t>
  </si>
  <si>
    <t>141</t>
  </si>
  <si>
    <t>971033141</t>
  </si>
  <si>
    <t>Montáž svítidlo LED bytové nástěnné přisazené 1 zdroj</t>
  </si>
  <si>
    <t>33</t>
  </si>
  <si>
    <t>270</t>
  </si>
  <si>
    <t>767995201RU6</t>
  </si>
  <si>
    <t>258</t>
  </si>
  <si>
    <t>Bourání mazanin betonových tl. 10 cm, pl. 1 m2 -dle pozn.15</t>
  </si>
  <si>
    <t>263</t>
  </si>
  <si>
    <t>10033023</t>
  </si>
  <si>
    <t>331</t>
  </si>
  <si>
    <t>Pás asfaltový modifikovaný, natavovací</t>
  </si>
  <si>
    <t>349</t>
  </si>
  <si>
    <t>767995201RU8</t>
  </si>
  <si>
    <t>Penetrace podkladu vápenným mlékem</t>
  </si>
  <si>
    <t>78</t>
  </si>
  <si>
    <t>spínač jednopólový č.1 10A bílý, IP20</t>
  </si>
  <si>
    <t>krabice přístrojová odbočná s víčkem z PH KO125</t>
  </si>
  <si>
    <t>výměra: 4,131(4,433)m2 -provedení dle popisu v PD</t>
  </si>
  <si>
    <t>Krycí list slepého rozpočtu</t>
  </si>
  <si>
    <t>120</t>
  </si>
  <si>
    <t>63</t>
  </si>
  <si>
    <t>230</t>
  </si>
  <si>
    <t>2*19+4</t>
  </si>
  <si>
    <t>375</t>
  </si>
  <si>
    <t>0,505</t>
  </si>
  <si>
    <t>Montáž rámečku</t>
  </si>
  <si>
    <t>731811</t>
  </si>
  <si>
    <t>Stěny a příčky</t>
  </si>
  <si>
    <t>322</t>
  </si>
  <si>
    <t>154</t>
  </si>
  <si>
    <t>192</t>
  </si>
  <si>
    <t>2*9</t>
  </si>
  <si>
    <t>D+M - Odvzdušňovací radiátorový ventil niklovaný DN 15 (1/2").</t>
  </si>
  <si>
    <t>137</t>
  </si>
  <si>
    <t>324</t>
  </si>
  <si>
    <t>178</t>
  </si>
  <si>
    <t>Demontáž - PV - Podlahová vpusť, vč. armatur a potrubí.</t>
  </si>
  <si>
    <t>Základna</t>
  </si>
  <si>
    <t>(2*55,07+8,9-15,35)*0,08</t>
  </si>
  <si>
    <t>25</t>
  </si>
  <si>
    <t>195</t>
  </si>
  <si>
    <t>kus</t>
  </si>
  <si>
    <t>D+M - Termostatická hlavice s vestavěným kapalinou plněným čidlem.</t>
  </si>
  <si>
    <t>D+M - Zpětná klapka s gumovým těsněním, mosazná, DN 20</t>
  </si>
  <si>
    <t>72163</t>
  </si>
  <si>
    <t>2*(3,3*6+2,02*2+1,0)*0,08</t>
  </si>
  <si>
    <t>D+M - Regulátor je určen pro EC ventilátory, včetně kabeláže</t>
  </si>
  <si>
    <t>Dodávky</t>
  </si>
  <si>
    <t>219</t>
  </si>
  <si>
    <t>SVORKA ST 5 NA POTRUBI</t>
  </si>
  <si>
    <t>746211142</t>
  </si>
  <si>
    <t>rohových, koutových i horních</t>
  </si>
  <si>
    <t>72177</t>
  </si>
  <si>
    <t>Spojovací a těsnící materiál</t>
  </si>
  <si>
    <t>Vyvážení všech seřizovacích armatur, včetně tlakových zkoušek a revizí</t>
  </si>
  <si>
    <t>Otvor v obkladačce diamant.korunkou prům.do 90 mm</t>
  </si>
  <si>
    <t>72164</t>
  </si>
  <si>
    <t>D+M - Nz1 - Napájecí zdroj 230V AC/24V D.</t>
  </si>
  <si>
    <t>Montáž vodič Cu izolovaný sk.1 do 1 kV žíla 0,35 až 6 mm2 do stěny</t>
  </si>
  <si>
    <t>Montáž dveří do zárubně,otevíravých 1kř.do 0,8 m vč.dodávky ozn.D1</t>
  </si>
  <si>
    <t>Vnitrostaveništní doprava suti do 10 m</t>
  </si>
  <si>
    <t>Ostatní mat.</t>
  </si>
  <si>
    <t>292</t>
  </si>
  <si>
    <t>Náklady na zkušební provoz</t>
  </si>
  <si>
    <t>02_6_</t>
  </si>
  <si>
    <t>998011001R00</t>
  </si>
  <si>
    <t>130</t>
  </si>
  <si>
    <t>D+M - Úsporný střešní ventilátor s EC motorem 315</t>
  </si>
  <si>
    <t>6*(2,5*3,4)</t>
  </si>
  <si>
    <t>Demontáž ocelového nebo plastového potrubí do DN 65 - vč. armatur</t>
  </si>
  <si>
    <t>Obklad vnitřní stěn keramický, do tmele, 300x600 mm -dle pozn.02</t>
  </si>
  <si>
    <t>281</t>
  </si>
  <si>
    <t>781111115R00</t>
  </si>
  <si>
    <t>Profil ukončovací nárožní -dle výběru investora</t>
  </si>
  <si>
    <t>310</t>
  </si>
  <si>
    <t>133</t>
  </si>
  <si>
    <t>Proplach soustavy</t>
  </si>
  <si>
    <t>254</t>
  </si>
  <si>
    <t>175</t>
  </si>
  <si>
    <t>170</t>
  </si>
  <si>
    <t>HSV prac</t>
  </si>
  <si>
    <t>767_</t>
  </si>
  <si>
    <t>Stávající ocelové potrubí do DN 50, včetně konzol, tepelných izolací a připojovacích armatur</t>
  </si>
  <si>
    <t>766121210RT4</t>
  </si>
  <si>
    <t>139</t>
  </si>
  <si>
    <t>73159</t>
  </si>
  <si>
    <t>D+M - potrubí PP-RCT - d 40x5,5 mm</t>
  </si>
  <si>
    <t>129</t>
  </si>
  <si>
    <t>721518</t>
  </si>
  <si>
    <t>722510</t>
  </si>
  <si>
    <t>Přípojnice hlavního pospojení</t>
  </si>
  <si>
    <t>provedení dle popisu v PD -dveře 900/1970mm EI 30 DP3c, vč.zárubně a povrch.úpravy, zavíračů, kování a piktogramů</t>
  </si>
  <si>
    <t>151</t>
  </si>
  <si>
    <t>10939562</t>
  </si>
  <si>
    <t>D+M - Potrubí Oc 22,0x1,5 mm</t>
  </si>
  <si>
    <t>0,73+0,72</t>
  </si>
  <si>
    <t>73161</t>
  </si>
  <si>
    <t>784115312R00</t>
  </si>
  <si>
    <t>73182</t>
  </si>
  <si>
    <t>Provedení izolace proti vlhkosti na ploše vodorovné, 1x asfaltovým penetračním nátěrem</t>
  </si>
  <si>
    <t>D+M - Regulátor otáček</t>
  </si>
  <si>
    <t>2*3</t>
  </si>
  <si>
    <t>628522691</t>
  </si>
  <si>
    <t>Odsekání vnitřních obkladů stěn nad 2 m2 -dle pozn.04</t>
  </si>
  <si>
    <t>13</t>
  </si>
  <si>
    <t>DMTZ SDK příčky, 1x kov.kce., 1x opláštěné 12,5 mm</t>
  </si>
  <si>
    <t>72121</t>
  </si>
  <si>
    <t>73158</t>
  </si>
  <si>
    <t>771579791R00</t>
  </si>
  <si>
    <t>358</t>
  </si>
  <si>
    <t>289</t>
  </si>
  <si>
    <t>není součástí položky ve VRN</t>
  </si>
  <si>
    <t>SVORKA WAGO 221-415 5x2,5</t>
  </si>
  <si>
    <t>325</t>
  </si>
  <si>
    <t>767995201RU7</t>
  </si>
  <si>
    <t>2*(1,4+1,125*3+3,4)*2,2</t>
  </si>
  <si>
    <t>Závěsný systém jednoho výrobce - objímky, závěsy, kotvy, příčníky, závitové tyče, konzoly, hmoždínky; vrtání do betonových a jiných konstrukcí; static</t>
  </si>
  <si>
    <t>;ztratné 10%; 17,1</t>
  </si>
  <si>
    <t>345357130R</t>
  </si>
  <si>
    <t>232</t>
  </si>
  <si>
    <t>"M"</t>
  </si>
  <si>
    <t>Konstrukce doplňkové stavební (zámečnické)</t>
  </si>
  <si>
    <t>D+M - Komfortní výústka jednořadá 300x75 mm pro kruhové potrubí + regulace</t>
  </si>
  <si>
    <t>Obkládání ostění do tmele šířky do 300 mm ozn.OS12</t>
  </si>
  <si>
    <t>provedení dle popisu v PD -dveře 800/1970mm, vč.zárubně a povrch.úpravy, kování</t>
  </si>
  <si>
    <t>013254000</t>
  </si>
  <si>
    <t>VORN celkem z obj.</t>
  </si>
  <si>
    <t>4,401</t>
  </si>
  <si>
    <t>330</t>
  </si>
  <si>
    <t>998771101R00</t>
  </si>
  <si>
    <t>140</t>
  </si>
  <si>
    <t>97_</t>
  </si>
  <si>
    <t>KS</t>
  </si>
  <si>
    <t>02_78_</t>
  </si>
  <si>
    <t>Ukotvení příček k cihel.konstr. kotvami na hmožd.</t>
  </si>
  <si>
    <t>protiprašné a protihlukové opatření  (vč.zárubní)</t>
  </si>
  <si>
    <t>612471473R00</t>
  </si>
  <si>
    <t>348381000R</t>
  </si>
  <si>
    <t>722413</t>
  </si>
  <si>
    <t>M+D Dávkovač na tekuté mýdlo dle popisu v PD -ozn.OS05</t>
  </si>
  <si>
    <t>Vyčištění budov o výšce podlaží do 4 m</t>
  </si>
  <si>
    <t>2*(6,125+4,375)*2*1,5-2*(1,0*1,5)*2+2*(6,325+0,4+0,325)*3*1,5-2*(0,6*0,6)*3</t>
  </si>
  <si>
    <t>59760210.A</t>
  </si>
  <si>
    <t>Dokumentace skutečného provedení stavby</t>
  </si>
  <si>
    <t>180</t>
  </si>
  <si>
    <t>Cena/MJ</t>
  </si>
  <si>
    <t>72157</t>
  </si>
  <si>
    <t>;ztratné 10%; 9,901</t>
  </si>
  <si>
    <t>Omítka vnitřní zdiva, MVC, na pletivu, štuková -dle pozn.05</t>
  </si>
  <si>
    <t>Konec výstavby:</t>
  </si>
  <si>
    <t>743112117</t>
  </si>
  <si>
    <t>Vybourání otvorů ve zdivu cihelném D do 150 mm na MVC nebo MV tl do 300 mm</t>
  </si>
  <si>
    <t>M+D Sanitární příčka s dveřmi 4x1255/2050(2200)+1x 3555/2050(2200) ozn.OS01</t>
  </si>
  <si>
    <t>Vybourání otvorů ve zdivu cihelném D do 60 mm na MVC nebo MV tl do 300 mm</t>
  </si>
  <si>
    <t>127</t>
  </si>
  <si>
    <t>72113</t>
  </si>
  <si>
    <t>Profil ukončovací koutový -dle výběru investora</t>
  </si>
  <si>
    <t>Kód</t>
  </si>
  <si>
    <t>S</t>
  </si>
  <si>
    <t>43</t>
  </si>
  <si>
    <t>200</t>
  </si>
  <si>
    <t>(5,9+4,0+4,0+5,9)*1,5</t>
  </si>
  <si>
    <t>781310121R00</t>
  </si>
  <si>
    <t>Bourání mazanin betonových tl. 10 cm, nad 4 m2 dle pozn.15</t>
  </si>
  <si>
    <t>72131</t>
  </si>
  <si>
    <t>72159</t>
  </si>
  <si>
    <t>72115</t>
  </si>
  <si>
    <t>2*(2,1*31)+2,1*18+1,5*2</t>
  </si>
  <si>
    <t>72132</t>
  </si>
  <si>
    <t>Revize a zkoušky</t>
  </si>
  <si>
    <t>02_1_</t>
  </si>
  <si>
    <t>2*(1,42*1,5)</t>
  </si>
  <si>
    <t>276</t>
  </si>
  <si>
    <t>416061110RT1</t>
  </si>
  <si>
    <t>;ztratné 25%; 0,6015</t>
  </si>
  <si>
    <t>221</t>
  </si>
  <si>
    <t>72242</t>
  </si>
  <si>
    <t>soubor</t>
  </si>
  <si>
    <t>MJ</t>
  </si>
  <si>
    <t>C - Svítidlo LED 58W kruhové , IP43, 8100 lm</t>
  </si>
  <si>
    <t>Spára podlaha - stěna, silikonem+separ.provazec</t>
  </si>
  <si>
    <t>45</t>
  </si>
  <si>
    <t>40</t>
  </si>
  <si>
    <t>vodič silový s Cu jádrem CY H07 V-U 4 mm2</t>
  </si>
  <si>
    <t>2*(14,48+7,49+7,61+17,41+9,96+14,26)*0,3</t>
  </si>
  <si>
    <t>Kazeta 600x600mm, pozink.závěs.rošt, vč.izol.50mm -dle pozn.06</t>
  </si>
  <si>
    <t>631315621RU1</t>
  </si>
  <si>
    <t>D+M - Adaptér pro kruhové potrubí O 250 mm</t>
  </si>
  <si>
    <t>Připojení příček ke stropní konstrukci montážní pěnou</t>
  </si>
  <si>
    <t>319</t>
  </si>
  <si>
    <t>374</t>
  </si>
  <si>
    <t>730</t>
  </si>
  <si>
    <t>72263</t>
  </si>
  <si>
    <t>72135</t>
  </si>
  <si>
    <t>Celkem ORN</t>
  </si>
  <si>
    <t>D+M - Tepelná izolace na potrubí, tloušťka izolace 30 mm.</t>
  </si>
  <si>
    <t>2*52,73</t>
  </si>
  <si>
    <t>73122</t>
  </si>
  <si>
    <t>Doplňující konstrukce a práce na pozemních komunikacích a zpevněných plochách</t>
  </si>
  <si>
    <t>omítky: 6,467 t 
beton:  3,377+18,249 t
cihly:  39,042 t</t>
  </si>
  <si>
    <t>Doplňkové náklady</t>
  </si>
  <si>
    <t>8,295</t>
  </si>
  <si>
    <t>2*(0,6*1,97)+2*(0,7*1,97)+2*(0,8*1,97)*2+2*(0,9*1,97)</t>
  </si>
  <si>
    <t>Montáž dveří do zárubně,otevíravých 1kř.do 0,8 m vč.dodávky ozn.D2</t>
  </si>
  <si>
    <t>224</t>
  </si>
  <si>
    <t>356</t>
  </si>
  <si>
    <t>Demontáž - WC - Klozet keramický (normální), vč. armatur a potrubí.</t>
  </si>
  <si>
    <t>132</t>
  </si>
  <si>
    <t>02_73_</t>
  </si>
  <si>
    <t>748121142</t>
  </si>
  <si>
    <t>M+D Odpadkový koš 50 l kov dle popisu v PD -ozn.OS 07</t>
  </si>
  <si>
    <t>Demontáž potrubního ventilátoru - odstranit včetně potrubí, závěsů, zařízení, elektro, MaR a příslušenství</t>
  </si>
  <si>
    <t>220</t>
  </si>
  <si>
    <t>340550847R</t>
  </si>
  <si>
    <t>PSV prac</t>
  </si>
  <si>
    <t>HSV</t>
  </si>
  <si>
    <t>72276</t>
  </si>
  <si>
    <t>Vedlejší rozpočtové náklady VRN</t>
  </si>
  <si>
    <t>72241</t>
  </si>
  <si>
    <t>Přesun hmot</t>
  </si>
  <si>
    <t>72216</t>
  </si>
  <si>
    <t>9</t>
  </si>
  <si>
    <t>721516</t>
  </si>
  <si>
    <t>(2*52,73+8,9-15,35)</t>
  </si>
  <si>
    <t>D+M - Izolace MV tl. 30 mm + polep ALS fólií na potrubí 35</t>
  </si>
  <si>
    <t>73184</t>
  </si>
  <si>
    <t>328</t>
  </si>
  <si>
    <t>342</t>
  </si>
  <si>
    <t>320</t>
  </si>
  <si>
    <t>72171</t>
  </si>
  <si>
    <t>D+M - Malý radiální ventilátor 175</t>
  </si>
  <si>
    <t>72247</t>
  </si>
  <si>
    <t>D+M - Návleková tepelná izolace PE tl. 25 mm + polep AL fólií na potrubí d 35x4,4 mm</t>
  </si>
  <si>
    <t>D+M - Čistící kus DN 75</t>
  </si>
  <si>
    <t>143</t>
  </si>
  <si>
    <t>104</t>
  </si>
  <si>
    <t>Montáž dveří do zárubně,otevíravých 1kř.nad 0,8 m</t>
  </si>
  <si>
    <t>;ztratné 10%; 12,436</t>
  </si>
  <si>
    <t>73185</t>
  </si>
  <si>
    <t>973031324</t>
  </si>
  <si>
    <t>15</t>
  </si>
  <si>
    <t>N - Svítidlo LED nouzové s piktogramy 8W/1 hod</t>
  </si>
  <si>
    <t>001_</t>
  </si>
  <si>
    <t>(5,88+8,02+0,73+0,72)*0,1</t>
  </si>
  <si>
    <t>978059531R00</t>
  </si>
  <si>
    <t>721514</t>
  </si>
  <si>
    <t>95</t>
  </si>
  <si>
    <t>378</t>
  </si>
  <si>
    <t>Otvor v obkladačce diamant.korunkou prům.do 30 mm</t>
  </si>
  <si>
    <t>746211110</t>
  </si>
  <si>
    <t>ISWORK</t>
  </si>
  <si>
    <t>ručně tl. mazaniny 8 - 10 cm</t>
  </si>
  <si>
    <t>Celkem včetně DPH</t>
  </si>
  <si>
    <t>Celkem NUS</t>
  </si>
  <si>
    <t>142</t>
  </si>
  <si>
    <t>Základ 0%</t>
  </si>
  <si>
    <t>252</t>
  </si>
  <si>
    <t>156</t>
  </si>
  <si>
    <t>72275</t>
  </si>
  <si>
    <t>000_</t>
  </si>
  <si>
    <t>199</t>
  </si>
  <si>
    <t>150</t>
  </si>
  <si>
    <t>S_</t>
  </si>
  <si>
    <t>Vyvedení a upevnění odpadních výpustek</t>
  </si>
  <si>
    <t>(0,57+1,05)*2+(7,475+1,575*4+4,595*2+5,025+3,49+2,29+2,09+1,99+3,785+4,385+1,53+1,83+4,98)</t>
  </si>
  <si>
    <t>260</t>
  </si>
  <si>
    <t>766</t>
  </si>
  <si>
    <t>Montáž lišt k obkladům</t>
  </si>
  <si>
    <t>72176</t>
  </si>
  <si>
    <t>penetrace povrchu+přeštukování původních stěn</t>
  </si>
  <si>
    <t>D+M - Přivzdušňovací ventil DN 15</t>
  </si>
  <si>
    <t>52</t>
  </si>
  <si>
    <t>118</t>
  </si>
  <si>
    <t>D+M - Kulový kohout, chromovaný, DN 20</t>
  </si>
  <si>
    <t>72243</t>
  </si>
  <si>
    <t>9,03</t>
  </si>
  <si>
    <t>271</t>
  </si>
  <si>
    <t>51</t>
  </si>
  <si>
    <t>5,88+8,02</t>
  </si>
  <si>
    <t>páska stahovací kabelová VPP 4/280</t>
  </si>
  <si>
    <t>dle SoD čl. II odst.2.5.8.</t>
  </si>
  <si>
    <t>M+D Odpadkový koš 5 l plast dle popisu v PD -ozn.OS 08</t>
  </si>
  <si>
    <t>3,21+1,24+3,21+1,24</t>
  </si>
  <si>
    <t>227</t>
  </si>
  <si>
    <t>D+M - Zkušební ventil DN 15</t>
  </si>
  <si>
    <t>Přesuny sutí</t>
  </si>
  <si>
    <t>269</t>
  </si>
  <si>
    <t>D+M - Krycí Dvířka 300x150 mm pro zazdění bez tvorů</t>
  </si>
  <si>
    <t>Mont prac</t>
  </si>
  <si>
    <t>Obklady (keramické)</t>
  </si>
  <si>
    <t>346275115R00</t>
  </si>
  <si>
    <t>44</t>
  </si>
  <si>
    <t>tl.75mm</t>
  </si>
  <si>
    <t>092103001</t>
  </si>
  <si>
    <t>Příplatek k odvozu za každý další 1 km</t>
  </si>
  <si>
    <t>oboustranná výztuž svařovanou sítí</t>
  </si>
  <si>
    <t>965042121RT2</t>
  </si>
  <si>
    <t>F</t>
  </si>
  <si>
    <t>359</t>
  </si>
  <si>
    <t>23</t>
  </si>
  <si>
    <t>72172</t>
  </si>
  <si>
    <t>73111</t>
  </si>
  <si>
    <t>72116</t>
  </si>
  <si>
    <t>72233</t>
  </si>
  <si>
    <t>781_</t>
  </si>
  <si>
    <t>631313611R00</t>
  </si>
  <si>
    <t>Ekologická likvidace odpadů</t>
  </si>
  <si>
    <t>262</t>
  </si>
  <si>
    <t>767</t>
  </si>
  <si>
    <t>711111001R00</t>
  </si>
  <si>
    <t>128</t>
  </si>
  <si>
    <t>VRN_0_</t>
  </si>
  <si>
    <t>Zaškolení</t>
  </si>
  <si>
    <t>59</t>
  </si>
  <si>
    <t>250</t>
  </si>
  <si>
    <t>D+M - Zpětná klapka „motýlová“  pro kruhové potrubí O 125 mm, vyrobená z galvanizované oceli</t>
  </si>
  <si>
    <t>282</t>
  </si>
  <si>
    <t>109</t>
  </si>
  <si>
    <t>t</t>
  </si>
  <si>
    <t>355</t>
  </si>
  <si>
    <t>117</t>
  </si>
  <si>
    <t>73151</t>
  </si>
  <si>
    <t>72223</t>
  </si>
  <si>
    <t>na nové stěny a omítky</t>
  </si>
  <si>
    <t> </t>
  </si>
  <si>
    <t>Bourání prostupu nosnou stěnou a stropem dvojci pro potrubí do DN 50, včetně transportu suti a uložení na skládku + oprava, začištění omítky, utěsnění</t>
  </si>
  <si>
    <t>53</t>
  </si>
  <si>
    <t>246</t>
  </si>
  <si>
    <t>Konstrukce truhlářské</t>
  </si>
  <si>
    <t>295</t>
  </si>
  <si>
    <t>73152</t>
  </si>
  <si>
    <t>99</t>
  </si>
  <si>
    <t>72257</t>
  </si>
  <si>
    <t>161</t>
  </si>
  <si>
    <t>Koordinace vypnutí stavby, prozatímní napájení staveništního rozvaděče</t>
  </si>
  <si>
    <t>kabel silový s Cu jádrem CYKY 3x1,5 mm2</t>
  </si>
  <si>
    <t>107</t>
  </si>
  <si>
    <t>243</t>
  </si>
  <si>
    <t>101c</t>
  </si>
  <si>
    <t>125</t>
  </si>
  <si>
    <t>D+M - Madlo toaletní, 800 mm sklopné, nerez</t>
  </si>
  <si>
    <t>Montáž dveří protipožárních 1kříd. nad 80 cm vč.dodávky ozn.D3</t>
  </si>
  <si>
    <t>02_4_</t>
  </si>
  <si>
    <t>JKSO:</t>
  </si>
  <si>
    <t>geotextilie+podkl.beton C20/25-XC1 tl.150mm se.sítí KARI 100/100/5mm a přísadou tekuté krystal.izolace -5 l/m3, ručně kletovaný+hydroizol.souvrství vč.napojení na stávající+EPS 150S tl.40mm+PE folie+potěr C20/25 v tl.min.40mm</t>
  </si>
  <si>
    <t>85</t>
  </si>
  <si>
    <t>Celková prohlídka elektrického rozvodu a zařízení do 0,50 milionu Kč</t>
  </si>
  <si>
    <t>64</t>
  </si>
  <si>
    <t>005 12-1020.R</t>
  </si>
  <si>
    <t>72173</t>
  </si>
  <si>
    <t>(4,24*1,4)</t>
  </si>
  <si>
    <t>Montáž VZT zařízení</t>
  </si>
  <si>
    <t>005 23-1010.R</t>
  </si>
  <si>
    <t>Příplatek k vnitrost. dopravě suti za dalších 5 m</t>
  </si>
  <si>
    <t>Demontáž - Svodné potrubí kameninové / plastové do DN 250 vč. tvarovek, včetně výkopů, oprav podlah a uvedení do původního stavu</t>
  </si>
  <si>
    <t>Napojení na stávající potrubí</t>
  </si>
  <si>
    <t>2*(6,125*2+0,3*2+2,975*2-0,1)*1,2</t>
  </si>
  <si>
    <t>767995201RU1</t>
  </si>
  <si>
    <t>255</t>
  </si>
  <si>
    <t>D+M - Vypouštěcí nástavec k radiátorům</t>
  </si>
  <si>
    <t>197</t>
  </si>
  <si>
    <t>2*7</t>
  </si>
  <si>
    <t>329</t>
  </si>
  <si>
    <t>2*(4,23+4,29)</t>
  </si>
  <si>
    <t>Vybourání kovových stěn, kromě výkladních</t>
  </si>
  <si>
    <t>174101102R00</t>
  </si>
  <si>
    <t>Fotodokumentace díla</t>
  </si>
  <si>
    <t>D+M - Propojovací nerezové opletené hadice osazených maticemi 3/8" x 1/2" k výtokovým armaturám</t>
  </si>
  <si>
    <t>77</t>
  </si>
  <si>
    <t>233</t>
  </si>
  <si>
    <t>plynosilikátová přizdívka tl.100mm</t>
  </si>
  <si>
    <t>DN celkem</t>
  </si>
  <si>
    <t>D+M - Plastový talířový ventil univerzální pro odvod vzduchu O 100 mm</t>
  </si>
  <si>
    <t>286</t>
  </si>
  <si>
    <t>73181</t>
  </si>
  <si>
    <t>2*(14,48+7,49+7,61+17,41+9,96+14,26)</t>
  </si>
  <si>
    <t>771101147R00</t>
  </si>
  <si>
    <t>342091031R00</t>
  </si>
  <si>
    <t>116</t>
  </si>
  <si>
    <t>GROUPCODE</t>
  </si>
  <si>
    <t>146</t>
  </si>
  <si>
    <t>182</t>
  </si>
  <si>
    <t>Provozní vlivy</t>
  </si>
  <si>
    <t>5</t>
  </si>
  <si>
    <t>166101101R00</t>
  </si>
  <si>
    <t>mové zdivo- jádrová omítka se sklotext.síťovinou+přeštukování povrchu</t>
  </si>
  <si>
    <t>M+D Zrcadlo 2150/600 mm dle popisu v PD -ozn.OS 10</t>
  </si>
  <si>
    <t>071103000</t>
  </si>
  <si>
    <t>203</t>
  </si>
  <si>
    <t>D+M - Ležaté potrubí PVC-KG DN 110</t>
  </si>
  <si>
    <t>D+M - Pojistný ventil se zpětnou klapkou pro ohřívač TV (do 6 bar), chromovaný, DN 20</t>
  </si>
  <si>
    <t>72162</t>
  </si>
  <si>
    <t>248</t>
  </si>
  <si>
    <t>114,36</t>
  </si>
  <si>
    <t>144</t>
  </si>
  <si>
    <t>264</t>
  </si>
  <si>
    <t>005 12-4010.R</t>
  </si>
  <si>
    <t>ZTI-Vnitřní kanalizace</t>
  </si>
  <si>
    <t>Druh stavby:</t>
  </si>
  <si>
    <t>Penetrace podkladu pod obklady</t>
  </si>
  <si>
    <t>Osazení systémových zárubní</t>
  </si>
  <si>
    <t>Vyregulování otopné soustavy - montážní práce, včetně tlakových zkoušek a revizí</t>
  </si>
  <si>
    <t>Oškrábání olej.nátěru stěn</t>
  </si>
  <si>
    <t>162</t>
  </si>
  <si>
    <t>M+D Sanitární příčka s dveřmi 2015/2050(2200) ozn.OS02</t>
  </si>
  <si>
    <t>72174</t>
  </si>
  <si>
    <t>979087311R00</t>
  </si>
  <si>
    <t>784</t>
  </si>
  <si>
    <t>238</t>
  </si>
  <si>
    <t>D+M - WC - Podomítkový montážní prvek pro závěsné WC, se splachovací nádržkou pod omítku.</t>
  </si>
  <si>
    <t>96</t>
  </si>
  <si>
    <t>316</t>
  </si>
  <si>
    <t>72213</t>
  </si>
  <si>
    <t>333</t>
  </si>
  <si>
    <t>sanitární příčky -vybourání dle pozn.13, vč.ekolog.likvidace na skládce</t>
  </si>
  <si>
    <t>Zpracováno dne:</t>
  </si>
  <si>
    <t>Úprava stěn pórobetonových, stěrkování a vyhlazení</t>
  </si>
  <si>
    <t>728</t>
  </si>
  <si>
    <t>302</t>
  </si>
  <si>
    <t>299</t>
  </si>
  <si>
    <t>Příplatek za spárovací vodotěsnou hmotu - plošně</t>
  </si>
  <si>
    <t>2*(0,6*6)+2*1,42</t>
  </si>
  <si>
    <t>(3,59+2,04+0,67)*0,6*1,4</t>
  </si>
  <si>
    <t>Příčky z desek plynosilikátových tl. 15 cm</t>
  </si>
  <si>
    <t>202</t>
  </si>
  <si>
    <t>D+M - Potrubí Oc 18,0x1,2 mm</t>
  </si>
  <si>
    <t>D+M - Měření a regulace</t>
  </si>
  <si>
    <t>Ukončení vodič izolovaný do 2,5mm2 v rozváděči nebo na přístroji</t>
  </si>
  <si>
    <t>962086106R00</t>
  </si>
  <si>
    <t>Pojízdné lešení, pomocné konstrukce, montážní plošina v rámci výšky jednoho podlaží</t>
  </si>
  <si>
    <t>72244</t>
  </si>
  <si>
    <t>194</t>
  </si>
  <si>
    <t>353</t>
  </si>
  <si>
    <t>72221</t>
  </si>
  <si>
    <t>Přizdívky z desek plynosilikátových tl. 150 mm -dle pozn.04</t>
  </si>
  <si>
    <t>631319183R00</t>
  </si>
  <si>
    <t>99,01*0,3</t>
  </si>
  <si>
    <t>Zednické vyspravení parapetu a ostění</t>
  </si>
  <si>
    <t>D+M - Potrubí SPIRO do O 100 mm - 40% tvarovek</t>
  </si>
  <si>
    <t>965081713R00</t>
  </si>
  <si>
    <t>10</t>
  </si>
  <si>
    <t>212</t>
  </si>
  <si>
    <t>149</t>
  </si>
  <si>
    <t>345357130</t>
  </si>
  <si>
    <t>oškrábání stávajících nesoudržných štuků stěn+ mechanické očištění, provedení dle pozn.05 a 07</t>
  </si>
  <si>
    <t>58</t>
  </si>
  <si>
    <t>Dlažba protiskluz.R10 300x300x9 mm -dle výběru investora</t>
  </si>
  <si>
    <t>284</t>
  </si>
  <si>
    <t>36</t>
  </si>
  <si>
    <t>Poplatek za skládku suti - směs betonu, omítek a cihel</t>
  </si>
  <si>
    <t>Montáž trubka plastová ohebná D 36 mm uložená pevně</t>
  </si>
  <si>
    <t>14</t>
  </si>
  <si>
    <t>31</t>
  </si>
  <si>
    <t>84</t>
  </si>
  <si>
    <t>Odstranění izolace proti vlhkosti na ploše vodorovné, asfaltové pásy přitavením, 1 vrstva</t>
  </si>
  <si>
    <t>968072641RT2</t>
  </si>
  <si>
    <t>Zárubeň ocelová S 75    900x1970x75 L,P   -pro sádrokarton</t>
  </si>
  <si>
    <t>D+M - Upevňovací sada O24/35 (4 ks), včetně vrutů a hmoždinek</t>
  </si>
  <si>
    <t>provedení dle popisu v PD -dveře 600/1970mm EI 30 DP3c, vč.zárubně a povrch.úpravy, zavíračů a kování</t>
  </si>
  <si>
    <t>305</t>
  </si>
  <si>
    <t>001</t>
  </si>
  <si>
    <t>Rámeček jednonásobný bílý</t>
  </si>
  <si>
    <t>D+M - Odpadní a připojovací potrubí (HT systém) DN 110</t>
  </si>
  <si>
    <t>dle pozn.15</t>
  </si>
  <si>
    <t>Množství</t>
  </si>
  <si>
    <t>Proplach a dezinfekce vodovodního potrubí do DN 80</t>
  </si>
  <si>
    <t>38</t>
  </si>
  <si>
    <t>Všeobecné konstrukce a práce</t>
  </si>
  <si>
    <t>Prostup základem (velikost prostupu dle PD) + oprava</t>
  </si>
  <si>
    <t>VORN celkem</t>
  </si>
  <si>
    <t>369</t>
  </si>
  <si>
    <t>747111115</t>
  </si>
  <si>
    <t>desky P 2 - 500, 599 x 249 x 150 mm</t>
  </si>
  <si>
    <t>Uložení suti na skládku bez zhutnění</t>
  </si>
  <si>
    <t>631362021R00</t>
  </si>
  <si>
    <t>174</t>
  </si>
  <si>
    <t>2*(6,125+0,125*3+4,45+1,145*2+1,05+6,125+1,42*2+2,895+3,4)*0,08</t>
  </si>
  <si>
    <t>Budovy občanské výstavby</t>
  </si>
  <si>
    <t>747111128</t>
  </si>
  <si>
    <t>2*(6,125+3,555+0,275+3,565+4,15*2+2,105)*3,3-2*(0,9*2,02)*2</t>
  </si>
  <si>
    <t>95_</t>
  </si>
  <si>
    <t>Provozní a územní vlivy</t>
  </si>
  <si>
    <t>341110360</t>
  </si>
  <si>
    <t>2*(14,48+7,49+7,61+17,41+9,96+14,26)*2,1-2*(0,6*1,2)*6+2*(0,9*0,08)*4+2*(1,0*0,08)*4</t>
  </si>
  <si>
    <t>Demontáž - Článkové otopné těleso, odstranit armatur a připojovacího potrubí.</t>
  </si>
  <si>
    <t>vodič silový s Cu jádrem CY H07 V-U 2 mm2</t>
  </si>
  <si>
    <t>Typ skupiny</t>
  </si>
  <si>
    <t>73</t>
  </si>
  <si>
    <t>Otlučení omítek vnitřních stěn v rozsahu do 50 %</t>
  </si>
  <si>
    <t>Montáž dveří protipožárních 1kříd. do 80 cm vč.dodávky ozn.D2</t>
  </si>
  <si>
    <t>962036112RU1</t>
  </si>
  <si>
    <t>74281111R</t>
  </si>
  <si>
    <t>256</t>
  </si>
  <si>
    <t>766121210RT3</t>
  </si>
  <si>
    <t>2*(3,565+0,15+2,99+4,15+3,1+2,105*2+0,68)*1,2</t>
  </si>
  <si>
    <t>D+M - Zkušební ventil DN 20</t>
  </si>
  <si>
    <t>730_</t>
  </si>
  <si>
    <t>363</t>
  </si>
  <si>
    <t>Vypuštění soustavy</t>
  </si>
  <si>
    <t>61_</t>
  </si>
  <si>
    <t>D+M - Otopné těleso deskové 21 - 5080 - E (Bílá RAL 9010)</t>
  </si>
  <si>
    <t>188</t>
  </si>
  <si>
    <t>D+M - Návleková tepelná izolace PE tl. 20 mm + polep AL fólií na potrubí d 18,0x1,2 mm</t>
  </si>
  <si>
    <t>56</t>
  </si>
  <si>
    <t>722_</t>
  </si>
  <si>
    <t>19</t>
  </si>
  <si>
    <t>2*(2,975+0,68+0,3*2)+2*(6,125+3,555+0,275+3,565+4,15*2+2,105)</t>
  </si>
  <si>
    <t>C</t>
  </si>
  <si>
    <t>6*7</t>
  </si>
  <si>
    <t>Bourání příček z plynosilik. a pórobetonu tl.10 cm -dle pozn.08</t>
  </si>
  <si>
    <t>spínač jednopólový č.0/1 10A bílý, IP20</t>
  </si>
  <si>
    <t>Náklady (Kč)</t>
  </si>
  <si>
    <t>721</t>
  </si>
  <si>
    <t>110</t>
  </si>
  <si>
    <t>Napuštění soustavy</t>
  </si>
  <si>
    <t>21060624</t>
  </si>
  <si>
    <t>39</t>
  </si>
  <si>
    <t>30</t>
  </si>
  <si>
    <t>241</t>
  </si>
  <si>
    <t>597813748</t>
  </si>
  <si>
    <t>IČO/DIČ:</t>
  </si>
  <si>
    <t>H01</t>
  </si>
  <si>
    <t>hod</t>
  </si>
  <si>
    <t>2*(4,375+1,05*2+5,115+6,125*2)*2*1,8-2*(1,0*0,52)*4-2*(0,6*1,7)*6</t>
  </si>
  <si>
    <t>Ostatní</t>
  </si>
  <si>
    <t>364</t>
  </si>
  <si>
    <t>D+M - Návleková tepelná izolace PE tl. 25 mm + polep AL fólií na potrubí d 25x3,5 mm</t>
  </si>
  <si>
    <t>72156</t>
  </si>
  <si>
    <t>Přesun hmot pro zámečnické konstr., výšky do 6 m</t>
  </si>
  <si>
    <t>73188</t>
  </si>
  <si>
    <t>86</t>
  </si>
  <si>
    <t>278</t>
  </si>
  <si>
    <t>222</t>
  </si>
  <si>
    <t>979081121R00</t>
  </si>
  <si>
    <t>2*(1,2*6)*2</t>
  </si>
  <si>
    <t>2*(2,065*2+6,125)*1,2-2*(0,6*1,1)</t>
  </si>
  <si>
    <t>55</t>
  </si>
  <si>
    <t>Řezání stávajícího betonového krytu tl. 5 - 10 cm</t>
  </si>
  <si>
    <t>Otlučení omítek vnitřních vápenných stropů do 50 %</t>
  </si>
  <si>
    <t>M+D WC štětka závěsná dle popisu v PD -ozn.OS04</t>
  </si>
  <si>
    <t>72212</t>
  </si>
  <si>
    <t>Ostatní bourací, přípomocné a zednické práce</t>
  </si>
  <si>
    <t>743411121</t>
  </si>
  <si>
    <t>370</t>
  </si>
  <si>
    <t>341408256</t>
  </si>
  <si>
    <t>Zpracoval:</t>
  </si>
  <si>
    <t>744211111</t>
  </si>
  <si>
    <t>372</t>
  </si>
  <si>
    <t>73186</t>
  </si>
  <si>
    <t>76</t>
  </si>
  <si>
    <t>SOS systém ( centrální jednotka se zdrojem, tahový spínač na stěnu, spínač tlačítkový na stěnu, akustické a světelné návěští )</t>
  </si>
  <si>
    <t>290</t>
  </si>
  <si>
    <t>Příplatek za plochu podlah keram. do 5 m2 jednotl.</t>
  </si>
  <si>
    <t>346</t>
  </si>
  <si>
    <t>provedení dle popisu v PD</t>
  </si>
  <si>
    <t>315</t>
  </si>
  <si>
    <t>krabice přístrojová odbočná s víčkem z PH / IP40</t>
  </si>
  <si>
    <t>Montážní a závěsový materiál</t>
  </si>
  <si>
    <t>72141</t>
  </si>
  <si>
    <t>D+M - Zpětná klapka samotížná pro kruhové potrubí O 250 mm, vyrobena z ocelového pozinkovaného plechu</t>
  </si>
  <si>
    <t>Orientační štítky a značení potrubí barevnými pruhy, orientačními štítky a popisky vč. Montáže</t>
  </si>
  <si>
    <t>72114</t>
  </si>
  <si>
    <t>207</t>
  </si>
  <si>
    <t>Zhotovitel</t>
  </si>
  <si>
    <t>380</t>
  </si>
  <si>
    <t>kabel silový s Cu jádrem CYKY 2x1,5 mm2</t>
  </si>
  <si>
    <t>190</t>
  </si>
  <si>
    <t>59760210.C</t>
  </si>
  <si>
    <t>2</t>
  </si>
  <si>
    <t>Projektant:</t>
  </si>
  <si>
    <t>Přehození výkopku z hor.1-4</t>
  </si>
  <si>
    <t>771578011RT4</t>
  </si>
  <si>
    <t>(5,469+8,02)*0,1</t>
  </si>
  <si>
    <t>721513</t>
  </si>
  <si>
    <t>341110300</t>
  </si>
  <si>
    <t>Zkrácený popis / Varianta</t>
  </si>
  <si>
    <t/>
  </si>
  <si>
    <t>02_72_</t>
  </si>
  <si>
    <t>Demontáž - VL - Výlevka keramická nebo smaltovaná volně stojící, vč. armatur a potrubí.</t>
  </si>
  <si>
    <t>Vedlejší rozpočtové náklady</t>
  </si>
  <si>
    <t>1,065-0,505</t>
  </si>
  <si>
    <t>309</t>
  </si>
  <si>
    <t>152</t>
  </si>
  <si>
    <t>D+M - U - Automatická umyvadlová baterie s elektronikou ALS.</t>
  </si>
  <si>
    <t>17</t>
  </si>
  <si>
    <t>ks</t>
  </si>
  <si>
    <t>98</t>
  </si>
  <si>
    <t>2*(6,125+0,125*3+4,45+1,145*2+1,05)*3,3+2*(1,0*2,2)</t>
  </si>
  <si>
    <t>112</t>
  </si>
  <si>
    <t>Lešení a stavební výtahy</t>
  </si>
  <si>
    <t>Manuály</t>
  </si>
  <si>
    <t>72,041*3</t>
  </si>
  <si>
    <t>21</t>
  </si>
  <si>
    <t>345715841</t>
  </si>
  <si>
    <t>34_</t>
  </si>
  <si>
    <t>118,96+5,4</t>
  </si>
  <si>
    <t>747161340</t>
  </si>
  <si>
    <t>72274</t>
  </si>
  <si>
    <t>Měření intenzity osvětlení</t>
  </si>
  <si>
    <t>351</t>
  </si>
  <si>
    <t>362</t>
  </si>
  <si>
    <t>979081111R00</t>
  </si>
  <si>
    <t>Úprava povrchů vnitřní</t>
  </si>
  <si>
    <t>Práce přesčas</t>
  </si>
  <si>
    <t>72134</t>
  </si>
  <si>
    <t>31_</t>
  </si>
  <si>
    <t>41_</t>
  </si>
  <si>
    <t>61</t>
  </si>
  <si>
    <t>345</t>
  </si>
  <si>
    <t>313</t>
  </si>
  <si>
    <t>D+M - Pružná spojka pro kruhové potrubí O 250 mm</t>
  </si>
  <si>
    <t>;ztratné 10%; 16,682</t>
  </si>
  <si>
    <t>748121211</t>
  </si>
  <si>
    <t>139711101RT3</t>
  </si>
  <si>
    <t>D+M - Potrubí Oc 15,0x1,2 mm</t>
  </si>
  <si>
    <t>Dokumentace skut.provedení stavby</t>
  </si>
  <si>
    <t>55330439</t>
  </si>
  <si>
    <t>345710940</t>
  </si>
  <si>
    <t>VRN</t>
  </si>
  <si>
    <t>368</t>
  </si>
  <si>
    <t>126</t>
  </si>
  <si>
    <t>124</t>
  </si>
  <si>
    <t>Montáž dveří protipožárních 1kříd. do 80 cm vč.dodávky ozn.D1</t>
  </si>
  <si>
    <t>317121049RT2</t>
  </si>
  <si>
    <t>005-24-1010.R</t>
  </si>
  <si>
    <t>781111111R00</t>
  </si>
  <si>
    <t>158</t>
  </si>
  <si>
    <t>12</t>
  </si>
  <si>
    <t>345723090</t>
  </si>
  <si>
    <t>234</t>
  </si>
  <si>
    <t>72279</t>
  </si>
  <si>
    <t>Kulturní památka</t>
  </si>
  <si>
    <t>Odvoz suti a vybour. hmot na skládku do 1 km</t>
  </si>
  <si>
    <t>Montáž kabel Cu sk.2 do 1 kV do 0,40 kg pod omítku stěn</t>
  </si>
  <si>
    <t>Objekt</t>
  </si>
  <si>
    <t>Různé dokončovací konstrukce a práce na pozemních stavbách</t>
  </si>
  <si>
    <t>168</t>
  </si>
  <si>
    <t>Stropy a stropní konstrukce (pro pozemní stavby)</t>
  </si>
  <si>
    <t>72252</t>
  </si>
  <si>
    <t>Bourání konstrukcí</t>
  </si>
  <si>
    <t>(1,0+0,8+0,8+1,0)*1,5</t>
  </si>
  <si>
    <t>zkouška nouzových svítidel</t>
  </si>
  <si>
    <t>306</t>
  </si>
  <si>
    <t>731510</t>
  </si>
  <si>
    <t>Tlaková zkouška vnitřní potrubí do DN 80</t>
  </si>
  <si>
    <t>Demontáž - Odpadní a připojovací potrubí litinové/plastové do DN 200 vč. tvarovek</t>
  </si>
  <si>
    <t>612456217RT2</t>
  </si>
  <si>
    <t>72224</t>
  </si>
  <si>
    <t>DPH 21%</t>
  </si>
  <si>
    <t>298</t>
  </si>
  <si>
    <t>68500240</t>
  </si>
  <si>
    <t>184</t>
  </si>
  <si>
    <t>005 26-1010.R</t>
  </si>
  <si>
    <t>249</t>
  </si>
  <si>
    <t>72256</t>
  </si>
  <si>
    <t>968061125R00</t>
  </si>
  <si>
    <t>134</t>
  </si>
  <si>
    <t>Příplatek, bourání mazanin se svař. síťí tl. 10 cm</t>
  </si>
  <si>
    <t>211</t>
  </si>
  <si>
    <t>Montáž podlah keram.,hladké, tmel, 30x30 cm -dle pozn.01</t>
  </si>
  <si>
    <t>196</t>
  </si>
  <si>
    <t>2*(14,48+7,49+7,61+17,41+9,96+14,26)+(7,5+4,7)*2</t>
  </si>
  <si>
    <t>962031183R00</t>
  </si>
  <si>
    <t>318</t>
  </si>
  <si>
    <t>766661122RT1</t>
  </si>
  <si>
    <t>Elektromontáže</t>
  </si>
  <si>
    <t>Geodetické práce</t>
  </si>
  <si>
    <t>Příplatek, bourání mazanin se svař.síťí nad 10 cm -celá plocha pod stáv.dlažbou</t>
  </si>
  <si>
    <t>371</t>
  </si>
  <si>
    <t>D+M - Kulový kohout, chromovaný, DN 32</t>
  </si>
  <si>
    <t>367</t>
  </si>
  <si>
    <t>73112</t>
  </si>
  <si>
    <t>187</t>
  </si>
  <si>
    <t>67,135+4,401+0,505</t>
  </si>
  <si>
    <t>962036112R00</t>
  </si>
  <si>
    <t>kpl</t>
  </si>
  <si>
    <t>766661413RU1</t>
  </si>
  <si>
    <t>317</t>
  </si>
  <si>
    <t>hornina 3</t>
  </si>
  <si>
    <t>191</t>
  </si>
  <si>
    <t>2*(2,975+4,605+1,42+2,975)*1,2-2*(0,6*1,1)*2</t>
  </si>
  <si>
    <t>Přesun hmot pro podlahy z dlaždic, výšky do 6 m</t>
  </si>
  <si>
    <t>73157</t>
  </si>
  <si>
    <t>781101210R00</t>
  </si>
  <si>
    <t>plech.opláštění -vybourání dle pozn.12, vč.ekolog.likvidace na skládce</t>
  </si>
  <si>
    <t>02_3_</t>
  </si>
  <si>
    <t>72234</t>
  </si>
  <si>
    <t>49</t>
  </si>
  <si>
    <t>02_77_</t>
  </si>
  <si>
    <t>72</t>
  </si>
  <si>
    <t>(72,041-3,777)/2</t>
  </si>
  <si>
    <t>Příplatek za stržení povrchu mazaniny tl. 12 cm</t>
  </si>
  <si>
    <t>767995201RU4</t>
  </si>
  <si>
    <t>275</t>
  </si>
  <si>
    <t>345357695</t>
  </si>
  <si>
    <t>731810</t>
  </si>
  <si>
    <t>D+M - Ui - Zdravotní umyvadlo keramické, závěsné pro imobilní s otvorem pro baterii uprostřed.</t>
  </si>
  <si>
    <t>Přesuny</t>
  </si>
  <si>
    <t>MAT</t>
  </si>
  <si>
    <t>Přesun hmot pro izolace proti vodě, výšky do 6 m</t>
  </si>
  <si>
    <t>267</t>
  </si>
  <si>
    <t>70</t>
  </si>
  <si>
    <t>277</t>
  </si>
  <si>
    <t>8</t>
  </si>
  <si>
    <t>D+M - Madlo univerzální 600 mm, pevné, nerez</t>
  </si>
  <si>
    <t>Celkem:</t>
  </si>
  <si>
    <t>345715210</t>
  </si>
  <si>
    <t>2*0,6*6+2*1,42+2+2*(1,2*6)*2</t>
  </si>
  <si>
    <t>978011161RT1</t>
  </si>
  <si>
    <t>Montáž svítidlo LED bytové stropní do dvou zdrojů</t>
  </si>
  <si>
    <t>Mimostav. doprava</t>
  </si>
  <si>
    <t>781475120R00</t>
  </si>
  <si>
    <t>266</t>
  </si>
  <si>
    <t>Vysekání kapes ve zdivu cihelném na MV nebo MVC pl do 0,10 m2 hl do 150 mm</t>
  </si>
  <si>
    <t>18</t>
  </si>
  <si>
    <t>DN celkem z obj.</t>
  </si>
  <si>
    <t>Přesun hmot pro truhlářské konstr., výšky do 6 m</t>
  </si>
  <si>
    <t>Lešení lehké pomocné, výška podlahy do 1,9 m</t>
  </si>
  <si>
    <t>Obkládačka 30x60 cm -dle výběru investora</t>
  </si>
  <si>
    <t>D+M - Potrubí ohebné do O 102 mm</t>
  </si>
  <si>
    <t>722410</t>
  </si>
  <si>
    <t>72248</t>
  </si>
  <si>
    <t>Protiprašná a protihluková opatření</t>
  </si>
  <si>
    <t>46</t>
  </si>
  <si>
    <t>781</t>
  </si>
  <si>
    <t>72,041</t>
  </si>
  <si>
    <t>728_</t>
  </si>
  <si>
    <t>Svislá doprava suti a vybour. hmot za 2.NP a 1.PP</t>
  </si>
  <si>
    <t>181</t>
  </si>
  <si>
    <t>Demontáž - U - Umyvadlo keramické, vč. armatur a potrubí.</t>
  </si>
  <si>
    <t>72261</t>
  </si>
  <si>
    <t>919735122R00</t>
  </si>
  <si>
    <t>214</t>
  </si>
  <si>
    <t>Demontáž stávajících rozvodů NN</t>
  </si>
  <si>
    <t>;ztratné 5%; 5,718</t>
  </si>
  <si>
    <t>72111</t>
  </si>
  <si>
    <t>Tlaková zkouška celého zařízení</t>
  </si>
  <si>
    <t>781101142R00</t>
  </si>
  <si>
    <t>176</t>
  </si>
  <si>
    <t>100</t>
  </si>
  <si>
    <t>108</t>
  </si>
  <si>
    <t>50</t>
  </si>
  <si>
    <t>Úpravy v rozvaděči ( viz výkr.část ETAPY ) vč. podružného materiálu</t>
  </si>
  <si>
    <t>340</t>
  </si>
  <si>
    <t>612421615RT1</t>
  </si>
  <si>
    <t>2*8</t>
  </si>
  <si>
    <t>1,0+0,8+0,8+1,0</t>
  </si>
  <si>
    <t>092203041</t>
  </si>
  <si>
    <t>314</t>
  </si>
  <si>
    <t>D+M - WCi - Podomítkový montážní prvek pro závěsné WC, se splachovací nádržkou pod omítku.</t>
  </si>
  <si>
    <t>m</t>
  </si>
  <si>
    <t>373</t>
  </si>
  <si>
    <t>Příplatek za zabudované rohovníky</t>
  </si>
  <si>
    <t>D+M - WCi - Závěsný klozet keramický pro imobilní.</t>
  </si>
  <si>
    <t>Slepý stavební rozpočet - rekapitulace</t>
  </si>
  <si>
    <t>2.Etapa – SO01P</t>
  </si>
  <si>
    <t>217</t>
  </si>
  <si>
    <t>225</t>
  </si>
  <si>
    <t>611421431RT7</t>
  </si>
  <si>
    <t>(7,3+4,7+4,7+7,3)*1,8-(0,7*0,52)*6</t>
  </si>
  <si>
    <t>D+M - Potrubí Oc 35,0x1,5 mm</t>
  </si>
  <si>
    <t>722411</t>
  </si>
  <si>
    <t>Přemístění výkopku</t>
  </si>
  <si>
    <t>73155</t>
  </si>
  <si>
    <t>stěny a stropy</t>
  </si>
  <si>
    <t>11</t>
  </si>
  <si>
    <t>Montáž kabel Cu sk.2 do 1 kV do 0,20 kg pod omítku stěn</t>
  </si>
  <si>
    <t>240</t>
  </si>
  <si>
    <t>Základ 12%</t>
  </si>
  <si>
    <t>32</t>
  </si>
  <si>
    <t>766661122RU1</t>
  </si>
  <si>
    <t>Objednatel:</t>
  </si>
  <si>
    <t>204</t>
  </si>
  <si>
    <t>342255028RT1</t>
  </si>
  <si>
    <t>998766101R00</t>
  </si>
  <si>
    <t>974082212</t>
  </si>
  <si>
    <t>100 kus</t>
  </si>
  <si>
    <t>721512</t>
  </si>
  <si>
    <t>974082214</t>
  </si>
  <si>
    <t>D+M - U1 - Směšovací stojánková umyvadlová baterie s výpust.</t>
  </si>
  <si>
    <t>PSV mat</t>
  </si>
  <si>
    <t>300</t>
  </si>
  <si>
    <t>Příčky z desek plynosilikátových tl. 10 cm</t>
  </si>
  <si>
    <t>740991200</t>
  </si>
  <si>
    <t>280</t>
  </si>
  <si>
    <t>Napojení na stávající potrubí vč. utěsnění</t>
  </si>
  <si>
    <t>DMTZ SDK příčky, 1x kov.kce., 1x opláštěné 12,5 mm -k dalš.použ.</t>
  </si>
  <si>
    <t>Potřebné množství</t>
  </si>
  <si>
    <t>273</t>
  </si>
  <si>
    <t>práce ve výšce nad 3m</t>
  </si>
  <si>
    <t>Regulovatelný větrací komínek (hlavice) DN 110 s tepelnou izolací.</t>
  </si>
  <si>
    <t>oškrábání stávaj.omyvatelného nátěru stěn, provedení dle pozn.06</t>
  </si>
  <si>
    <t>73174</t>
  </si>
  <si>
    <t>341408258</t>
  </si>
  <si>
    <t>Zkouška těsnosti vodovodního potrubí do DN 80</t>
  </si>
  <si>
    <t>3</t>
  </si>
  <si>
    <t>711_</t>
  </si>
  <si>
    <t>Bourání prostupu nosnou stěnou, stropem nebo střechou pro potrubí do DN 50, včetně transportu suti a uložení na skládku + oprava, začištění omítky, ut</t>
  </si>
  <si>
    <t>D+M - Doběhový spínač - pevně nastavený čas, 230 V/50 Hz, včetně kabeláže</t>
  </si>
  <si>
    <t>308</t>
  </si>
  <si>
    <t>102</t>
  </si>
  <si>
    <t>Podružný, spojovací, připojovací, kotevní a upevňovací materiál, svorky a - veškeré příslušenství, nátěry, …….</t>
  </si>
  <si>
    <t>Úpravy v rozvaděči - v bodě napojení</t>
  </si>
  <si>
    <t>Zhotovitel:</t>
  </si>
  <si>
    <t>D+M - Ur - Keramický urinál s otvorem pro oplachovací růžici.</t>
  </si>
  <si>
    <t>005 10-1010.R</t>
  </si>
  <si>
    <t>Montáž krabice zapuštěná plastová kruhová typ KU68/2-1902, KO125</t>
  </si>
  <si>
    <t>%</t>
  </si>
  <si>
    <t>Podlahy z dlaždic</t>
  </si>
  <si>
    <t>96_</t>
  </si>
  <si>
    <t>952901111R00</t>
  </si>
  <si>
    <t>dle SoD čl. II odst.2.5.3.</t>
  </si>
  <si>
    <t>59760210.B</t>
  </si>
  <si>
    <t>10038861R</t>
  </si>
  <si>
    <t>D+M - Vl - Podomítkový montážní prvek pro výlevku + nástěnná páková baterie s prodlouženým ramínkem.</t>
  </si>
  <si>
    <t>Sada pro ochranné lokální pospojení</t>
  </si>
  <si>
    <t>02_</t>
  </si>
  <si>
    <t>Zkušební provoz</t>
  </si>
  <si>
    <t>784_</t>
  </si>
  <si>
    <t>296</t>
  </si>
  <si>
    <t>35</t>
  </si>
  <si>
    <t>357118715R</t>
  </si>
  <si>
    <t>D+M - Otopné těleso deskové 22 - 5080 - E (Bílá RAL 9010)</t>
  </si>
  <si>
    <t>Začátek výstavby:</t>
  </si>
  <si>
    <t>72211</t>
  </si>
  <si>
    <t>743681100D</t>
  </si>
  <si>
    <t>Začištění stěn a stropů po vybourání příček tl.10cm</t>
  </si>
  <si>
    <t>781111116R00</t>
  </si>
  <si>
    <t>72265</t>
  </si>
  <si>
    <t>A - Svítidlo LED 20W kruhové , IP43, 2590 lm</t>
  </si>
  <si>
    <t>72215</t>
  </si>
  <si>
    <t>Montáž trubka plastová ohebná D 23 mm uložená pevně</t>
  </si>
  <si>
    <t>A</t>
  </si>
  <si>
    <t>287</t>
  </si>
  <si>
    <t>208</t>
  </si>
  <si>
    <t>D+M - U - Keramické umyvadlo 55 cm, s otvorem pro baterii.</t>
  </si>
  <si>
    <t>Mont mat</t>
  </si>
  <si>
    <t>D+M - Ui - Automatická umyvadlová baterie s elektronikou ALS s termostatickým ventilem, 24 V DC.</t>
  </si>
  <si>
    <t>163</t>
  </si>
  <si>
    <t>13_</t>
  </si>
  <si>
    <t>722</t>
  </si>
  <si>
    <t>72112</t>
  </si>
  <si>
    <t>274</t>
  </si>
  <si>
    <t>Slepý stavební rozpočet</t>
  </si>
  <si>
    <t>8,295*1,25*0,00444</t>
  </si>
  <si>
    <t>93</t>
  </si>
  <si>
    <t>2*(0,6*0,2)*6+2*(1,42*0,15)+(1,0+0,8+0,8+1,0)*0,15</t>
  </si>
  <si>
    <t>Koordinační činnost</t>
  </si>
  <si>
    <t>285</t>
  </si>
  <si>
    <t>279</t>
  </si>
  <si>
    <t>Malba bílá otěruvzdorná, s vys.prodyšností 2x</t>
  </si>
  <si>
    <t>M+D Dveře a zárubeň 900/1970mm+kování -standard</t>
  </si>
  <si>
    <t>Výztuž mazanin svařovanou sítí z drátů Kari</t>
  </si>
  <si>
    <t>173</t>
  </si>
  <si>
    <t>Bourání mazanin betonových tl. 10 cm, nad 4 m2 -celá plocha pod stáv.dlažbou</t>
  </si>
  <si>
    <t>63_</t>
  </si>
  <si>
    <t>157</t>
  </si>
  <si>
    <t>311</t>
  </si>
  <si>
    <t>781320121R00</t>
  </si>
  <si>
    <t>72277</t>
  </si>
  <si>
    <t>101</t>
  </si>
  <si>
    <t>75</t>
  </si>
  <si>
    <t>366</t>
  </si>
  <si>
    <t>54</t>
  </si>
  <si>
    <t>D+M - Potrubí SPIRO do O 125 mm - 40% tvarovek</t>
  </si>
  <si>
    <t>205</t>
  </si>
  <si>
    <t xml:space="preserve"> </t>
  </si>
  <si>
    <t>krabice přístrojová instalační KP 68/1</t>
  </si>
  <si>
    <t>2*(12,37+4,23+4,29+11,56+8,08+12,2)</t>
  </si>
  <si>
    <t>16_</t>
  </si>
  <si>
    <t>Stavební přípomoce</t>
  </si>
  <si>
    <t>136</t>
  </si>
  <si>
    <t>153</t>
  </si>
  <si>
    <t>Demontáž střešního ventilační jednotky - odstranit včetně potrubí, závěsů, zařízení, elektro, MaR a příslušenství</t>
  </si>
  <si>
    <t>73187</t>
  </si>
  <si>
    <t>334</t>
  </si>
  <si>
    <t>123</t>
  </si>
  <si>
    <t>781491001RT1</t>
  </si>
  <si>
    <t>Rámeček dvojnásobný bílý</t>
  </si>
  <si>
    <t>159</t>
  </si>
  <si>
    <t>Vybourání kovových stěn, kromě výkladních, vč.dveří</t>
  </si>
  <si>
    <t>D+M - Návleková tepelná izolace PE tl. 25 mm + polep AL fólií na potrubí d 22,0x1,5 mm</t>
  </si>
  <si>
    <t>Vysekání rýh pro vodiče v omítce MC stěn š do 30 mm</t>
  </si>
  <si>
    <t>kg</t>
  </si>
  <si>
    <t>D+M - Otopné těleso deskové 21 - 5060 - E (Bílá RAL 9010)</t>
  </si>
  <si>
    <t>73163</t>
  </si>
  <si>
    <t>Objednatel</t>
  </si>
  <si>
    <t>D+M - Návleková tepelná izolace PE tl. 20 mm + polep AL fólií na potrubí d 20x2,8 mm</t>
  </si>
  <si>
    <t>341110050</t>
  </si>
  <si>
    <t>57</t>
  </si>
  <si>
    <t>257</t>
  </si>
  <si>
    <t>Výkop pro potrubí (nové/odstraněné) v zemi, šířky 400 mm, hloubky do 500 mm, včetně transportu suti a uložení na skládku + oprava podlahy a utěsnění p</t>
  </si>
  <si>
    <t>trubka elektroinstalační ohebná D36 mm</t>
  </si>
  <si>
    <t>D+M - potrubí PP-RCT - d 25x3,5 mm</t>
  </si>
  <si>
    <t>998711101R00</t>
  </si>
  <si>
    <t>743112115</t>
  </si>
  <si>
    <t>(Kč)</t>
  </si>
  <si>
    <t>Vodorovné přemístění suti nošením do 10 m</t>
  </si>
  <si>
    <t>D+M - Madlo toaletní, 834 mm sklopné, s držákem toaletního papíru, nerez</t>
  </si>
  <si>
    <t>(5,9+4,0+4,0+5,9)*2,1+(0,7*0,08)*6</t>
  </si>
  <si>
    <t>Pročištění potrubí do DN 250</t>
  </si>
  <si>
    <t>72273</t>
  </si>
  <si>
    <t>22</t>
  </si>
  <si>
    <t>Drážky pro potrubí 100x250 mm ve stěně, včetně transportu suti a uložení na skládku + oprava, začištění omítky, utěsnění prostupu a malba</t>
  </si>
  <si>
    <t>Demontáž - VL - Stávající nástěnná baterie, vč. armatur a potrubí.</t>
  </si>
  <si>
    <t>Překlad nenosný porobeton, světlost otv. do 375 cm</t>
  </si>
  <si>
    <t>115</t>
  </si>
  <si>
    <t>Pojištění stavby</t>
  </si>
  <si>
    <t>11163111</t>
  </si>
  <si>
    <t>73171</t>
  </si>
  <si>
    <t>M+D Zrcadlo 2200/600 mm dle popisu v PD -ozn.OS 11</t>
  </si>
  <si>
    <t>Územní vlivy</t>
  </si>
  <si>
    <t>68500231</t>
  </si>
  <si>
    <t>Oprava stávající podlahy po výkopech-provedení a skladba dle TZ</t>
  </si>
  <si>
    <t>Vyvěšení dřevěných dveřních křídel pl. do 2 m2</t>
  </si>
  <si>
    <t>Zdi podpěrné a volné</t>
  </si>
  <si>
    <t>341581780R</t>
  </si>
  <si>
    <t>D+M - Odpadní a připojovací potrubí (HT systém) DN 125</t>
  </si>
  <si>
    <t>m3</t>
  </si>
  <si>
    <t>DPH 12%</t>
  </si>
  <si>
    <t>265</t>
  </si>
  <si>
    <t>Nakládání suti na dopravní prostředky</t>
  </si>
  <si>
    <t>T</t>
  </si>
  <si>
    <t>259</t>
  </si>
  <si>
    <t>Demontáž - Ur - Stávající nástěnný ventil pro urinál, vč. armatur a potrubí.</t>
  </si>
  <si>
    <t>34814435R3</t>
  </si>
  <si>
    <t>Datum:</t>
  </si>
  <si>
    <t>91_</t>
  </si>
  <si>
    <t>215</t>
  </si>
  <si>
    <t>27</t>
  </si>
  <si>
    <t>72246</t>
  </si>
  <si>
    <t>72232</t>
  </si>
  <si>
    <t>dle SoD čl. II odst.2.5.4.</t>
  </si>
  <si>
    <t>612421431RT7</t>
  </si>
  <si>
    <t>provedení dle popisu v PD -dveře 600/1970mm, vč.povrch.úpravy stávající zárubně, zavírače a kování</t>
  </si>
  <si>
    <t>37</t>
  </si>
  <si>
    <t>80</t>
  </si>
  <si>
    <t>m2</t>
  </si>
  <si>
    <t>41</t>
  </si>
  <si>
    <t>337</t>
  </si>
  <si>
    <t>kabel silový s Cu jádrem CYKY 3x2,5 mm2</t>
  </si>
  <si>
    <t>oškrábání stávajících nesoudržných štuků stropů+ mechanické očištění, provedení dle pozn.05 a 07</t>
  </si>
  <si>
    <t>Vysekání rýh pro vodiče v omítce MC stěn š do 70 mm</t>
  </si>
  <si>
    <t>186</t>
  </si>
  <si>
    <t>Přesun hmot a sutí</t>
  </si>
  <si>
    <t>NUS z rozpočtu</t>
  </si>
  <si>
    <t>340520545R</t>
  </si>
  <si>
    <t>Stavební úpravy stávajících WC v objektu ZŠ 28.října, Česká Lípa</t>
  </si>
  <si>
    <t>251</t>
  </si>
  <si>
    <t>Materiál pro stavební přípomoce ( hrubá instalace, jádro )</t>
  </si>
  <si>
    <t>965049112RT2</t>
  </si>
  <si>
    <t>M+D Zásobník na papírové ručníky dle popisu v PD -ozn.OS 06</t>
  </si>
  <si>
    <t>Výkaz výměr</t>
  </si>
  <si>
    <t>72133</t>
  </si>
  <si>
    <t>7471621R</t>
  </si>
  <si>
    <t>1</t>
  </si>
  <si>
    <t>Koordinace - není součástí položky ve VRN</t>
  </si>
  <si>
    <t>766661112RU3</t>
  </si>
  <si>
    <t>72258</t>
  </si>
  <si>
    <t>747111111</t>
  </si>
  <si>
    <t>206</t>
  </si>
  <si>
    <t>72142</t>
  </si>
  <si>
    <t>7</t>
  </si>
  <si>
    <t>73142</t>
  </si>
  <si>
    <t>236</t>
  </si>
  <si>
    <t>Rozměry</t>
  </si>
  <si>
    <t>321</t>
  </si>
  <si>
    <t>771575109R00</t>
  </si>
  <si>
    <t>Krabice  IP65</t>
  </si>
  <si>
    <t>73123</t>
  </si>
  <si>
    <t>350</t>
  </si>
  <si>
    <t>Demontáž - Ez 1 - Stávající nástěnný zásobník TV (Tatramat EOV 151), vč. armatur a potrubí.</t>
  </si>
  <si>
    <t>74</t>
  </si>
  <si>
    <t>Položek:</t>
  </si>
  <si>
    <t>Dokumentace skutečného provedení (3 paré) - není součástí položky ve VRN</t>
  </si>
  <si>
    <t>NUS celkem</t>
  </si>
  <si>
    <t>Podlahy a podlahové konstrukce</t>
  </si>
  <si>
    <t>5,9+4,0+4,0+5,9</t>
  </si>
  <si>
    <t>WORK</t>
  </si>
  <si>
    <t>971033148</t>
  </si>
  <si>
    <t>771579795R00</t>
  </si>
  <si>
    <t>164</t>
  </si>
  <si>
    <t>IR snímač 360° / 8 m / IP20</t>
  </si>
  <si>
    <t>D+M - Vl - Výlevka keramická závěsná s plastovou sklopnou mřížkou.</t>
  </si>
  <si>
    <t>Bourání prostupu příčkou, včetně transportu suti a uložení na skládku + oprava, začištění omítky, utěsnění prostupu a malba</t>
  </si>
  <si>
    <t>131</t>
  </si>
  <si>
    <t>72249</t>
  </si>
  <si>
    <t>H01_</t>
  </si>
  <si>
    <t>979082111R00</t>
  </si>
  <si>
    <t>73154</t>
  </si>
  <si>
    <t>83</t>
  </si>
  <si>
    <t>;ztratné 5%; 16,6787</t>
  </si>
  <si>
    <t>72231</t>
  </si>
  <si>
    <t>771_</t>
  </si>
  <si>
    <t>(5,9+4,0+4,0+5,9)*0,3</t>
  </si>
  <si>
    <t>Protiprašný nátěr stropů -nad podhledy</t>
  </si>
  <si>
    <t>213</t>
  </si>
  <si>
    <t>72143</t>
  </si>
  <si>
    <t>2*(2,975+0,68+0,3*2)*3,3</t>
  </si>
  <si>
    <t>631319173R00</t>
  </si>
  <si>
    <t>114</t>
  </si>
  <si>
    <t>Zkouška těsnosti kanalizačního potrubí do DN 250</t>
  </si>
  <si>
    <t>Ostatní rozpočtové náklady ORN</t>
  </si>
  <si>
    <t>941955002R00</t>
  </si>
  <si>
    <t>766661413RU2</t>
  </si>
  <si>
    <t>721511</t>
  </si>
  <si>
    <t>47</t>
  </si>
  <si>
    <t>2*55,07</t>
  </si>
  <si>
    <t>130,2+40,8</t>
  </si>
  <si>
    <t>6*8</t>
  </si>
  <si>
    <t>73183</t>
  </si>
  <si>
    <t>překlad nenosný 250 x 24,9 x 7 cm  ozn.P1</t>
  </si>
  <si>
    <t>Tlaková zkouška potrubí do DN 250</t>
  </si>
  <si>
    <t>104b</t>
  </si>
  <si>
    <t>HSV mat</t>
  </si>
  <si>
    <t>Kč</t>
  </si>
  <si>
    <t>294</t>
  </si>
  <si>
    <t>104a</t>
  </si>
  <si>
    <t>M21_</t>
  </si>
  <si>
    <t>979990121R00</t>
  </si>
  <si>
    <t>348</t>
  </si>
  <si>
    <t>177</t>
  </si>
  <si>
    <t>D+M - Tlumič hluku soklový pro připevnění na plochou střechu 420x420x750 mm</t>
  </si>
  <si>
    <t>3,027</t>
  </si>
  <si>
    <t>66</t>
  </si>
  <si>
    <t>74991111R</t>
  </si>
  <si>
    <t>Celkem VRN</t>
  </si>
  <si>
    <t>krabice univerzální z PH KU 68/2-1903</t>
  </si>
  <si>
    <t>(7,3+4,7+4,7+7,3)*1,2-(0,7*0,08)*6</t>
  </si>
  <si>
    <t>2*2*0,9*1,97+2*0,6*1,97</t>
  </si>
  <si>
    <t>365</t>
  </si>
  <si>
    <t>333,574</t>
  </si>
  <si>
    <t>72175</t>
  </si>
  <si>
    <t>72151</t>
  </si>
  <si>
    <t>Oprava váp.omítek stropů do 50% plochy - štukových -dle pozn.03</t>
  </si>
  <si>
    <t>288</t>
  </si>
  <si>
    <t>72178</t>
  </si>
  <si>
    <t>612421739RT7</t>
  </si>
  <si>
    <t>Vzduchotechnika</t>
  </si>
  <si>
    <t>72259</t>
  </si>
  <si>
    <t>D+M - HP - Kanalizační přivzdušňovací ventil DN 75, s dvojitou izolační stěnou.</t>
  </si>
  <si>
    <t>34814435R2</t>
  </si>
  <si>
    <t>201</t>
  </si>
  <si>
    <t>013254000R</t>
  </si>
  <si>
    <t>72272</t>
  </si>
  <si>
    <t>Poplatek za skládku suti - stavební keramika</t>
  </si>
  <si>
    <t>protiprašné a protihlukové opatření -8 etap</t>
  </si>
  <si>
    <t>347</t>
  </si>
  <si>
    <t>155</t>
  </si>
  <si>
    <t>247</t>
  </si>
  <si>
    <t>90</t>
  </si>
  <si>
    <t>345357691</t>
  </si>
  <si>
    <t>210</t>
  </si>
  <si>
    <t>89</t>
  </si>
  <si>
    <t>245</t>
  </si>
  <si>
    <t>desky P 2 - 500, 599 x 249 x 100 mm</t>
  </si>
  <si>
    <t>Koordinace s provozovatelem / investorem</t>
  </si>
  <si>
    <t>2*(3,3*7)</t>
  </si>
  <si>
    <t>Ostatní rozpočtové náklady (ORN)</t>
  </si>
  <si>
    <t>354</t>
  </si>
  <si>
    <t>D+M - Ur - Ventil pro oplach pisoáru  + Infračervený splachovač pisoáru s elektronikou ALS, 24V DC.</t>
  </si>
  <si>
    <t>minerální kazetový podhled na systémovém roštu, tl.desky 15mm, tl.izolace 50mm, kazety omyvatelné, se zvýšenou odolností proti vlhkosti</t>
  </si>
  <si>
    <t>721510</t>
  </si>
  <si>
    <t>142,42+24,4</t>
  </si>
  <si>
    <t>179</t>
  </si>
  <si>
    <t>72214</t>
  </si>
  <si>
    <t>000</t>
  </si>
  <si>
    <t>Celkem DN</t>
  </si>
  <si>
    <t>101a</t>
  </si>
  <si>
    <t>185</t>
  </si>
  <si>
    <t>88</t>
  </si>
  <si>
    <t>D+M - Sklopné zrcadlo nad umyvadlo s možností naklopení o 10°, s páčkou, nerez</t>
  </si>
  <si>
    <t>02_9_</t>
  </si>
  <si>
    <t>Prostup stropní konstrukcí pro potrubí + oprava a začištění stropu a střechy + utěsnění</t>
  </si>
  <si>
    <t>148</t>
  </si>
  <si>
    <t>M+D Dělící stěna mezi pisoáry 620x330mm ozn.OS03</t>
  </si>
  <si>
    <t>744411230</t>
  </si>
  <si>
    <t>344</t>
  </si>
  <si>
    <t>326</t>
  </si>
  <si>
    <t>303</t>
  </si>
  <si>
    <t>Zkrácený popis</t>
  </si>
  <si>
    <t>Bourání prostupu příčkou dvojci pro potrubí do DN 50, včetně transportu suti a uložení na skládku + oprava, začištění omítky, utěsnění prostupu a malb</t>
  </si>
  <si>
    <t>28</t>
  </si>
  <si>
    <t>111</t>
  </si>
  <si>
    <t>D+M - Pojistný ventil se zpětnou klapkou pro ohřívač TV (do 6 bar), chromovaný, DN 15</t>
  </si>
  <si>
    <t>744411220</t>
  </si>
  <si>
    <t>Napuštění otopné soustavy</t>
  </si>
  <si>
    <t>35711289R</t>
  </si>
  <si>
    <t>Demontáž - U - Stávající nástěnná umyvadlová baterie, vč. armatur a potrubí.</t>
  </si>
  <si>
    <t>Demontáž - Ur - Urinál (pisoár) keramický, vč. armatur a potrubí.</t>
  </si>
  <si>
    <t>(0,6*0,6*0,1)*2+(1,355+1,07)*0,3*0,1</t>
  </si>
  <si>
    <t>Obkládání parapetů do tmele šířky do 300 mm ozn.OS12</t>
  </si>
  <si>
    <t>312</t>
  </si>
  <si>
    <t>979011111R00</t>
  </si>
  <si>
    <t>239</t>
  </si>
  <si>
    <t>2*(12,37+11,56+5,08+12,2)</t>
  </si>
  <si>
    <t>771</t>
  </si>
  <si>
    <t>Vyregulování ventilů s termostatickým ovládáním</t>
  </si>
  <si>
    <t>CELK</t>
  </si>
  <si>
    <t>8,9</t>
  </si>
  <si>
    <t>D+M - Odpadní a připojovací potrubí (HT systém) DN 75</t>
  </si>
  <si>
    <t>73121</t>
  </si>
  <si>
    <t>Bandáž koutů - provedení</t>
  </si>
  <si>
    <t>113</t>
  </si>
  <si>
    <t>106</t>
  </si>
  <si>
    <t>protiprašné a protihlukové opatření -celkem 8 etap (vč.zárubní)</t>
  </si>
  <si>
    <t>Demontáž - WC - Stávající rohový nástěnný ventil pro WC + splachovací nádržka, vč. armatur a potrubí.</t>
  </si>
  <si>
    <t>376</t>
  </si>
  <si>
    <t>94_</t>
  </si>
  <si>
    <t>2*(6,125*2+0,775*4)*3,3-2*(0,9*2,02)*2-2*(0,8*2,02)</t>
  </si>
  <si>
    <t>784111201RT1</t>
  </si>
  <si>
    <t>protiprašné a protihlukové opatření</t>
  </si>
  <si>
    <t>73131</t>
  </si>
  <si>
    <t>72161</t>
  </si>
  <si>
    <t>65</t>
  </si>
  <si>
    <t>VATTAX</t>
  </si>
  <si>
    <t>339</t>
  </si>
  <si>
    <t>Prorážení otvorů a ostatní bourací práce</t>
  </si>
  <si>
    <t>244</t>
  </si>
  <si>
    <t>(28,8+7,2)*0,2</t>
  </si>
  <si>
    <t>301</t>
  </si>
  <si>
    <t>169</t>
  </si>
  <si>
    <t>722412</t>
  </si>
  <si>
    <t>34</t>
  </si>
  <si>
    <t>62</t>
  </si>
  <si>
    <t>193</t>
  </si>
  <si>
    <t>721515</t>
  </si>
  <si>
    <t>Doplňkové náklady DN</t>
  </si>
  <si>
    <t>VRN_</t>
  </si>
  <si>
    <t>743411111</t>
  </si>
  <si>
    <t>72278</t>
  </si>
  <si>
    <t>978013161RT1</t>
  </si>
  <si>
    <t>335</t>
  </si>
  <si>
    <t>Vybourání kovových dveřních zárubní pl. do 2 m2 -dle pozn.09</t>
  </si>
  <si>
    <t>72255</t>
  </si>
  <si>
    <t>2*(6,125+5,115)*2*1,5-2*(1,0*1,15)*2-2*(0,6*0,6)*3</t>
  </si>
  <si>
    <t>Izolace proti vodě</t>
  </si>
  <si>
    <t>72122</t>
  </si>
  <si>
    <t>767995201RU5</t>
  </si>
  <si>
    <t>218</t>
  </si>
  <si>
    <t>746591510</t>
  </si>
  <si>
    <t>341</t>
  </si>
  <si>
    <t>Podružný montážní materiál</t>
  </si>
  <si>
    <t>766661422RU2</t>
  </si>
  <si>
    <t>99,01</t>
  </si>
  <si>
    <t>612473186R00</t>
  </si>
  <si>
    <t>3,21+1,24+1,24+3,21</t>
  </si>
  <si>
    <t>Seřízení a zaregulování  celé soustavy, VZT rozvodů a koncových prvků</t>
  </si>
  <si>
    <t>72153</t>
  </si>
  <si>
    <t>kabel silový s Cu jádrem CYKY 5x1,5 mm2</t>
  </si>
  <si>
    <t>2*2</t>
  </si>
  <si>
    <t>293</t>
  </si>
  <si>
    <t>dle SoD čl. II odst.2.5.9.</t>
  </si>
  <si>
    <t>dle SoD čl. II odst.2.5.2</t>
  </si>
  <si>
    <t>dle SoD čl. II odst.2.5.7.</t>
  </si>
  <si>
    <t>dle SoD čl. II odst.2.5.5.</t>
  </si>
  <si>
    <t>dle SOD čl. II odst.2.1.3. a 2.1.4.</t>
  </si>
  <si>
    <t>dle SoD čl. II odst.2.1.2. a 2.5.1.</t>
  </si>
  <si>
    <t>dle SoD čl. II odst.2.5.6.</t>
  </si>
  <si>
    <t>protiprašné a protihlukové opatření -celkem 8 etap</t>
  </si>
  <si>
    <t>protiprašné a protihlukové opatření - 8 etap</t>
  </si>
  <si>
    <t>Bourání prostupu nosnou stěnou a stropem pro dvojici potrubí do DN 50, včetně transportu suti a uložení na skládku + oprava, začištění omítky, utěsnění</t>
  </si>
  <si>
    <t>Bourání prostupu příčkou pro dvojici potrubí do DN 50, včetně transportu suti a uložení na skládku + oprava, začištění omítky, utěsnění prostupu a malb</t>
  </si>
  <si>
    <t>Demontáž - Stávající oc. potrubí do DN 50, včetně konzol, tep. izolací a připoj. armatur</t>
  </si>
  <si>
    <t>M+D Bandáž koutů - úplné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</si>
</sst>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20"/>
      <color rgb="FF000000"/>
      <name val="Arial"/>
      <family val="2"/>
    </font>
    <font>
      <i/>
      <sz val="9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2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4" fontId="3" fillId="2" borderId="6" xfId="0" applyNumberFormat="1" applyFont="1" applyFill="1" applyBorder="1" applyAlignment="1" applyProtection="1">
      <alignment horizontal="right" vertical="center"/>
      <protection/>
    </xf>
    <xf numFmtId="0" fontId="4" fillId="0" borderId="7" xfId="0" applyNumberFormat="1" applyFont="1" applyFill="1" applyBorder="1" applyAlignment="1" applyProtection="1">
      <alignment horizontal="left" vertical="center"/>
      <protection/>
    </xf>
    <xf numFmtId="0" fontId="7" fillId="2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2" borderId="12" xfId="0" applyNumberFormat="1" applyFont="1" applyFill="1" applyBorder="1" applyAlignment="1" applyProtection="1">
      <alignment horizontal="left" vertical="center"/>
      <protection/>
    </xf>
    <xf numFmtId="4" fontId="8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4" fillId="2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2" borderId="12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4" fontId="9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right" vertical="center"/>
      <protection/>
    </xf>
    <xf numFmtId="4" fontId="3" fillId="2" borderId="10" xfId="0" applyNumberFormat="1" applyFont="1" applyFill="1" applyBorder="1" applyAlignment="1" applyProtection="1">
      <alignment horizontal="right" vertical="center"/>
      <protection/>
    </xf>
    <xf numFmtId="4" fontId="9" fillId="0" borderId="5" xfId="0" applyNumberFormat="1" applyFont="1" applyFill="1" applyBorder="1" applyAlignment="1" applyProtection="1">
      <alignment horizontal="right" vertical="center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6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 horizontal="right" vertical="center"/>
      <protection/>
    </xf>
    <xf numFmtId="0" fontId="5" fillId="3" borderId="12" xfId="0" applyNumberFormat="1" applyFont="1" applyFill="1" applyBorder="1" applyAlignment="1" applyProtection="1">
      <alignment horizontal="left" vertical="center"/>
      <protection/>
    </xf>
    <xf numFmtId="4" fontId="5" fillId="3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3" fillId="2" borderId="33" xfId="0" applyNumberFormat="1" applyFont="1" applyFill="1" applyBorder="1" applyAlignment="1" applyProtection="1">
      <alignment horizontal="left" vertical="center"/>
      <protection/>
    </xf>
    <xf numFmtId="0" fontId="3" fillId="2" borderId="34" xfId="0" applyNumberFormat="1" applyFont="1" applyFill="1" applyBorder="1" applyAlignment="1" applyProtection="1">
      <alignment horizontal="left" vertical="center"/>
      <protection/>
    </xf>
    <xf numFmtId="0" fontId="3" fillId="2" borderId="15" xfId="0" applyNumberFormat="1" applyFont="1" applyFill="1" applyBorder="1" applyAlignment="1" applyProtection="1">
      <alignment horizontal="left" vertical="center"/>
      <protection/>
    </xf>
    <xf numFmtId="0" fontId="3" fillId="2" borderId="8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6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4" fillId="0" borderId="32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9" xfId="0" applyNumberFormat="1" applyFont="1" applyFill="1" applyBorder="1" applyAlignment="1" applyProtection="1">
      <alignment horizontal="left" vertical="center"/>
      <protection/>
    </xf>
    <xf numFmtId="0" fontId="4" fillId="0" borderId="4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Border="1" applyAlignment="1" applyProtection="1">
      <alignment horizontal="left" vertical="center" wrapText="1"/>
      <protection/>
    </xf>
    <xf numFmtId="0" fontId="5" fillId="3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</xdr:colOff>
      <xdr:row>0</xdr:row>
      <xdr:rowOff>666750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OutlineSymbols="0" workbookViewId="0" topLeftCell="A1">
      <selection activeCell="C2" sqref="C2:D3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04" t="s">
        <v>294</v>
      </c>
      <c r="B1" s="105"/>
      <c r="C1" s="105"/>
      <c r="D1" s="105"/>
      <c r="E1" s="105"/>
      <c r="F1" s="105"/>
      <c r="G1" s="105"/>
      <c r="H1" s="105"/>
      <c r="I1" s="105"/>
    </row>
    <row r="2" spans="1:9" ht="15" customHeight="1">
      <c r="A2" s="106" t="s">
        <v>87</v>
      </c>
      <c r="B2" s="99"/>
      <c r="C2" s="101" t="str">
        <f>'Stavební rozpočet'!D2</f>
        <v>Stavební úpravy stávajících WC v objektu ZŠ 28.října, Česká Lípa</v>
      </c>
      <c r="D2" s="102"/>
      <c r="E2" s="98" t="s">
        <v>1047</v>
      </c>
      <c r="F2" s="98" t="str">
        <f>'Stavební rozpočet'!J2</f>
        <v> </v>
      </c>
      <c r="G2" s="99"/>
      <c r="H2" s="98" t="s">
        <v>796</v>
      </c>
      <c r="I2" s="110" t="s">
        <v>852</v>
      </c>
    </row>
    <row r="3" spans="1:9" ht="15" customHeight="1">
      <c r="A3" s="107"/>
      <c r="B3" s="70"/>
      <c r="C3" s="103"/>
      <c r="D3" s="103"/>
      <c r="E3" s="70"/>
      <c r="F3" s="70"/>
      <c r="G3" s="70"/>
      <c r="H3" s="70"/>
      <c r="I3" s="111"/>
    </row>
    <row r="4" spans="1:9" ht="15" customHeight="1">
      <c r="A4" s="108" t="s">
        <v>674</v>
      </c>
      <c r="B4" s="70"/>
      <c r="C4" s="69" t="str">
        <f>'Stavební rozpočet'!D4</f>
        <v xml:space="preserve"> </v>
      </c>
      <c r="D4" s="70"/>
      <c r="E4" s="69" t="s">
        <v>845</v>
      </c>
      <c r="F4" s="69" t="str">
        <f>'Stavební rozpočet'!J4</f>
        <v> </v>
      </c>
      <c r="G4" s="70"/>
      <c r="H4" s="69" t="s">
        <v>796</v>
      </c>
      <c r="I4" s="111" t="s">
        <v>852</v>
      </c>
    </row>
    <row r="5" spans="1:9" ht="15" customHeight="1">
      <c r="A5" s="107"/>
      <c r="B5" s="70"/>
      <c r="C5" s="70"/>
      <c r="D5" s="70"/>
      <c r="E5" s="70"/>
      <c r="F5" s="70"/>
      <c r="G5" s="70"/>
      <c r="H5" s="70"/>
      <c r="I5" s="111"/>
    </row>
    <row r="6" spans="1:9" ht="15" customHeight="1">
      <c r="A6" s="108" t="s">
        <v>107</v>
      </c>
      <c r="B6" s="70"/>
      <c r="C6" s="69" t="str">
        <f>'Stavební rozpočet'!D6</f>
        <v xml:space="preserve"> </v>
      </c>
      <c r="D6" s="70"/>
      <c r="E6" s="69" t="s">
        <v>1079</v>
      </c>
      <c r="F6" s="69" t="str">
        <f>'Stavební rozpočet'!J6</f>
        <v> </v>
      </c>
      <c r="G6" s="70"/>
      <c r="H6" s="69" t="s">
        <v>796</v>
      </c>
      <c r="I6" s="111" t="s">
        <v>852</v>
      </c>
    </row>
    <row r="7" spans="1:9" ht="15" customHeight="1">
      <c r="A7" s="107"/>
      <c r="B7" s="70"/>
      <c r="C7" s="70"/>
      <c r="D7" s="70"/>
      <c r="E7" s="70"/>
      <c r="F7" s="70"/>
      <c r="G7" s="70"/>
      <c r="H7" s="70"/>
      <c r="I7" s="111"/>
    </row>
    <row r="8" spans="1:9" ht="15" customHeight="1">
      <c r="A8" s="108" t="s">
        <v>1099</v>
      </c>
      <c r="B8" s="70"/>
      <c r="C8" s="69"/>
      <c r="D8" s="70"/>
      <c r="E8" s="69" t="s">
        <v>425</v>
      </c>
      <c r="F8" s="69" t="str">
        <f>'Stavební rozpočet'!H6</f>
        <v xml:space="preserve"> </v>
      </c>
      <c r="G8" s="70"/>
      <c r="H8" s="70" t="s">
        <v>1249</v>
      </c>
      <c r="I8" s="112">
        <v>380</v>
      </c>
    </row>
    <row r="9" spans="1:9" ht="15" customHeight="1">
      <c r="A9" s="107"/>
      <c r="B9" s="70"/>
      <c r="C9" s="70"/>
      <c r="D9" s="70"/>
      <c r="E9" s="70"/>
      <c r="F9" s="70"/>
      <c r="G9" s="70"/>
      <c r="H9" s="70"/>
      <c r="I9" s="111"/>
    </row>
    <row r="10" spans="1:9" ht="15" customHeight="1">
      <c r="A10" s="108" t="s">
        <v>619</v>
      </c>
      <c r="B10" s="70"/>
      <c r="C10" s="69" t="str">
        <f>'Stavební rozpočet'!D8</f>
        <v xml:space="preserve"> </v>
      </c>
      <c r="D10" s="70"/>
      <c r="E10" s="69" t="s">
        <v>821</v>
      </c>
      <c r="F10" s="69" t="str">
        <f>'Stavební rozpočet'!J8</f>
        <v> </v>
      </c>
      <c r="G10" s="70"/>
      <c r="H10" s="70" t="s">
        <v>1202</v>
      </c>
      <c r="I10" s="113"/>
    </row>
    <row r="11" spans="1:9" ht="15" customHeight="1">
      <c r="A11" s="109"/>
      <c r="B11" s="100"/>
      <c r="C11" s="100"/>
      <c r="D11" s="100"/>
      <c r="E11" s="100"/>
      <c r="F11" s="100"/>
      <c r="G11" s="100"/>
      <c r="H11" s="100"/>
      <c r="I11" s="114"/>
    </row>
    <row r="12" spans="1:9" ht="22.5" customHeight="1">
      <c r="A12" s="97" t="s">
        <v>205</v>
      </c>
      <c r="B12" s="97"/>
      <c r="C12" s="97"/>
      <c r="D12" s="97"/>
      <c r="E12" s="97"/>
      <c r="F12" s="97"/>
      <c r="G12" s="97"/>
      <c r="H12" s="97"/>
      <c r="I12" s="97"/>
    </row>
    <row r="13" spans="1:9" ht="26.25" customHeight="1">
      <c r="A13" s="17" t="s">
        <v>1108</v>
      </c>
      <c r="B13" s="92" t="s">
        <v>151</v>
      </c>
      <c r="C13" s="93"/>
      <c r="D13" s="8" t="s">
        <v>223</v>
      </c>
      <c r="E13" s="92" t="s">
        <v>476</v>
      </c>
      <c r="F13" s="93"/>
      <c r="G13" s="8" t="s">
        <v>783</v>
      </c>
      <c r="H13" s="92" t="s">
        <v>226</v>
      </c>
      <c r="I13" s="93"/>
    </row>
    <row r="14" spans="1:9" ht="15" customHeight="1">
      <c r="A14" s="42" t="s">
        <v>491</v>
      </c>
      <c r="B14" s="35" t="s">
        <v>323</v>
      </c>
      <c r="C14" s="40">
        <f>SUM('Stavební rozpočet'!AB12:AB490)</f>
        <v>0</v>
      </c>
      <c r="D14" s="84" t="s">
        <v>879</v>
      </c>
      <c r="E14" s="85"/>
      <c r="F14" s="40">
        <f>VORN!I15</f>
        <v>0</v>
      </c>
      <c r="G14" s="84" t="s">
        <v>125</v>
      </c>
      <c r="H14" s="85"/>
      <c r="I14" s="14">
        <f>VORN!I21</f>
        <v>0</v>
      </c>
    </row>
    <row r="15" spans="1:9" ht="15" customHeight="1">
      <c r="A15" s="1" t="s">
        <v>852</v>
      </c>
      <c r="B15" s="35" t="s">
        <v>235</v>
      </c>
      <c r="C15" s="40">
        <f>SUM('Stavební rozpočet'!AC12:AC490)</f>
        <v>0</v>
      </c>
      <c r="D15" s="84" t="s">
        <v>119</v>
      </c>
      <c r="E15" s="85"/>
      <c r="F15" s="40">
        <f>VORN!I16</f>
        <v>0</v>
      </c>
      <c r="G15" s="84" t="s">
        <v>986</v>
      </c>
      <c r="H15" s="85"/>
      <c r="I15" s="14">
        <f>VORN!I22</f>
        <v>0</v>
      </c>
    </row>
    <row r="16" spans="1:9" ht="15" customHeight="1">
      <c r="A16" s="42" t="s">
        <v>113</v>
      </c>
      <c r="B16" s="35" t="s">
        <v>323</v>
      </c>
      <c r="C16" s="40">
        <f>SUM('Stavební rozpočet'!AD12:AD490)</f>
        <v>0</v>
      </c>
      <c r="D16" s="84" t="s">
        <v>907</v>
      </c>
      <c r="E16" s="85"/>
      <c r="F16" s="40">
        <f>VORN!I17</f>
        <v>0</v>
      </c>
      <c r="G16" s="84" t="s">
        <v>1187</v>
      </c>
      <c r="H16" s="85"/>
      <c r="I16" s="14">
        <f>VORN!I23</f>
        <v>0</v>
      </c>
    </row>
    <row r="17" spans="1:9" ht="15" customHeight="1">
      <c r="A17" s="1" t="s">
        <v>852</v>
      </c>
      <c r="B17" s="35" t="s">
        <v>235</v>
      </c>
      <c r="C17" s="40">
        <f>SUM('Stavební rozpočet'!AE12:AE490)</f>
        <v>0</v>
      </c>
      <c r="D17" s="84" t="s">
        <v>852</v>
      </c>
      <c r="E17" s="85"/>
      <c r="F17" s="14" t="s">
        <v>852</v>
      </c>
      <c r="G17" s="84" t="s">
        <v>658</v>
      </c>
      <c r="H17" s="85"/>
      <c r="I17" s="14">
        <f>VORN!I24</f>
        <v>0</v>
      </c>
    </row>
    <row r="18" spans="1:9" ht="15" customHeight="1">
      <c r="A18" s="42" t="s">
        <v>396</v>
      </c>
      <c r="B18" s="35" t="s">
        <v>323</v>
      </c>
      <c r="C18" s="40">
        <f>SUM('Stavební rozpočet'!AF12:AF490)</f>
        <v>0</v>
      </c>
      <c r="D18" s="84" t="s">
        <v>852</v>
      </c>
      <c r="E18" s="85"/>
      <c r="F18" s="14" t="s">
        <v>852</v>
      </c>
      <c r="G18" s="84" t="s">
        <v>800</v>
      </c>
      <c r="H18" s="85"/>
      <c r="I18" s="14">
        <f>VORN!I25</f>
        <v>0</v>
      </c>
    </row>
    <row r="19" spans="1:9" ht="15" customHeight="1">
      <c r="A19" s="1" t="s">
        <v>852</v>
      </c>
      <c r="B19" s="35" t="s">
        <v>235</v>
      </c>
      <c r="C19" s="40">
        <f>SUM('Stavební rozpočet'!AG12:AG490)</f>
        <v>0</v>
      </c>
      <c r="D19" s="84" t="s">
        <v>852</v>
      </c>
      <c r="E19" s="85"/>
      <c r="F19" s="14" t="s">
        <v>852</v>
      </c>
      <c r="G19" s="84" t="s">
        <v>1221</v>
      </c>
      <c r="H19" s="85"/>
      <c r="I19" s="14">
        <f>VORN!I26</f>
        <v>0</v>
      </c>
    </row>
    <row r="20" spans="1:9" ht="15" customHeight="1">
      <c r="A20" s="91" t="s">
        <v>88</v>
      </c>
      <c r="B20" s="90"/>
      <c r="C20" s="40">
        <f>SUM('Stavební rozpočet'!AH12:AH490)</f>
        <v>0</v>
      </c>
      <c r="D20" s="84" t="s">
        <v>852</v>
      </c>
      <c r="E20" s="85"/>
      <c r="F20" s="14" t="s">
        <v>852</v>
      </c>
      <c r="G20" s="84" t="s">
        <v>852</v>
      </c>
      <c r="H20" s="85"/>
      <c r="I20" s="14" t="s">
        <v>852</v>
      </c>
    </row>
    <row r="21" spans="1:9" ht="15" customHeight="1">
      <c r="A21" s="94" t="s">
        <v>1220</v>
      </c>
      <c r="B21" s="95"/>
      <c r="C21" s="54">
        <f>SUM('Stavební rozpočet'!Z12:Z490)</f>
        <v>0</v>
      </c>
      <c r="D21" s="75" t="s">
        <v>852</v>
      </c>
      <c r="E21" s="86"/>
      <c r="F21" s="52" t="s">
        <v>852</v>
      </c>
      <c r="G21" s="75" t="s">
        <v>852</v>
      </c>
      <c r="H21" s="86"/>
      <c r="I21" s="52" t="s">
        <v>852</v>
      </c>
    </row>
    <row r="22" spans="1:9" ht="16.5" customHeight="1">
      <c r="A22" s="96" t="s">
        <v>249</v>
      </c>
      <c r="B22" s="88"/>
      <c r="C22" s="58">
        <f>SUM(C14:C21)</f>
        <v>0</v>
      </c>
      <c r="D22" s="87" t="s">
        <v>647</v>
      </c>
      <c r="E22" s="88"/>
      <c r="F22" s="58">
        <f>SUM(F14:F21)</f>
        <v>0</v>
      </c>
      <c r="G22" s="87" t="s">
        <v>1251</v>
      </c>
      <c r="H22" s="88"/>
      <c r="I22" s="58">
        <f>SUM(I14:I21)</f>
        <v>0</v>
      </c>
    </row>
    <row r="23" spans="4:9" ht="15" customHeight="1">
      <c r="D23" s="91" t="s">
        <v>991</v>
      </c>
      <c r="E23" s="90"/>
      <c r="F23" s="46">
        <v>0</v>
      </c>
      <c r="G23" s="89" t="s">
        <v>70</v>
      </c>
      <c r="H23" s="90"/>
      <c r="I23" s="40">
        <v>0</v>
      </c>
    </row>
    <row r="24" spans="7:9" ht="15" customHeight="1">
      <c r="G24" s="91" t="s">
        <v>745</v>
      </c>
      <c r="H24" s="90"/>
      <c r="I24" s="54">
        <f>vorn_sum</f>
        <v>0</v>
      </c>
    </row>
    <row r="25" spans="7:9" ht="15" customHeight="1">
      <c r="G25" s="91" t="s">
        <v>402</v>
      </c>
      <c r="H25" s="90"/>
      <c r="I25" s="58">
        <v>0</v>
      </c>
    </row>
    <row r="27" spans="1:3" ht="15" customHeight="1">
      <c r="A27" s="80" t="s">
        <v>531</v>
      </c>
      <c r="B27" s="81"/>
      <c r="C27" s="6">
        <f>SUM('Stavební rozpočet'!AJ12:AJ490)</f>
        <v>0</v>
      </c>
    </row>
    <row r="28" spans="1:9" ht="15" customHeight="1">
      <c r="A28" s="82" t="s">
        <v>1044</v>
      </c>
      <c r="B28" s="83"/>
      <c r="C28" s="53">
        <f>SUM('Stavební rozpočet'!AK12:AK490)</f>
        <v>0</v>
      </c>
      <c r="D28" s="81" t="s">
        <v>1195</v>
      </c>
      <c r="E28" s="81"/>
      <c r="F28" s="6">
        <f>ROUND(C28*(12/100),2)</f>
        <v>0</v>
      </c>
      <c r="G28" s="81" t="s">
        <v>171</v>
      </c>
      <c r="H28" s="81"/>
      <c r="I28" s="6">
        <f>SUM(C27:C29)</f>
        <v>0</v>
      </c>
    </row>
    <row r="29" spans="1:9" ht="15" customHeight="1">
      <c r="A29" s="82" t="s">
        <v>61</v>
      </c>
      <c r="B29" s="83"/>
      <c r="C29" s="53">
        <f>SUM('Stavební rozpočet'!AL12:AL490)+(F22+I22+F23+I23+I24+I25)</f>
        <v>0</v>
      </c>
      <c r="D29" s="83" t="s">
        <v>924</v>
      </c>
      <c r="E29" s="83"/>
      <c r="F29" s="53">
        <f>ROUND(C29*(21/100),2)</f>
        <v>0</v>
      </c>
      <c r="G29" s="83" t="s">
        <v>528</v>
      </c>
      <c r="H29" s="83"/>
      <c r="I29" s="53">
        <f>SUM(F28:F29)+I28</f>
        <v>0</v>
      </c>
    </row>
    <row r="31" spans="1:9" ht="15" customHeight="1">
      <c r="A31" s="71" t="s">
        <v>22</v>
      </c>
      <c r="B31" s="72"/>
      <c r="C31" s="73"/>
      <c r="D31" s="72" t="s">
        <v>1162</v>
      </c>
      <c r="E31" s="72"/>
      <c r="F31" s="73"/>
      <c r="G31" s="72" t="s">
        <v>839</v>
      </c>
      <c r="H31" s="72"/>
      <c r="I31" s="73"/>
    </row>
    <row r="32" spans="1:9" ht="15" customHeight="1">
      <c r="A32" s="74" t="s">
        <v>852</v>
      </c>
      <c r="B32" s="75"/>
      <c r="C32" s="76"/>
      <c r="D32" s="75" t="s">
        <v>852</v>
      </c>
      <c r="E32" s="75"/>
      <c r="F32" s="76"/>
      <c r="G32" s="75" t="s">
        <v>852</v>
      </c>
      <c r="H32" s="75"/>
      <c r="I32" s="76"/>
    </row>
    <row r="33" spans="1:9" ht="15" customHeight="1">
      <c r="A33" s="74" t="s">
        <v>852</v>
      </c>
      <c r="B33" s="75"/>
      <c r="C33" s="76"/>
      <c r="D33" s="75" t="s">
        <v>852</v>
      </c>
      <c r="E33" s="75"/>
      <c r="F33" s="76"/>
      <c r="G33" s="75" t="s">
        <v>852</v>
      </c>
      <c r="H33" s="75"/>
      <c r="I33" s="76"/>
    </row>
    <row r="34" spans="1:9" ht="15" customHeight="1">
      <c r="A34" s="74" t="s">
        <v>852</v>
      </c>
      <c r="B34" s="75"/>
      <c r="C34" s="76"/>
      <c r="D34" s="75" t="s">
        <v>852</v>
      </c>
      <c r="E34" s="75"/>
      <c r="F34" s="76"/>
      <c r="G34" s="75" t="s">
        <v>852</v>
      </c>
      <c r="H34" s="75"/>
      <c r="I34" s="76"/>
    </row>
    <row r="35" spans="1:9" ht="15" customHeight="1">
      <c r="A35" s="77" t="s">
        <v>245</v>
      </c>
      <c r="B35" s="78"/>
      <c r="C35" s="79"/>
      <c r="D35" s="78" t="s">
        <v>245</v>
      </c>
      <c r="E35" s="78"/>
      <c r="F35" s="79"/>
      <c r="G35" s="78" t="s">
        <v>245</v>
      </c>
      <c r="H35" s="78"/>
      <c r="I35" s="79"/>
    </row>
    <row r="36" ht="15" customHeight="1">
      <c r="A36" s="26" t="s">
        <v>104</v>
      </c>
    </row>
    <row r="37" spans="1:9" ht="12.75" customHeight="1">
      <c r="A37" s="69" t="s">
        <v>852</v>
      </c>
      <c r="B37" s="70"/>
      <c r="C37" s="70"/>
      <c r="D37" s="70"/>
      <c r="E37" s="70"/>
      <c r="F37" s="70"/>
      <c r="G37" s="70"/>
      <c r="H37" s="70"/>
      <c r="I37" s="70"/>
    </row>
  </sheetData>
  <sheetProtection algorithmName="SHA-512" hashValue="udvFPxCPxmPpjZbGwwHtD4Rx13FvH+9Zy9BWyWIkF2JQX24qc23Xumi2z4K2R1MdKeQ++NHg8XCcv9UbNA85EA==" saltValue="OuPsBdFtdXoMO+INNJ5cXA==" spinCount="100000" sheet="1" objects="1" scenarios="1"/>
  <mergeCells count="83"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G19:H19"/>
    <mergeCell ref="D18:E18"/>
    <mergeCell ref="D19:E19"/>
    <mergeCell ref="D20:E20"/>
    <mergeCell ref="D21:E21"/>
    <mergeCell ref="G14:H14"/>
    <mergeCell ref="G15:H15"/>
    <mergeCell ref="G16:H16"/>
    <mergeCell ref="G17:H17"/>
    <mergeCell ref="G18:H18"/>
    <mergeCell ref="G28:H28"/>
    <mergeCell ref="G29:H2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</mergeCells>
  <printOptions/>
  <pageMargins left="0.394" right="0.394" top="0.591" bottom="0.591" header="0" footer="0"/>
  <pageSetup firstPageNumber="0" useFirstPageNumber="1" fitToHeight="1" fitToWidth="1" horizontalDpi="600" verticalDpi="600" orientation="portrait" paperSize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showOutlineSymbols="0" workbookViewId="0" topLeftCell="A1">
      <pane ySplit="11" topLeftCell="A12" activePane="bottomLeft" state="frozen"/>
      <selection pane="topLeft" activeCell="C40" sqref="C40:F40"/>
      <selection pane="bottomLeft" activeCell="C24" sqref="C24:F24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7" max="7" width="32.5" style="0" customWidth="1"/>
    <col min="8" max="9" width="14.16015625" style="0" hidden="1" customWidth="1"/>
  </cols>
  <sheetData>
    <row r="1" spans="1:7" ht="54.75" customHeight="1">
      <c r="A1" s="105" t="s">
        <v>1030</v>
      </c>
      <c r="B1" s="105"/>
      <c r="C1" s="105"/>
      <c r="D1" s="105"/>
      <c r="E1" s="105"/>
      <c r="F1" s="105"/>
      <c r="G1" s="105"/>
    </row>
    <row r="2" spans="1:7" ht="15" customHeight="1">
      <c r="A2" s="106" t="s">
        <v>87</v>
      </c>
      <c r="B2" s="99"/>
      <c r="C2" s="101" t="str">
        <f>'Stavební rozpočet'!D2</f>
        <v>Stavební úpravy stávajících WC v objektu ZŠ 28.října, Česká Lípa</v>
      </c>
      <c r="D2" s="99" t="s">
        <v>11</v>
      </c>
      <c r="E2" s="99" t="s">
        <v>1142</v>
      </c>
      <c r="F2" s="98" t="s">
        <v>1047</v>
      </c>
      <c r="G2" s="115" t="str">
        <f>'Stavební rozpočet'!J2</f>
        <v> </v>
      </c>
    </row>
    <row r="3" spans="1:7" ht="15" customHeight="1">
      <c r="A3" s="107"/>
      <c r="B3" s="70"/>
      <c r="C3" s="103"/>
      <c r="D3" s="70"/>
      <c r="E3" s="70"/>
      <c r="F3" s="70"/>
      <c r="G3" s="111"/>
    </row>
    <row r="4" spans="1:7" ht="15" customHeight="1">
      <c r="A4" s="108" t="s">
        <v>674</v>
      </c>
      <c r="B4" s="70"/>
      <c r="C4" s="69" t="str">
        <f>'Stavební rozpočet'!D4</f>
        <v xml:space="preserve"> </v>
      </c>
      <c r="D4" s="70" t="s">
        <v>1099</v>
      </c>
      <c r="E4" s="70"/>
      <c r="F4" s="69" t="s">
        <v>845</v>
      </c>
      <c r="G4" s="113" t="str">
        <f>'Stavební rozpočet'!J4</f>
        <v> </v>
      </c>
    </row>
    <row r="5" spans="1:7" ht="15" customHeight="1">
      <c r="A5" s="107"/>
      <c r="B5" s="70"/>
      <c r="C5" s="70"/>
      <c r="D5" s="70"/>
      <c r="E5" s="70"/>
      <c r="F5" s="70"/>
      <c r="G5" s="111"/>
    </row>
    <row r="6" spans="1:7" ht="15" customHeight="1">
      <c r="A6" s="108" t="s">
        <v>107</v>
      </c>
      <c r="B6" s="70"/>
      <c r="C6" s="69" t="str">
        <f>'Stavební rozpočet'!D6</f>
        <v xml:space="preserve"> </v>
      </c>
      <c r="D6" s="70" t="s">
        <v>425</v>
      </c>
      <c r="E6" s="70" t="s">
        <v>1142</v>
      </c>
      <c r="F6" s="69" t="s">
        <v>1079</v>
      </c>
      <c r="G6" s="113" t="str">
        <f>'Stavební rozpočet'!J6</f>
        <v> </v>
      </c>
    </row>
    <row r="7" spans="1:7" ht="15" customHeight="1">
      <c r="A7" s="107"/>
      <c r="B7" s="70"/>
      <c r="C7" s="70"/>
      <c r="D7" s="70"/>
      <c r="E7" s="70"/>
      <c r="F7" s="70"/>
      <c r="G7" s="111"/>
    </row>
    <row r="8" spans="1:7" ht="15" customHeight="1">
      <c r="A8" s="108" t="s">
        <v>821</v>
      </c>
      <c r="B8" s="70"/>
      <c r="C8" s="69" t="str">
        <f>'Stavební rozpočet'!J8</f>
        <v> </v>
      </c>
      <c r="D8" s="70" t="s">
        <v>691</v>
      </c>
      <c r="E8" s="70"/>
      <c r="F8" s="70" t="s">
        <v>691</v>
      </c>
      <c r="G8" s="113"/>
    </row>
    <row r="9" spans="1:7" ht="15" customHeight="1">
      <c r="A9" s="107"/>
      <c r="B9" s="70"/>
      <c r="C9" s="70"/>
      <c r="D9" s="100"/>
      <c r="E9" s="100"/>
      <c r="F9" s="100"/>
      <c r="G9" s="111"/>
    </row>
    <row r="10" spans="1:7" ht="15" customHeight="1">
      <c r="A10" s="18" t="s">
        <v>910</v>
      </c>
      <c r="B10" s="24" t="s">
        <v>433</v>
      </c>
      <c r="C10" s="27" t="s">
        <v>1356</v>
      </c>
      <c r="G10" s="36" t="s">
        <v>75</v>
      </c>
    </row>
    <row r="11" spans="1:9" ht="15" customHeight="1">
      <c r="A11" s="16" t="s">
        <v>5</v>
      </c>
      <c r="B11" s="32" t="s">
        <v>852</v>
      </c>
      <c r="C11" s="70" t="s">
        <v>1031</v>
      </c>
      <c r="D11" s="70"/>
      <c r="E11" s="70"/>
      <c r="F11" s="70"/>
      <c r="G11" s="9">
        <f>'Stavební rozpočet'!I12</f>
        <v>0</v>
      </c>
      <c r="H11" s="60" t="s">
        <v>573</v>
      </c>
      <c r="I11" s="9">
        <f aca="true" t="shared" si="0" ref="I11:I40">IF(H11="F",0,G11)</f>
        <v>0</v>
      </c>
    </row>
    <row r="12" spans="1:9" ht="15" customHeight="1">
      <c r="A12" s="16" t="s">
        <v>5</v>
      </c>
      <c r="B12" s="32" t="s">
        <v>380</v>
      </c>
      <c r="C12" s="70" t="s">
        <v>12</v>
      </c>
      <c r="D12" s="70"/>
      <c r="E12" s="70"/>
      <c r="F12" s="70"/>
      <c r="G12" s="9">
        <f>'Stavební rozpočet'!I13</f>
        <v>0</v>
      </c>
      <c r="H12" s="60" t="s">
        <v>1198</v>
      </c>
      <c r="I12" s="9">
        <f t="shared" si="0"/>
        <v>0</v>
      </c>
    </row>
    <row r="13" spans="1:9" ht="15" customHeight="1">
      <c r="A13" s="16" t="s">
        <v>5</v>
      </c>
      <c r="B13" s="32" t="s">
        <v>112</v>
      </c>
      <c r="C13" s="70" t="s">
        <v>1038</v>
      </c>
      <c r="D13" s="70"/>
      <c r="E13" s="70"/>
      <c r="F13" s="70"/>
      <c r="G13" s="9">
        <f>'Stavební rozpočet'!I16</f>
        <v>0</v>
      </c>
      <c r="H13" s="60" t="s">
        <v>1198</v>
      </c>
      <c r="I13" s="9">
        <f t="shared" si="0"/>
        <v>0</v>
      </c>
    </row>
    <row r="14" spans="1:9" ht="15" customHeight="1">
      <c r="A14" s="16" t="s">
        <v>5</v>
      </c>
      <c r="B14" s="32" t="s">
        <v>860</v>
      </c>
      <c r="C14" s="70" t="s">
        <v>165</v>
      </c>
      <c r="D14" s="70"/>
      <c r="E14" s="70"/>
      <c r="F14" s="70"/>
      <c r="G14" s="9">
        <f>'Stavební rozpočet'!I18</f>
        <v>0</v>
      </c>
      <c r="H14" s="60" t="s">
        <v>1198</v>
      </c>
      <c r="I14" s="9">
        <f t="shared" si="0"/>
        <v>0</v>
      </c>
    </row>
    <row r="15" spans="1:9" ht="15" customHeight="1">
      <c r="A15" s="16" t="s">
        <v>5</v>
      </c>
      <c r="B15" s="32" t="s">
        <v>728</v>
      </c>
      <c r="C15" s="70" t="s">
        <v>1191</v>
      </c>
      <c r="D15" s="70"/>
      <c r="E15" s="70"/>
      <c r="F15" s="70"/>
      <c r="G15" s="9">
        <f>'Stavební rozpočet'!I21</f>
        <v>0</v>
      </c>
      <c r="H15" s="60" t="s">
        <v>1198</v>
      </c>
      <c r="I15" s="9">
        <f t="shared" si="0"/>
        <v>0</v>
      </c>
    </row>
    <row r="16" spans="1:9" ht="15" customHeight="1">
      <c r="A16" s="16" t="s">
        <v>5</v>
      </c>
      <c r="B16" s="32" t="s">
        <v>1399</v>
      </c>
      <c r="C16" s="70" t="s">
        <v>303</v>
      </c>
      <c r="D16" s="70"/>
      <c r="E16" s="70"/>
      <c r="F16" s="70"/>
      <c r="G16" s="9">
        <f>'Stavební rozpočet'!I26</f>
        <v>0</v>
      </c>
      <c r="H16" s="60" t="s">
        <v>1198</v>
      </c>
      <c r="I16" s="9">
        <f t="shared" si="0"/>
        <v>0</v>
      </c>
    </row>
    <row r="17" spans="1:9" ht="15" customHeight="1">
      <c r="A17" s="16" t="s">
        <v>5</v>
      </c>
      <c r="B17" s="32" t="s">
        <v>1214</v>
      </c>
      <c r="C17" s="70" t="s">
        <v>913</v>
      </c>
      <c r="D17" s="70"/>
      <c r="E17" s="70"/>
      <c r="F17" s="70"/>
      <c r="G17" s="9">
        <f>'Stavební rozpočet'!I34</f>
        <v>0</v>
      </c>
      <c r="H17" s="60" t="s">
        <v>1198</v>
      </c>
      <c r="I17" s="9">
        <f t="shared" si="0"/>
        <v>0</v>
      </c>
    </row>
    <row r="18" spans="1:9" ht="15" customHeight="1">
      <c r="A18" s="16" t="s">
        <v>5</v>
      </c>
      <c r="B18" s="32" t="s">
        <v>883</v>
      </c>
      <c r="C18" s="70" t="s">
        <v>878</v>
      </c>
      <c r="D18" s="70"/>
      <c r="E18" s="70"/>
      <c r="F18" s="70"/>
      <c r="G18" s="9">
        <f>'Stavební rozpočet'!I37</f>
        <v>0</v>
      </c>
      <c r="H18" s="60" t="s">
        <v>1198</v>
      </c>
      <c r="I18" s="9">
        <f t="shared" si="0"/>
        <v>0</v>
      </c>
    </row>
    <row r="19" spans="1:9" ht="15" customHeight="1">
      <c r="A19" s="16" t="s">
        <v>5</v>
      </c>
      <c r="B19" s="32" t="s">
        <v>296</v>
      </c>
      <c r="C19" s="70" t="s">
        <v>1252</v>
      </c>
      <c r="D19" s="70"/>
      <c r="E19" s="70"/>
      <c r="F19" s="70"/>
      <c r="G19" s="9">
        <f>'Stavební rozpočet'!I48</f>
        <v>0</v>
      </c>
      <c r="H19" s="60" t="s">
        <v>1198</v>
      </c>
      <c r="I19" s="9">
        <f t="shared" si="0"/>
        <v>0</v>
      </c>
    </row>
    <row r="20" spans="1:9" ht="15" customHeight="1">
      <c r="A20" s="16" t="s">
        <v>5</v>
      </c>
      <c r="B20" s="32" t="s">
        <v>56</v>
      </c>
      <c r="C20" s="70" t="s">
        <v>474</v>
      </c>
      <c r="D20" s="70"/>
      <c r="E20" s="70"/>
      <c r="F20" s="70"/>
      <c r="G20" s="9">
        <f>'Stavební rozpočet'!I55</f>
        <v>0</v>
      </c>
      <c r="H20" s="60" t="s">
        <v>1198</v>
      </c>
      <c r="I20" s="9">
        <f t="shared" si="0"/>
        <v>0</v>
      </c>
    </row>
    <row r="21" spans="1:9" ht="15" customHeight="1">
      <c r="A21" s="16" t="s">
        <v>5</v>
      </c>
      <c r="B21" s="32" t="s">
        <v>141</v>
      </c>
      <c r="C21" s="70" t="s">
        <v>865</v>
      </c>
      <c r="D21" s="70"/>
      <c r="E21" s="70"/>
      <c r="F21" s="70"/>
      <c r="G21" s="9">
        <f>'Stavební rozpočet'!I58</f>
        <v>0</v>
      </c>
      <c r="H21" s="60" t="s">
        <v>1198</v>
      </c>
      <c r="I21" s="9">
        <f t="shared" si="0"/>
        <v>0</v>
      </c>
    </row>
    <row r="22" spans="1:9" ht="15" customHeight="1">
      <c r="A22" s="16" t="s">
        <v>5</v>
      </c>
      <c r="B22" s="32" t="s">
        <v>522</v>
      </c>
      <c r="C22" s="70" t="s">
        <v>911</v>
      </c>
      <c r="D22" s="70"/>
      <c r="E22" s="70"/>
      <c r="F22" s="70"/>
      <c r="G22" s="9">
        <f>'Stavební rozpočet'!I60</f>
        <v>0</v>
      </c>
      <c r="H22" s="60" t="s">
        <v>1198</v>
      </c>
      <c r="I22" s="9">
        <f t="shared" si="0"/>
        <v>0</v>
      </c>
    </row>
    <row r="23" spans="1:9" ht="15" customHeight="1">
      <c r="A23" s="16" t="s">
        <v>5</v>
      </c>
      <c r="B23" s="32" t="s">
        <v>686</v>
      </c>
      <c r="C23" s="70" t="s">
        <v>915</v>
      </c>
      <c r="D23" s="70"/>
      <c r="E23" s="70"/>
      <c r="F23" s="70"/>
      <c r="G23" s="9">
        <f>'Stavební rozpočet'!I62</f>
        <v>0</v>
      </c>
      <c r="H23" s="60" t="s">
        <v>1198</v>
      </c>
      <c r="I23" s="9">
        <f t="shared" si="0"/>
        <v>0</v>
      </c>
    </row>
    <row r="24" spans="1:9" ht="15" customHeight="1">
      <c r="A24" s="16" t="s">
        <v>5</v>
      </c>
      <c r="B24" s="32" t="s">
        <v>139</v>
      </c>
      <c r="C24" s="70" t="s">
        <v>1393</v>
      </c>
      <c r="D24" s="70"/>
      <c r="E24" s="70"/>
      <c r="F24" s="70"/>
      <c r="G24" s="9">
        <f>'Stavební rozpočet'!I89</f>
        <v>0</v>
      </c>
      <c r="H24" s="60" t="s">
        <v>1198</v>
      </c>
      <c r="I24" s="9">
        <f t="shared" si="0"/>
        <v>0</v>
      </c>
    </row>
    <row r="25" spans="1:9" ht="15" customHeight="1">
      <c r="A25" s="16" t="s">
        <v>5</v>
      </c>
      <c r="B25" s="32" t="s">
        <v>434</v>
      </c>
      <c r="C25" s="70" t="s">
        <v>561</v>
      </c>
      <c r="D25" s="70"/>
      <c r="E25" s="70"/>
      <c r="F25" s="70"/>
      <c r="G25" s="9">
        <f>'Stavební rozpočet'!I97</f>
        <v>0</v>
      </c>
      <c r="H25" s="60" t="s">
        <v>1198</v>
      </c>
      <c r="I25" s="9">
        <f t="shared" si="0"/>
        <v>0</v>
      </c>
    </row>
    <row r="26" spans="1:9" ht="15" customHeight="1">
      <c r="A26" s="16" t="s">
        <v>5</v>
      </c>
      <c r="B26" s="32" t="s">
        <v>797</v>
      </c>
      <c r="C26" s="70" t="s">
        <v>753</v>
      </c>
      <c r="D26" s="70"/>
      <c r="E26" s="70"/>
      <c r="F26" s="70"/>
      <c r="G26" s="9">
        <f>'Stavební rozpočet'!I110</f>
        <v>0</v>
      </c>
      <c r="H26" s="60" t="s">
        <v>1198</v>
      </c>
      <c r="I26" s="9">
        <f t="shared" si="0"/>
        <v>0</v>
      </c>
    </row>
    <row r="27" spans="1:9" ht="15" customHeight="1">
      <c r="A27" s="16" t="s">
        <v>5</v>
      </c>
      <c r="B27" s="32" t="s">
        <v>76</v>
      </c>
      <c r="C27" s="70" t="s">
        <v>1412</v>
      </c>
      <c r="D27" s="70"/>
      <c r="E27" s="70"/>
      <c r="F27" s="70"/>
      <c r="G27" s="9">
        <f>'Stavební rozpočet'!I112</f>
        <v>0</v>
      </c>
      <c r="H27" s="60" t="s">
        <v>1198</v>
      </c>
      <c r="I27" s="9">
        <f t="shared" si="0"/>
        <v>0</v>
      </c>
    </row>
    <row r="28" spans="1:9" ht="15" customHeight="1">
      <c r="A28" s="16" t="s">
        <v>5</v>
      </c>
      <c r="B28" s="32" t="s">
        <v>788</v>
      </c>
      <c r="C28" s="70" t="s">
        <v>673</v>
      </c>
      <c r="D28" s="70"/>
      <c r="E28" s="70"/>
      <c r="F28" s="70"/>
      <c r="G28" s="9">
        <f>'Stavební rozpočet'!I119</f>
        <v>0</v>
      </c>
      <c r="H28" s="60" t="s">
        <v>1198</v>
      </c>
      <c r="I28" s="9">
        <f t="shared" si="0"/>
        <v>0</v>
      </c>
    </row>
    <row r="29" spans="1:9" ht="15" customHeight="1">
      <c r="A29" s="16" t="s">
        <v>5</v>
      </c>
      <c r="B29" s="32" t="s">
        <v>1116</v>
      </c>
      <c r="C29" s="70" t="s">
        <v>268</v>
      </c>
      <c r="D29" s="70"/>
      <c r="E29" s="70"/>
      <c r="F29" s="70"/>
      <c r="G29" s="9">
        <f>'Stavební rozpočet'!I165</f>
        <v>0</v>
      </c>
      <c r="H29" s="60" t="s">
        <v>1198</v>
      </c>
      <c r="I29" s="9">
        <f t="shared" si="0"/>
        <v>0</v>
      </c>
    </row>
    <row r="30" spans="1:9" ht="15" customHeight="1">
      <c r="A30" s="16" t="s">
        <v>5</v>
      </c>
      <c r="B30" s="32" t="s">
        <v>693</v>
      </c>
      <c r="C30" s="70" t="s">
        <v>1314</v>
      </c>
      <c r="D30" s="70"/>
      <c r="E30" s="70"/>
      <c r="F30" s="70"/>
      <c r="G30" s="9">
        <f>'Stavební rozpočet'!I218</f>
        <v>0</v>
      </c>
      <c r="H30" s="60" t="s">
        <v>1198</v>
      </c>
      <c r="I30" s="9">
        <f t="shared" si="0"/>
        <v>0</v>
      </c>
    </row>
    <row r="31" spans="1:9" ht="15" customHeight="1">
      <c r="A31" s="16" t="s">
        <v>5</v>
      </c>
      <c r="B31" s="32" t="s">
        <v>467</v>
      </c>
      <c r="C31" s="70" t="s">
        <v>93</v>
      </c>
      <c r="D31" s="70"/>
      <c r="E31" s="70"/>
      <c r="F31" s="70"/>
      <c r="G31" s="9">
        <f>'Stavební rozpočet'!I263</f>
        <v>0</v>
      </c>
      <c r="H31" s="60" t="s">
        <v>1198</v>
      </c>
      <c r="I31" s="9">
        <f t="shared" si="0"/>
        <v>0</v>
      </c>
    </row>
    <row r="32" spans="1:9" ht="15" customHeight="1">
      <c r="A32" s="16" t="s">
        <v>5</v>
      </c>
      <c r="B32" s="32" t="s">
        <v>542</v>
      </c>
      <c r="C32" s="70" t="s">
        <v>604</v>
      </c>
      <c r="D32" s="70"/>
      <c r="E32" s="70"/>
      <c r="F32" s="70"/>
      <c r="G32" s="9">
        <f>'Stavební rozpočet'!I303</f>
        <v>0</v>
      </c>
      <c r="H32" s="60" t="s">
        <v>1198</v>
      </c>
      <c r="I32" s="9">
        <f t="shared" si="0"/>
        <v>0</v>
      </c>
    </row>
    <row r="33" spans="1:9" ht="15" customHeight="1">
      <c r="A33" s="16" t="s">
        <v>5</v>
      </c>
      <c r="B33" s="32" t="s">
        <v>584</v>
      </c>
      <c r="C33" s="70" t="s">
        <v>397</v>
      </c>
      <c r="D33" s="70"/>
      <c r="E33" s="70"/>
      <c r="F33" s="70"/>
      <c r="G33" s="9">
        <f>'Stavební rozpočet'!I323</f>
        <v>0</v>
      </c>
      <c r="H33" s="60" t="s">
        <v>1198</v>
      </c>
      <c r="I33" s="9">
        <f t="shared" si="0"/>
        <v>0</v>
      </c>
    </row>
    <row r="34" spans="1:9" ht="15" customHeight="1">
      <c r="A34" s="16" t="s">
        <v>5</v>
      </c>
      <c r="B34" s="32" t="s">
        <v>1372</v>
      </c>
      <c r="C34" s="70" t="s">
        <v>1084</v>
      </c>
      <c r="D34" s="70"/>
      <c r="E34" s="70"/>
      <c r="F34" s="70"/>
      <c r="G34" s="9">
        <f>'Stavební rozpočet'!I343</f>
        <v>0</v>
      </c>
      <c r="H34" s="60" t="s">
        <v>1198</v>
      </c>
      <c r="I34" s="9">
        <f t="shared" si="0"/>
        <v>0</v>
      </c>
    </row>
    <row r="35" spans="1:9" ht="15" customHeight="1">
      <c r="A35" s="16" t="s">
        <v>5</v>
      </c>
      <c r="B35" s="32" t="s">
        <v>1000</v>
      </c>
      <c r="C35" s="70" t="s">
        <v>565</v>
      </c>
      <c r="D35" s="70"/>
      <c r="E35" s="70"/>
      <c r="F35" s="70"/>
      <c r="G35" s="9">
        <f>'Stavební rozpočet'!I353</f>
        <v>0</v>
      </c>
      <c r="H35" s="60" t="s">
        <v>1198</v>
      </c>
      <c r="I35" s="9">
        <f t="shared" si="0"/>
        <v>0</v>
      </c>
    </row>
    <row r="36" spans="1:9" ht="15" customHeight="1">
      <c r="A36" s="16" t="s">
        <v>5</v>
      </c>
      <c r="B36" s="32" t="s">
        <v>683</v>
      </c>
      <c r="C36" s="70" t="s">
        <v>31</v>
      </c>
      <c r="D36" s="70"/>
      <c r="E36" s="70"/>
      <c r="F36" s="70"/>
      <c r="G36" s="9">
        <f>'Stavební rozpočet'!I372</f>
        <v>0</v>
      </c>
      <c r="H36" s="60" t="s">
        <v>1198</v>
      </c>
      <c r="I36" s="9">
        <f t="shared" si="0"/>
        <v>0</v>
      </c>
    </row>
    <row r="37" spans="1:9" ht="15" customHeight="1">
      <c r="A37" s="16" t="s">
        <v>5</v>
      </c>
      <c r="B37" s="32" t="s">
        <v>187</v>
      </c>
      <c r="C37" s="70" t="s">
        <v>941</v>
      </c>
      <c r="D37" s="70"/>
      <c r="E37" s="70"/>
      <c r="F37" s="70"/>
      <c r="G37" s="9">
        <f>'Stavební rozpočet'!I378</f>
        <v>0</v>
      </c>
      <c r="H37" s="60" t="s">
        <v>1198</v>
      </c>
      <c r="I37" s="9">
        <f t="shared" si="0"/>
        <v>0</v>
      </c>
    </row>
    <row r="38" spans="1:9" ht="15" customHeight="1">
      <c r="A38" s="16" t="s">
        <v>894</v>
      </c>
      <c r="B38" s="32" t="s">
        <v>852</v>
      </c>
      <c r="C38" s="70" t="s">
        <v>855</v>
      </c>
      <c r="D38" s="70"/>
      <c r="E38" s="70"/>
      <c r="F38" s="70"/>
      <c r="G38" s="9">
        <f>'Stavební rozpočet'!I453</f>
        <v>0</v>
      </c>
      <c r="H38" s="60" t="s">
        <v>573</v>
      </c>
      <c r="I38" s="9">
        <f t="shared" si="0"/>
        <v>0</v>
      </c>
    </row>
    <row r="39" spans="1:9" ht="15" customHeight="1">
      <c r="A39" s="16" t="s">
        <v>894</v>
      </c>
      <c r="B39" s="32" t="s">
        <v>1342</v>
      </c>
      <c r="C39" s="70" t="s">
        <v>743</v>
      </c>
      <c r="D39" s="70"/>
      <c r="E39" s="70"/>
      <c r="F39" s="70"/>
      <c r="G39" s="9">
        <f>'Stavební rozpočet'!I454</f>
        <v>0</v>
      </c>
      <c r="H39" s="60" t="s">
        <v>1198</v>
      </c>
      <c r="I39" s="9">
        <f t="shared" si="0"/>
        <v>0</v>
      </c>
    </row>
    <row r="40" spans="1:9" ht="15" customHeight="1">
      <c r="A40" s="16" t="s">
        <v>894</v>
      </c>
      <c r="B40" s="32" t="s">
        <v>736</v>
      </c>
      <c r="C40" s="70" t="s">
        <v>998</v>
      </c>
      <c r="D40" s="70"/>
      <c r="E40" s="70"/>
      <c r="F40" s="70"/>
      <c r="G40" s="9">
        <f>'Stavební rozpočet'!I475</f>
        <v>0</v>
      </c>
      <c r="H40" s="60" t="s">
        <v>1198</v>
      </c>
      <c r="I40" s="9">
        <f t="shared" si="0"/>
        <v>0</v>
      </c>
    </row>
    <row r="41" spans="6:7" ht="15" customHeight="1">
      <c r="F41" s="44" t="s">
        <v>981</v>
      </c>
      <c r="G41" s="29">
        <f>SUM(I11:I40)</f>
        <v>0</v>
      </c>
    </row>
  </sheetData>
  <sheetProtection algorithmName="SHA-512" hashValue="zN/R3pOG/IdtfDLLqqgKErqwvoyISNF2Bfbx6ueb8BPywN4Jqmn1sCiLj7vZCSKmHXR1xh9lyPAETizhnD5utQ==" saltValue="sCfKMkVFmFwSMx65MOQFPA==" spinCount="100000" sheet="1" objects="1" scenarios="1"/>
  <mergeCells count="55"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  <mergeCell ref="G2:G3"/>
    <mergeCell ref="G4:G5"/>
    <mergeCell ref="G6:G7"/>
    <mergeCell ref="G8:G9"/>
    <mergeCell ref="C11:F11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E8:E9"/>
    <mergeCell ref="C23:F23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6:F36"/>
    <mergeCell ref="C37:F37"/>
    <mergeCell ref="C38:F38"/>
    <mergeCell ref="C39:F39"/>
    <mergeCell ref="C40:F40"/>
  </mergeCells>
  <printOptions/>
  <pageMargins left="0.394" right="0.394" top="0.591" bottom="0.591" header="0" footer="0"/>
  <pageSetup firstPageNumber="0" useFirstPageNumber="1" fitToHeight="0" fitToWidth="1" horizontalDpi="600" verticalDpi="600" orientation="portrait" paperSize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W493"/>
  <sheetViews>
    <sheetView tabSelected="1" showOutlineSymbols="0" workbookViewId="0" topLeftCell="A1">
      <pane ySplit="11" topLeftCell="A311" activePane="bottomLeft" state="frozen"/>
      <selection pane="topLeft" activeCell="A497" sqref="A497:K497"/>
      <selection pane="bottomLeft" activeCell="D345" sqref="D345:E345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50" style="0" customWidth="1"/>
    <col min="5" max="5" width="41.66015625" style="0" customWidth="1"/>
    <col min="6" max="6" width="8.66015625" style="0" customWidth="1"/>
    <col min="7" max="7" width="15" style="0" customWidth="1"/>
    <col min="8" max="8" width="14" style="0" customWidth="1"/>
    <col min="9" max="9" width="18.33203125" style="0" customWidth="1"/>
    <col min="25" max="75" width="14.16015625" style="0" hidden="1" customWidth="1"/>
  </cols>
  <sheetData>
    <row r="1" spans="1:47" ht="54.75" customHeight="1">
      <c r="A1" s="128" t="s">
        <v>1119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AS1" s="55">
        <f>SUM(AJ1:AJ2)</f>
        <v>0</v>
      </c>
      <c r="AT1" s="55">
        <f>SUM(AK1:AK2)</f>
        <v>0</v>
      </c>
      <c r="AU1" s="55">
        <f>SUM(AL1:AL2)</f>
        <v>0</v>
      </c>
    </row>
    <row r="2" spans="1:11" ht="15" customHeight="1">
      <c r="A2" s="106" t="s">
        <v>87</v>
      </c>
      <c r="B2" s="99"/>
      <c r="C2" s="99"/>
      <c r="D2" s="101" t="s">
        <v>1223</v>
      </c>
      <c r="E2" s="102"/>
      <c r="F2" s="99" t="s">
        <v>11</v>
      </c>
      <c r="G2" s="99"/>
      <c r="H2" s="99" t="s">
        <v>1142</v>
      </c>
      <c r="I2" s="98" t="s">
        <v>1047</v>
      </c>
      <c r="J2" s="99" t="s">
        <v>600</v>
      </c>
      <c r="K2" s="110"/>
    </row>
    <row r="3" spans="1:11" ht="15" customHeight="1">
      <c r="A3" s="107"/>
      <c r="B3" s="70"/>
      <c r="C3" s="70"/>
      <c r="D3" s="103"/>
      <c r="E3" s="103"/>
      <c r="F3" s="70"/>
      <c r="G3" s="70"/>
      <c r="H3" s="70"/>
      <c r="I3" s="70"/>
      <c r="J3" s="70"/>
      <c r="K3" s="111"/>
    </row>
    <row r="4" spans="1:11" ht="15" customHeight="1">
      <c r="A4" s="108" t="s">
        <v>674</v>
      </c>
      <c r="B4" s="70"/>
      <c r="C4" s="70"/>
      <c r="D4" s="69" t="s">
        <v>1142</v>
      </c>
      <c r="E4" s="70"/>
      <c r="F4" s="70" t="s">
        <v>1099</v>
      </c>
      <c r="G4" s="70"/>
      <c r="H4" s="70"/>
      <c r="I4" s="69" t="s">
        <v>845</v>
      </c>
      <c r="J4" s="70" t="s">
        <v>600</v>
      </c>
      <c r="K4" s="111"/>
    </row>
    <row r="5" spans="1:11" ht="15" customHeight="1">
      <c r="A5" s="107"/>
      <c r="B5" s="70"/>
      <c r="C5" s="70"/>
      <c r="D5" s="70"/>
      <c r="E5" s="70"/>
      <c r="F5" s="70"/>
      <c r="G5" s="70"/>
      <c r="H5" s="70"/>
      <c r="I5" s="70"/>
      <c r="J5" s="70"/>
      <c r="K5" s="111"/>
    </row>
    <row r="6" spans="1:11" ht="15" customHeight="1">
      <c r="A6" s="108" t="s">
        <v>107</v>
      </c>
      <c r="B6" s="70"/>
      <c r="C6" s="70"/>
      <c r="D6" s="69" t="s">
        <v>1142</v>
      </c>
      <c r="E6" s="70"/>
      <c r="F6" s="70" t="s">
        <v>425</v>
      </c>
      <c r="G6" s="70"/>
      <c r="H6" s="70" t="s">
        <v>1142</v>
      </c>
      <c r="I6" s="69" t="s">
        <v>1079</v>
      </c>
      <c r="J6" s="70" t="s">
        <v>600</v>
      </c>
      <c r="K6" s="111"/>
    </row>
    <row r="7" spans="1:11" ht="15" customHeight="1">
      <c r="A7" s="107"/>
      <c r="B7" s="70"/>
      <c r="C7" s="70"/>
      <c r="D7" s="70"/>
      <c r="E7" s="70"/>
      <c r="F7" s="70"/>
      <c r="G7" s="70"/>
      <c r="H7" s="70"/>
      <c r="I7" s="70"/>
      <c r="J7" s="70"/>
      <c r="K7" s="111"/>
    </row>
    <row r="8" spans="1:11" ht="15" customHeight="1">
      <c r="A8" s="108" t="s">
        <v>619</v>
      </c>
      <c r="B8" s="70"/>
      <c r="C8" s="70"/>
      <c r="D8" s="69" t="s">
        <v>1142</v>
      </c>
      <c r="E8" s="70"/>
      <c r="F8" s="70" t="s">
        <v>691</v>
      </c>
      <c r="G8" s="70"/>
      <c r="H8" s="70"/>
      <c r="I8" s="69" t="s">
        <v>821</v>
      </c>
      <c r="J8" s="70" t="s">
        <v>600</v>
      </c>
      <c r="K8" s="111"/>
    </row>
    <row r="9" spans="1:11" ht="15" customHeight="1">
      <c r="A9" s="107"/>
      <c r="B9" s="70"/>
      <c r="C9" s="70"/>
      <c r="D9" s="70"/>
      <c r="E9" s="70"/>
      <c r="F9" s="70"/>
      <c r="G9" s="70"/>
      <c r="H9" s="70"/>
      <c r="I9" s="70"/>
      <c r="J9" s="100"/>
      <c r="K9" s="114"/>
    </row>
    <row r="10" spans="1:75" ht="15" customHeight="1">
      <c r="A10" s="62" t="s">
        <v>94</v>
      </c>
      <c r="B10" s="27" t="s">
        <v>910</v>
      </c>
      <c r="C10" s="27" t="s">
        <v>433</v>
      </c>
      <c r="D10" s="126" t="s">
        <v>851</v>
      </c>
      <c r="E10" s="127"/>
      <c r="F10" s="27" t="s">
        <v>454</v>
      </c>
      <c r="G10" s="15" t="s">
        <v>740</v>
      </c>
      <c r="H10" s="45" t="s">
        <v>421</v>
      </c>
      <c r="I10" s="43" t="s">
        <v>787</v>
      </c>
      <c r="K10" s="23"/>
      <c r="BK10" s="11" t="s">
        <v>526</v>
      </c>
      <c r="BL10" s="57" t="s">
        <v>655</v>
      </c>
      <c r="BW10" s="57" t="s">
        <v>1391</v>
      </c>
    </row>
    <row r="11" spans="1:62" ht="15" customHeight="1">
      <c r="A11" s="38" t="s">
        <v>1142</v>
      </c>
      <c r="B11" s="61" t="s">
        <v>1142</v>
      </c>
      <c r="C11" s="61" t="s">
        <v>1142</v>
      </c>
      <c r="D11" s="124" t="s">
        <v>1241</v>
      </c>
      <c r="E11" s="125"/>
      <c r="F11" s="61" t="s">
        <v>1142</v>
      </c>
      <c r="G11" s="61" t="s">
        <v>1142</v>
      </c>
      <c r="H11" s="56" t="s">
        <v>1172</v>
      </c>
      <c r="I11" s="2" t="s">
        <v>123</v>
      </c>
      <c r="K11" s="23"/>
      <c r="Z11" s="11" t="s">
        <v>973</v>
      </c>
      <c r="AA11" s="11" t="s">
        <v>762</v>
      </c>
      <c r="AB11" s="11" t="s">
        <v>1290</v>
      </c>
      <c r="AC11" s="11" t="s">
        <v>356</v>
      </c>
      <c r="AD11" s="11" t="s">
        <v>1056</v>
      </c>
      <c r="AE11" s="11" t="s">
        <v>490</v>
      </c>
      <c r="AF11" s="11" t="s">
        <v>1112</v>
      </c>
      <c r="AG11" s="11" t="s">
        <v>564</v>
      </c>
      <c r="AH11" s="11" t="s">
        <v>337</v>
      </c>
      <c r="BH11" s="11" t="s">
        <v>974</v>
      </c>
      <c r="BI11" s="11" t="s">
        <v>1254</v>
      </c>
      <c r="BJ11" s="11" t="s">
        <v>1374</v>
      </c>
    </row>
    <row r="12" spans="1:11" ht="15" customHeight="1">
      <c r="A12" s="39" t="s">
        <v>852</v>
      </c>
      <c r="B12" s="48" t="s">
        <v>5</v>
      </c>
      <c r="C12" s="48" t="s">
        <v>852</v>
      </c>
      <c r="D12" s="122" t="s">
        <v>1031</v>
      </c>
      <c r="E12" s="123"/>
      <c r="F12" s="51" t="s">
        <v>1142</v>
      </c>
      <c r="G12" s="51" t="s">
        <v>1142</v>
      </c>
      <c r="H12" s="51" t="s">
        <v>1142</v>
      </c>
      <c r="I12" s="55">
        <f>I13+I16+I18+I21+I26+I34+I37+I48+I55+I58+I60+I62+I89+I97+I110+I112+I119+I165+I218+I263+I303+I323+I343+I353+I372+I378</f>
        <v>0</v>
      </c>
      <c r="K12" s="23"/>
    </row>
    <row r="13" spans="1:47" ht="15" customHeight="1">
      <c r="A13" s="39" t="s">
        <v>852</v>
      </c>
      <c r="B13" s="48" t="s">
        <v>5</v>
      </c>
      <c r="C13" s="48" t="s">
        <v>380</v>
      </c>
      <c r="D13" s="122" t="s">
        <v>12</v>
      </c>
      <c r="E13" s="123"/>
      <c r="F13" s="51" t="s">
        <v>1142</v>
      </c>
      <c r="G13" s="51" t="s">
        <v>1142</v>
      </c>
      <c r="H13" s="51" t="s">
        <v>1142</v>
      </c>
      <c r="I13" s="55">
        <f>SUM(I14:I14)</f>
        <v>0</v>
      </c>
      <c r="K13" s="23"/>
      <c r="AI13" s="11" t="s">
        <v>5</v>
      </c>
      <c r="AS13" s="55">
        <f>SUM(AJ14:AJ14)</f>
        <v>0</v>
      </c>
      <c r="AT13" s="55">
        <f>SUM(AK14:AK14)</f>
        <v>0</v>
      </c>
      <c r="AU13" s="55">
        <f>SUM(AL14:AL14)</f>
        <v>0</v>
      </c>
    </row>
    <row r="14" spans="1:75" ht="13.5" customHeight="1">
      <c r="A14" s="16" t="s">
        <v>1231</v>
      </c>
      <c r="B14" s="32" t="s">
        <v>5</v>
      </c>
      <c r="C14" s="32" t="s">
        <v>889</v>
      </c>
      <c r="D14" s="69" t="s">
        <v>57</v>
      </c>
      <c r="E14" s="70"/>
      <c r="F14" s="32" t="s">
        <v>1194</v>
      </c>
      <c r="G14" s="9">
        <v>14.71</v>
      </c>
      <c r="H14" s="68">
        <v>0</v>
      </c>
      <c r="I14" s="9">
        <f>G14*H14</f>
        <v>0</v>
      </c>
      <c r="K14" s="23"/>
      <c r="Z14" s="9">
        <f>IF(AQ14="5",BJ14,0)</f>
        <v>0</v>
      </c>
      <c r="AB14" s="9">
        <f>IF(AQ14="1",BH14,0)</f>
        <v>0</v>
      </c>
      <c r="AC14" s="9">
        <f>IF(AQ14="1",BI14,0)</f>
        <v>0</v>
      </c>
      <c r="AD14" s="9">
        <f>IF(AQ14="7",BH14,0)</f>
        <v>0</v>
      </c>
      <c r="AE14" s="9">
        <f>IF(AQ14="7",BI14,0)</f>
        <v>0</v>
      </c>
      <c r="AF14" s="9">
        <f>IF(AQ14="2",BH14,0)</f>
        <v>0</v>
      </c>
      <c r="AG14" s="9">
        <f>IF(AQ14="2",BI14,0)</f>
        <v>0</v>
      </c>
      <c r="AH14" s="9">
        <f>IF(AQ14="0",BJ14,0)</f>
        <v>0</v>
      </c>
      <c r="AI14" s="11" t="s">
        <v>5</v>
      </c>
      <c r="AJ14" s="9">
        <f>IF(AN14=0,I14,0)</f>
        <v>0</v>
      </c>
      <c r="AK14" s="9">
        <f>IF(AN14=12,I14,0)</f>
        <v>0</v>
      </c>
      <c r="AL14" s="9">
        <f>IF(AN14=21,I14,0)</f>
        <v>0</v>
      </c>
      <c r="AN14" s="9">
        <v>21</v>
      </c>
      <c r="AO14" s="9">
        <f>H14*0</f>
        <v>0</v>
      </c>
      <c r="AP14" s="9">
        <f>H14*(1-0)</f>
        <v>0</v>
      </c>
      <c r="AQ14" s="60" t="s">
        <v>1231</v>
      </c>
      <c r="AV14" s="9">
        <f>AW14+AX14</f>
        <v>0</v>
      </c>
      <c r="AW14" s="9">
        <f>G14*AO14</f>
        <v>0</v>
      </c>
      <c r="AX14" s="9">
        <f>G14*AP14</f>
        <v>0</v>
      </c>
      <c r="AY14" s="60" t="s">
        <v>1115</v>
      </c>
      <c r="AZ14" s="60" t="s">
        <v>446</v>
      </c>
      <c r="BA14" s="11" t="s">
        <v>1092</v>
      </c>
      <c r="BC14" s="9">
        <f>AW14+AX14</f>
        <v>0</v>
      </c>
      <c r="BD14" s="9">
        <f>H14/(100-BE14)*100</f>
        <v>0</v>
      </c>
      <c r="BE14" s="9">
        <v>0</v>
      </c>
      <c r="BF14" s="9">
        <f>14</f>
        <v>14</v>
      </c>
      <c r="BH14" s="9">
        <f>G14*AO14</f>
        <v>0</v>
      </c>
      <c r="BI14" s="9">
        <f>G14*AP14</f>
        <v>0</v>
      </c>
      <c r="BJ14" s="9">
        <f>G14*H14</f>
        <v>0</v>
      </c>
      <c r="BK14" s="9"/>
      <c r="BL14" s="9">
        <v>13</v>
      </c>
      <c r="BW14" s="9">
        <v>21</v>
      </c>
    </row>
    <row r="15" spans="1:11" ht="13.5" customHeight="1">
      <c r="A15" s="47"/>
      <c r="C15" s="28"/>
      <c r="D15" s="116" t="s">
        <v>954</v>
      </c>
      <c r="E15" s="117"/>
      <c r="F15" s="117"/>
      <c r="G15" s="117"/>
      <c r="H15" s="117"/>
      <c r="I15" s="117"/>
      <c r="J15" s="117"/>
      <c r="K15" s="118"/>
    </row>
    <row r="16" spans="1:47" ht="15" customHeight="1">
      <c r="A16" s="39" t="s">
        <v>852</v>
      </c>
      <c r="B16" s="48" t="s">
        <v>5</v>
      </c>
      <c r="C16" s="48" t="s">
        <v>112</v>
      </c>
      <c r="D16" s="122" t="s">
        <v>1038</v>
      </c>
      <c r="E16" s="123"/>
      <c r="F16" s="51" t="s">
        <v>1142</v>
      </c>
      <c r="G16" s="51" t="s">
        <v>1142</v>
      </c>
      <c r="H16" s="51" t="s">
        <v>1142</v>
      </c>
      <c r="I16" s="55">
        <f>SUM(I17:I17)</f>
        <v>0</v>
      </c>
      <c r="K16" s="23"/>
      <c r="AI16" s="11" t="s">
        <v>5</v>
      </c>
      <c r="AS16" s="55">
        <f>SUM(AJ17:AJ17)</f>
        <v>0</v>
      </c>
      <c r="AT16" s="55">
        <f>SUM(AK17:AK17)</f>
        <v>0</v>
      </c>
      <c r="AU16" s="55">
        <f>SUM(AL17:AL17)</f>
        <v>0</v>
      </c>
    </row>
    <row r="17" spans="1:75" ht="13.5" customHeight="1">
      <c r="A17" s="16" t="s">
        <v>844</v>
      </c>
      <c r="B17" s="32" t="s">
        <v>5</v>
      </c>
      <c r="C17" s="32" t="s">
        <v>660</v>
      </c>
      <c r="D17" s="69" t="s">
        <v>846</v>
      </c>
      <c r="E17" s="70"/>
      <c r="F17" s="32" t="s">
        <v>1194</v>
      </c>
      <c r="G17" s="9">
        <v>14.71</v>
      </c>
      <c r="H17" s="68">
        <v>0</v>
      </c>
      <c r="I17" s="9">
        <f>G17*H17</f>
        <v>0</v>
      </c>
      <c r="K17" s="23"/>
      <c r="Z17" s="9">
        <f>IF(AQ17="5",BJ17,0)</f>
        <v>0</v>
      </c>
      <c r="AB17" s="9">
        <f>IF(AQ17="1",BH17,0)</f>
        <v>0</v>
      </c>
      <c r="AC17" s="9">
        <f>IF(AQ17="1",BI17,0)</f>
        <v>0</v>
      </c>
      <c r="AD17" s="9">
        <f>IF(AQ17="7",BH17,0)</f>
        <v>0</v>
      </c>
      <c r="AE17" s="9">
        <f>IF(AQ17="7",BI17,0)</f>
        <v>0</v>
      </c>
      <c r="AF17" s="9">
        <f>IF(AQ17="2",BH17,0)</f>
        <v>0</v>
      </c>
      <c r="AG17" s="9">
        <f>IF(AQ17="2",BI17,0)</f>
        <v>0</v>
      </c>
      <c r="AH17" s="9">
        <f>IF(AQ17="0",BJ17,0)</f>
        <v>0</v>
      </c>
      <c r="AI17" s="11" t="s">
        <v>5</v>
      </c>
      <c r="AJ17" s="9">
        <f>IF(AN17=0,I17,0)</f>
        <v>0</v>
      </c>
      <c r="AK17" s="9">
        <f>IF(AN17=12,I17,0)</f>
        <v>0</v>
      </c>
      <c r="AL17" s="9">
        <f>IF(AN17=21,I17,0)</f>
        <v>0</v>
      </c>
      <c r="AN17" s="9">
        <v>21</v>
      </c>
      <c r="AO17" s="9">
        <f>H17*0</f>
        <v>0</v>
      </c>
      <c r="AP17" s="9">
        <f>H17*(1-0)</f>
        <v>0</v>
      </c>
      <c r="AQ17" s="60" t="s">
        <v>1231</v>
      </c>
      <c r="AV17" s="9">
        <f>AW17+AX17</f>
        <v>0</v>
      </c>
      <c r="AW17" s="9">
        <f>G17*AO17</f>
        <v>0</v>
      </c>
      <c r="AX17" s="9">
        <f>G17*AP17</f>
        <v>0</v>
      </c>
      <c r="AY17" s="60" t="s">
        <v>1145</v>
      </c>
      <c r="AZ17" s="60" t="s">
        <v>446</v>
      </c>
      <c r="BA17" s="11" t="s">
        <v>1092</v>
      </c>
      <c r="BC17" s="9">
        <f>AW17+AX17</f>
        <v>0</v>
      </c>
      <c r="BD17" s="9">
        <f>H17/(100-BE17)*100</f>
        <v>0</v>
      </c>
      <c r="BE17" s="9">
        <v>0</v>
      </c>
      <c r="BF17" s="9">
        <f>17</f>
        <v>17</v>
      </c>
      <c r="BH17" s="9">
        <f>G17*AO17</f>
        <v>0</v>
      </c>
      <c r="BI17" s="9">
        <f>G17*AP17</f>
        <v>0</v>
      </c>
      <c r="BJ17" s="9">
        <f>G17*H17</f>
        <v>0</v>
      </c>
      <c r="BK17" s="9"/>
      <c r="BL17" s="9">
        <v>16</v>
      </c>
      <c r="BW17" s="9">
        <v>21</v>
      </c>
    </row>
    <row r="18" spans="1:47" ht="15" customHeight="1">
      <c r="A18" s="39" t="s">
        <v>852</v>
      </c>
      <c r="B18" s="48" t="s">
        <v>5</v>
      </c>
      <c r="C18" s="48" t="s">
        <v>860</v>
      </c>
      <c r="D18" s="122" t="s">
        <v>165</v>
      </c>
      <c r="E18" s="123"/>
      <c r="F18" s="51" t="s">
        <v>1142</v>
      </c>
      <c r="G18" s="51" t="s">
        <v>1142</v>
      </c>
      <c r="H18" s="51" t="s">
        <v>1142</v>
      </c>
      <c r="I18" s="55">
        <f>SUM(I19:I19)</f>
        <v>0</v>
      </c>
      <c r="K18" s="23"/>
      <c r="AI18" s="11" t="s">
        <v>5</v>
      </c>
      <c r="AS18" s="55">
        <f>SUM(AJ19:AJ19)</f>
        <v>0</v>
      </c>
      <c r="AT18" s="55">
        <f>SUM(AK19:AK19)</f>
        <v>0</v>
      </c>
      <c r="AU18" s="55">
        <f>SUM(AL19:AL19)</f>
        <v>0</v>
      </c>
    </row>
    <row r="19" spans="1:75" ht="13.5" customHeight="1">
      <c r="A19" s="16" t="s">
        <v>1071</v>
      </c>
      <c r="B19" s="32" t="s">
        <v>5</v>
      </c>
      <c r="C19" s="32" t="s">
        <v>641</v>
      </c>
      <c r="D19" s="69" t="s">
        <v>253</v>
      </c>
      <c r="E19" s="70"/>
      <c r="F19" s="32" t="s">
        <v>1194</v>
      </c>
      <c r="G19" s="9">
        <v>14.71</v>
      </c>
      <c r="H19" s="68">
        <v>0</v>
      </c>
      <c r="I19" s="9">
        <f>G19*H19</f>
        <v>0</v>
      </c>
      <c r="K19" s="23"/>
      <c r="Z19" s="9">
        <f>IF(AQ19="5",BJ19,0)</f>
        <v>0</v>
      </c>
      <c r="AB19" s="9">
        <f>IF(AQ19="1",BH19,0)</f>
        <v>0</v>
      </c>
      <c r="AC19" s="9">
        <f>IF(AQ19="1",BI19,0)</f>
        <v>0</v>
      </c>
      <c r="AD19" s="9">
        <f>IF(AQ19="7",BH19,0)</f>
        <v>0</v>
      </c>
      <c r="AE19" s="9">
        <f>IF(AQ19="7",BI19,0)</f>
        <v>0</v>
      </c>
      <c r="AF19" s="9">
        <f>IF(AQ19="2",BH19,0)</f>
        <v>0</v>
      </c>
      <c r="AG19" s="9">
        <f>IF(AQ19="2",BI19,0)</f>
        <v>0</v>
      </c>
      <c r="AH19" s="9">
        <f>IF(AQ19="0",BJ19,0)</f>
        <v>0</v>
      </c>
      <c r="AI19" s="11" t="s">
        <v>5</v>
      </c>
      <c r="AJ19" s="9">
        <f>IF(AN19=0,I19,0)</f>
        <v>0</v>
      </c>
      <c r="AK19" s="9">
        <f>IF(AN19=12,I19,0)</f>
        <v>0</v>
      </c>
      <c r="AL19" s="9">
        <f>IF(AN19=21,I19,0)</f>
        <v>0</v>
      </c>
      <c r="AN19" s="9">
        <v>21</v>
      </c>
      <c r="AO19" s="9">
        <f>H19*0</f>
        <v>0</v>
      </c>
      <c r="AP19" s="9">
        <f>H19*(1-0)</f>
        <v>0</v>
      </c>
      <c r="AQ19" s="60" t="s">
        <v>1231</v>
      </c>
      <c r="AV19" s="9">
        <f>AW19+AX19</f>
        <v>0</v>
      </c>
      <c r="AW19" s="9">
        <f>G19*AO19</f>
        <v>0</v>
      </c>
      <c r="AX19" s="9">
        <f>G19*AP19</f>
        <v>0</v>
      </c>
      <c r="AY19" s="60" t="s">
        <v>261</v>
      </c>
      <c r="AZ19" s="60" t="s">
        <v>446</v>
      </c>
      <c r="BA19" s="11" t="s">
        <v>1092</v>
      </c>
      <c r="BC19" s="9">
        <f>AW19+AX19</f>
        <v>0</v>
      </c>
      <c r="BD19" s="9">
        <f>H19/(100-BE19)*100</f>
        <v>0</v>
      </c>
      <c r="BE19" s="9">
        <v>0</v>
      </c>
      <c r="BF19" s="9">
        <f>19</f>
        <v>19</v>
      </c>
      <c r="BH19" s="9">
        <f>G19*AO19</f>
        <v>0</v>
      </c>
      <c r="BI19" s="9">
        <f>G19*AP19</f>
        <v>0</v>
      </c>
      <c r="BJ19" s="9">
        <f>G19*H19</f>
        <v>0</v>
      </c>
      <c r="BK19" s="9"/>
      <c r="BL19" s="9">
        <v>17</v>
      </c>
      <c r="BW19" s="9">
        <v>21</v>
      </c>
    </row>
    <row r="20" spans="1:11" ht="13.5" customHeight="1">
      <c r="A20" s="47"/>
      <c r="C20" s="28"/>
      <c r="D20" s="116" t="s">
        <v>830</v>
      </c>
      <c r="E20" s="117"/>
      <c r="F20" s="117"/>
      <c r="G20" s="117"/>
      <c r="H20" s="117"/>
      <c r="I20" s="117"/>
      <c r="J20" s="117"/>
      <c r="K20" s="118"/>
    </row>
    <row r="21" spans="1:47" ht="15" customHeight="1">
      <c r="A21" s="39" t="s">
        <v>852</v>
      </c>
      <c r="B21" s="48" t="s">
        <v>5</v>
      </c>
      <c r="C21" s="48" t="s">
        <v>728</v>
      </c>
      <c r="D21" s="122" t="s">
        <v>1191</v>
      </c>
      <c r="E21" s="123"/>
      <c r="F21" s="51" t="s">
        <v>1142</v>
      </c>
      <c r="G21" s="51" t="s">
        <v>1142</v>
      </c>
      <c r="H21" s="51" t="s">
        <v>1142</v>
      </c>
      <c r="I21" s="55">
        <f>SUM(I22:I24)</f>
        <v>0</v>
      </c>
      <c r="K21" s="23"/>
      <c r="AI21" s="11" t="s">
        <v>5</v>
      </c>
      <c r="AS21" s="55">
        <f>SUM(AJ22:AJ24)</f>
        <v>0</v>
      </c>
      <c r="AT21" s="55">
        <f>SUM(AK22:AK24)</f>
        <v>0</v>
      </c>
      <c r="AU21" s="55">
        <f>SUM(AL22:AL24)</f>
        <v>0</v>
      </c>
    </row>
    <row r="22" spans="1:75" ht="13.5" customHeight="1">
      <c r="A22" s="16" t="s">
        <v>138</v>
      </c>
      <c r="B22" s="32" t="s">
        <v>5</v>
      </c>
      <c r="C22" s="32" t="s">
        <v>263</v>
      </c>
      <c r="D22" s="69" t="s">
        <v>162</v>
      </c>
      <c r="E22" s="70"/>
      <c r="F22" s="32" t="s">
        <v>317</v>
      </c>
      <c r="G22" s="9">
        <v>4</v>
      </c>
      <c r="H22" s="68">
        <v>0</v>
      </c>
      <c r="I22" s="9">
        <f>G22*H22</f>
        <v>0</v>
      </c>
      <c r="K22" s="23"/>
      <c r="Z22" s="9">
        <f>IF(AQ22="5",BJ22,0)</f>
        <v>0</v>
      </c>
      <c r="AB22" s="9">
        <f>IF(AQ22="1",BH22,0)</f>
        <v>0</v>
      </c>
      <c r="AC22" s="9">
        <f>IF(AQ22="1",BI22,0)</f>
        <v>0</v>
      </c>
      <c r="AD22" s="9">
        <f>IF(AQ22="7",BH22,0)</f>
        <v>0</v>
      </c>
      <c r="AE22" s="9">
        <f>IF(AQ22="7",BI22,0)</f>
        <v>0</v>
      </c>
      <c r="AF22" s="9">
        <f>IF(AQ22="2",BH22,0)</f>
        <v>0</v>
      </c>
      <c r="AG22" s="9">
        <f>IF(AQ22="2",BI22,0)</f>
        <v>0</v>
      </c>
      <c r="AH22" s="9">
        <f>IF(AQ22="0",BJ22,0)</f>
        <v>0</v>
      </c>
      <c r="AI22" s="11" t="s">
        <v>5</v>
      </c>
      <c r="AJ22" s="9">
        <f>IF(AN22=0,I22,0)</f>
        <v>0</v>
      </c>
      <c r="AK22" s="9">
        <f>IF(AN22=12,I22,0)</f>
        <v>0</v>
      </c>
      <c r="AL22" s="9">
        <f>IF(AN22=21,I22,0)</f>
        <v>0</v>
      </c>
      <c r="AN22" s="9">
        <v>21</v>
      </c>
      <c r="AO22" s="9">
        <f>H22*0.914467532467532</f>
        <v>0</v>
      </c>
      <c r="AP22" s="9">
        <f>H22*(1-0.914467532467532)</f>
        <v>0</v>
      </c>
      <c r="AQ22" s="60" t="s">
        <v>1231</v>
      </c>
      <c r="AV22" s="9">
        <f>AW22+AX22</f>
        <v>0</v>
      </c>
      <c r="AW22" s="9">
        <f>G22*AO22</f>
        <v>0</v>
      </c>
      <c r="AX22" s="9">
        <f>G22*AP22</f>
        <v>0</v>
      </c>
      <c r="AY22" s="60" t="s">
        <v>881</v>
      </c>
      <c r="AZ22" s="60" t="s">
        <v>961</v>
      </c>
      <c r="BA22" s="11" t="s">
        <v>1092</v>
      </c>
      <c r="BC22" s="9">
        <f>AW22+AX22</f>
        <v>0</v>
      </c>
      <c r="BD22" s="9">
        <f>H22/(100-BE22)*100</f>
        <v>0</v>
      </c>
      <c r="BE22" s="9">
        <v>0</v>
      </c>
      <c r="BF22" s="9">
        <f>22</f>
        <v>22</v>
      </c>
      <c r="BH22" s="9">
        <f>G22*AO22</f>
        <v>0</v>
      </c>
      <c r="BI22" s="9">
        <f>G22*AP22</f>
        <v>0</v>
      </c>
      <c r="BJ22" s="9">
        <f>G22*H22</f>
        <v>0</v>
      </c>
      <c r="BK22" s="9"/>
      <c r="BL22" s="9">
        <v>31</v>
      </c>
      <c r="BW22" s="9">
        <v>21</v>
      </c>
    </row>
    <row r="23" spans="1:11" ht="13.5" customHeight="1">
      <c r="A23" s="47"/>
      <c r="C23" s="28"/>
      <c r="D23" s="116" t="s">
        <v>248</v>
      </c>
      <c r="E23" s="117"/>
      <c r="F23" s="117"/>
      <c r="G23" s="117"/>
      <c r="H23" s="117"/>
      <c r="I23" s="117"/>
      <c r="J23" s="117"/>
      <c r="K23" s="118"/>
    </row>
    <row r="24" spans="1:75" ht="13.5" customHeight="1">
      <c r="A24" s="16" t="s">
        <v>659</v>
      </c>
      <c r="B24" s="32" t="s">
        <v>5</v>
      </c>
      <c r="C24" s="32" t="s">
        <v>899</v>
      </c>
      <c r="D24" s="69" t="s">
        <v>1181</v>
      </c>
      <c r="E24" s="70"/>
      <c r="F24" s="32" t="s">
        <v>317</v>
      </c>
      <c r="G24" s="9">
        <v>2</v>
      </c>
      <c r="H24" s="68">
        <v>0</v>
      </c>
      <c r="I24" s="9">
        <f>G24*H24</f>
        <v>0</v>
      </c>
      <c r="K24" s="23"/>
      <c r="Z24" s="9">
        <f>IF(AQ24="5",BJ24,0)</f>
        <v>0</v>
      </c>
      <c r="AB24" s="9">
        <f>IF(AQ24="1",BH24,0)</f>
        <v>0</v>
      </c>
      <c r="AC24" s="9">
        <f>IF(AQ24="1",BI24,0)</f>
        <v>0</v>
      </c>
      <c r="AD24" s="9">
        <f>IF(AQ24="7",BH24,0)</f>
        <v>0</v>
      </c>
      <c r="AE24" s="9">
        <f>IF(AQ24="7",BI24,0)</f>
        <v>0</v>
      </c>
      <c r="AF24" s="9">
        <f>IF(AQ24="2",BH24,0)</f>
        <v>0</v>
      </c>
      <c r="AG24" s="9">
        <f>IF(AQ24="2",BI24,0)</f>
        <v>0</v>
      </c>
      <c r="AH24" s="9">
        <f>IF(AQ24="0",BJ24,0)</f>
        <v>0</v>
      </c>
      <c r="AI24" s="11" t="s">
        <v>5</v>
      </c>
      <c r="AJ24" s="9">
        <f>IF(AN24=0,I24,0)</f>
        <v>0</v>
      </c>
      <c r="AK24" s="9">
        <f>IF(AN24=12,I24,0)</f>
        <v>0</v>
      </c>
      <c r="AL24" s="9">
        <f>IF(AN24=21,I24,0)</f>
        <v>0</v>
      </c>
      <c r="AN24" s="9">
        <v>21</v>
      </c>
      <c r="AO24" s="9">
        <f>H24*0.85812356979405</f>
        <v>0</v>
      </c>
      <c r="AP24" s="9">
        <f>H24*(1-0.85812356979405)</f>
        <v>0</v>
      </c>
      <c r="AQ24" s="60" t="s">
        <v>1231</v>
      </c>
      <c r="AV24" s="9">
        <f>AW24+AX24</f>
        <v>0</v>
      </c>
      <c r="AW24" s="9">
        <f>G24*AO24</f>
        <v>0</v>
      </c>
      <c r="AX24" s="9">
        <f>G24*AP24</f>
        <v>0</v>
      </c>
      <c r="AY24" s="60" t="s">
        <v>881</v>
      </c>
      <c r="AZ24" s="60" t="s">
        <v>961</v>
      </c>
      <c r="BA24" s="11" t="s">
        <v>1092</v>
      </c>
      <c r="BC24" s="9">
        <f>AW24+AX24</f>
        <v>0</v>
      </c>
      <c r="BD24" s="9">
        <f>H24/(100-BE24)*100</f>
        <v>0</v>
      </c>
      <c r="BE24" s="9">
        <v>0</v>
      </c>
      <c r="BF24" s="9">
        <f>24</f>
        <v>24</v>
      </c>
      <c r="BH24" s="9">
        <f>G24*AO24</f>
        <v>0</v>
      </c>
      <c r="BI24" s="9">
        <f>G24*AP24</f>
        <v>0</v>
      </c>
      <c r="BJ24" s="9">
        <f>G24*H24</f>
        <v>0</v>
      </c>
      <c r="BK24" s="9"/>
      <c r="BL24" s="9">
        <v>31</v>
      </c>
      <c r="BW24" s="9">
        <v>21</v>
      </c>
    </row>
    <row r="25" spans="1:11" ht="13.5" customHeight="1">
      <c r="A25" s="47"/>
      <c r="C25" s="28"/>
      <c r="D25" s="116" t="s">
        <v>1287</v>
      </c>
      <c r="E25" s="117"/>
      <c r="F25" s="117"/>
      <c r="G25" s="117"/>
      <c r="H25" s="117"/>
      <c r="I25" s="117"/>
      <c r="J25" s="117"/>
      <c r="K25" s="118"/>
    </row>
    <row r="26" spans="1:47" ht="15" customHeight="1">
      <c r="A26" s="39" t="s">
        <v>852</v>
      </c>
      <c r="B26" s="48" t="s">
        <v>5</v>
      </c>
      <c r="C26" s="48" t="s">
        <v>1399</v>
      </c>
      <c r="D26" s="122" t="s">
        <v>303</v>
      </c>
      <c r="E26" s="123"/>
      <c r="F26" s="51" t="s">
        <v>1142</v>
      </c>
      <c r="G26" s="51" t="s">
        <v>1142</v>
      </c>
      <c r="H26" s="51" t="s">
        <v>1142</v>
      </c>
      <c r="I26" s="55">
        <f>SUM(I27:I33)</f>
        <v>0</v>
      </c>
      <c r="K26" s="23"/>
      <c r="AI26" s="11" t="s">
        <v>5</v>
      </c>
      <c r="AS26" s="55">
        <f>SUM(AJ27:AJ33)</f>
        <v>0</v>
      </c>
      <c r="AT26" s="55">
        <f>SUM(AK27:AK33)</f>
        <v>0</v>
      </c>
      <c r="AU26" s="55">
        <f>SUM(AL27:AL33)</f>
        <v>0</v>
      </c>
    </row>
    <row r="27" spans="1:75" ht="13.5" customHeight="1">
      <c r="A27" s="16" t="s">
        <v>204</v>
      </c>
      <c r="B27" s="32" t="s">
        <v>5</v>
      </c>
      <c r="C27" s="32" t="s">
        <v>267</v>
      </c>
      <c r="D27" s="69" t="s">
        <v>1058</v>
      </c>
      <c r="E27" s="70"/>
      <c r="F27" s="32" t="s">
        <v>1213</v>
      </c>
      <c r="G27" s="9">
        <v>28.083</v>
      </c>
      <c r="H27" s="68">
        <v>0</v>
      </c>
      <c r="I27" s="9">
        <f>G27*H27</f>
        <v>0</v>
      </c>
      <c r="K27" s="23"/>
      <c r="Z27" s="9">
        <f>IF(AQ27="5",BJ27,0)</f>
        <v>0</v>
      </c>
      <c r="AB27" s="9">
        <f>IF(AQ27="1",BH27,0)</f>
        <v>0</v>
      </c>
      <c r="AC27" s="9">
        <f>IF(AQ27="1",BI27,0)</f>
        <v>0</v>
      </c>
      <c r="AD27" s="9">
        <f>IF(AQ27="7",BH27,0)</f>
        <v>0</v>
      </c>
      <c r="AE27" s="9">
        <f>IF(AQ27="7",BI27,0)</f>
        <v>0</v>
      </c>
      <c r="AF27" s="9">
        <f>IF(AQ27="2",BH27,0)</f>
        <v>0</v>
      </c>
      <c r="AG27" s="9">
        <f>IF(AQ27="2",BI27,0)</f>
        <v>0</v>
      </c>
      <c r="AH27" s="9">
        <f>IF(AQ27="0",BJ27,0)</f>
        <v>0</v>
      </c>
      <c r="AI27" s="11" t="s">
        <v>5</v>
      </c>
      <c r="AJ27" s="9">
        <f>IF(AN27=0,I27,0)</f>
        <v>0</v>
      </c>
      <c r="AK27" s="9">
        <f>IF(AN27=12,I27,0)</f>
        <v>0</v>
      </c>
      <c r="AL27" s="9">
        <f>IF(AN27=21,I27,0)</f>
        <v>0</v>
      </c>
      <c r="AN27" s="9">
        <v>21</v>
      </c>
      <c r="AO27" s="9">
        <f>H27*0.695906517744636</f>
        <v>0</v>
      </c>
      <c r="AP27" s="9">
        <f>H27*(1-0.695906517744636)</f>
        <v>0</v>
      </c>
      <c r="AQ27" s="60" t="s">
        <v>1231</v>
      </c>
      <c r="AV27" s="9">
        <f>AW27+AX27</f>
        <v>0</v>
      </c>
      <c r="AW27" s="9">
        <f>G27*AO27</f>
        <v>0</v>
      </c>
      <c r="AX27" s="9">
        <f>G27*AP27</f>
        <v>0</v>
      </c>
      <c r="AY27" s="60" t="s">
        <v>870</v>
      </c>
      <c r="AZ27" s="60" t="s">
        <v>961</v>
      </c>
      <c r="BA27" s="11" t="s">
        <v>1092</v>
      </c>
      <c r="BC27" s="9">
        <f>AW27+AX27</f>
        <v>0</v>
      </c>
      <c r="BD27" s="9">
        <f>H27/(100-BE27)*100</f>
        <v>0</v>
      </c>
      <c r="BE27" s="9">
        <v>0</v>
      </c>
      <c r="BF27" s="9">
        <f>27</f>
        <v>27</v>
      </c>
      <c r="BH27" s="9">
        <f>G27*AO27</f>
        <v>0</v>
      </c>
      <c r="BI27" s="9">
        <f>G27*AP27</f>
        <v>0</v>
      </c>
      <c r="BJ27" s="9">
        <f>G27*H27</f>
        <v>0</v>
      </c>
      <c r="BK27" s="9"/>
      <c r="BL27" s="9">
        <v>34</v>
      </c>
      <c r="BW27" s="9">
        <v>21</v>
      </c>
    </row>
    <row r="28" spans="1:11" ht="13.5" customHeight="1">
      <c r="A28" s="47"/>
      <c r="C28" s="28"/>
      <c r="D28" s="116" t="s">
        <v>1331</v>
      </c>
      <c r="E28" s="117"/>
      <c r="F28" s="117"/>
      <c r="G28" s="117"/>
      <c r="H28" s="117"/>
      <c r="I28" s="117"/>
      <c r="J28" s="117"/>
      <c r="K28" s="118"/>
    </row>
    <row r="29" spans="1:75" ht="13.5" customHeight="1">
      <c r="A29" s="16" t="s">
        <v>1238</v>
      </c>
      <c r="B29" s="32" t="s">
        <v>5</v>
      </c>
      <c r="C29" s="32" t="s">
        <v>1049</v>
      </c>
      <c r="D29" s="69" t="s">
        <v>699</v>
      </c>
      <c r="E29" s="70"/>
      <c r="F29" s="32" t="s">
        <v>1213</v>
      </c>
      <c r="G29" s="9">
        <v>150.633</v>
      </c>
      <c r="H29" s="68">
        <v>0</v>
      </c>
      <c r="I29" s="9">
        <f>G29*H29</f>
        <v>0</v>
      </c>
      <c r="K29" s="23"/>
      <c r="Z29" s="9">
        <f>IF(AQ29="5",BJ29,0)</f>
        <v>0</v>
      </c>
      <c r="AB29" s="9">
        <f>IF(AQ29="1",BH29,0)</f>
        <v>0</v>
      </c>
      <c r="AC29" s="9">
        <f>IF(AQ29="1",BI29,0)</f>
        <v>0</v>
      </c>
      <c r="AD29" s="9">
        <f>IF(AQ29="7",BH29,0)</f>
        <v>0</v>
      </c>
      <c r="AE29" s="9">
        <f>IF(AQ29="7",BI29,0)</f>
        <v>0</v>
      </c>
      <c r="AF29" s="9">
        <f>IF(AQ29="2",BH29,0)</f>
        <v>0</v>
      </c>
      <c r="AG29" s="9">
        <f>IF(AQ29="2",BI29,0)</f>
        <v>0</v>
      </c>
      <c r="AH29" s="9">
        <f>IF(AQ29="0",BJ29,0)</f>
        <v>0</v>
      </c>
      <c r="AI29" s="11" t="s">
        <v>5</v>
      </c>
      <c r="AJ29" s="9">
        <f>IF(AN29=0,I29,0)</f>
        <v>0</v>
      </c>
      <c r="AK29" s="9">
        <f>IF(AN29=12,I29,0)</f>
        <v>0</v>
      </c>
      <c r="AL29" s="9">
        <f>IF(AN29=21,I29,0)</f>
        <v>0</v>
      </c>
      <c r="AN29" s="9">
        <v>21</v>
      </c>
      <c r="AO29" s="9">
        <f>H29*0.768829958099133</f>
        <v>0</v>
      </c>
      <c r="AP29" s="9">
        <f>H29*(1-0.768829958099133)</f>
        <v>0</v>
      </c>
      <c r="AQ29" s="60" t="s">
        <v>1231</v>
      </c>
      <c r="AV29" s="9">
        <f>AW29+AX29</f>
        <v>0</v>
      </c>
      <c r="AW29" s="9">
        <f>G29*AO29</f>
        <v>0</v>
      </c>
      <c r="AX29" s="9">
        <f>G29*AP29</f>
        <v>0</v>
      </c>
      <c r="AY29" s="60" t="s">
        <v>870</v>
      </c>
      <c r="AZ29" s="60" t="s">
        <v>961</v>
      </c>
      <c r="BA29" s="11" t="s">
        <v>1092</v>
      </c>
      <c r="BC29" s="9">
        <f>AW29+AX29</f>
        <v>0</v>
      </c>
      <c r="BD29" s="9">
        <f>H29/(100-BE29)*100</f>
        <v>0</v>
      </c>
      <c r="BE29" s="9">
        <v>0</v>
      </c>
      <c r="BF29" s="9">
        <f>29</f>
        <v>29</v>
      </c>
      <c r="BH29" s="9">
        <f>G29*AO29</f>
        <v>0</v>
      </c>
      <c r="BI29" s="9">
        <f>G29*AP29</f>
        <v>0</v>
      </c>
      <c r="BJ29" s="9">
        <f>G29*H29</f>
        <v>0</v>
      </c>
      <c r="BK29" s="9"/>
      <c r="BL29" s="9">
        <v>34</v>
      </c>
      <c r="BW29" s="9">
        <v>21</v>
      </c>
    </row>
    <row r="30" spans="1:11" ht="13.5" customHeight="1">
      <c r="A30" s="47"/>
      <c r="C30" s="28"/>
      <c r="D30" s="116" t="s">
        <v>748</v>
      </c>
      <c r="E30" s="117"/>
      <c r="F30" s="117"/>
      <c r="G30" s="117"/>
      <c r="H30" s="117"/>
      <c r="I30" s="117"/>
      <c r="J30" s="117"/>
      <c r="K30" s="118"/>
    </row>
    <row r="31" spans="1:75" ht="13.5" customHeight="1">
      <c r="A31" s="16" t="s">
        <v>979</v>
      </c>
      <c r="B31" s="32" t="s">
        <v>5</v>
      </c>
      <c r="C31" s="32" t="s">
        <v>0</v>
      </c>
      <c r="D31" s="69" t="s">
        <v>464</v>
      </c>
      <c r="E31" s="70"/>
      <c r="F31" s="32" t="s">
        <v>1026</v>
      </c>
      <c r="G31" s="9">
        <v>56.36</v>
      </c>
      <c r="H31" s="68">
        <v>0</v>
      </c>
      <c r="I31" s="9">
        <f>G31*H31</f>
        <v>0</v>
      </c>
      <c r="K31" s="23"/>
      <c r="Z31" s="9">
        <f>IF(AQ31="5",BJ31,0)</f>
        <v>0</v>
      </c>
      <c r="AB31" s="9">
        <f>IF(AQ31="1",BH31,0)</f>
        <v>0</v>
      </c>
      <c r="AC31" s="9">
        <f>IF(AQ31="1",BI31,0)</f>
        <v>0</v>
      </c>
      <c r="AD31" s="9">
        <f>IF(AQ31="7",BH31,0)</f>
        <v>0</v>
      </c>
      <c r="AE31" s="9">
        <f>IF(AQ31="7",BI31,0)</f>
        <v>0</v>
      </c>
      <c r="AF31" s="9">
        <f>IF(AQ31="2",BH31,0)</f>
        <v>0</v>
      </c>
      <c r="AG31" s="9">
        <f>IF(AQ31="2",BI31,0)</f>
        <v>0</v>
      </c>
      <c r="AH31" s="9">
        <f>IF(AQ31="0",BJ31,0)</f>
        <v>0</v>
      </c>
      <c r="AI31" s="11" t="s">
        <v>5</v>
      </c>
      <c r="AJ31" s="9">
        <f>IF(AN31=0,I31,0)</f>
        <v>0</v>
      </c>
      <c r="AK31" s="9">
        <f>IF(AN31=12,I31,0)</f>
        <v>0</v>
      </c>
      <c r="AL31" s="9">
        <f>IF(AN31=21,I31,0)</f>
        <v>0</v>
      </c>
      <c r="AN31" s="9">
        <v>21</v>
      </c>
      <c r="AO31" s="9">
        <f>H31*0.359643973669392</f>
        <v>0</v>
      </c>
      <c r="AP31" s="9">
        <f>H31*(1-0.359643973669392)</f>
        <v>0</v>
      </c>
      <c r="AQ31" s="60" t="s">
        <v>1231</v>
      </c>
      <c r="AV31" s="9">
        <f>AW31+AX31</f>
        <v>0</v>
      </c>
      <c r="AW31" s="9">
        <f>G31*AO31</f>
        <v>0</v>
      </c>
      <c r="AX31" s="9">
        <f>G31*AP31</f>
        <v>0</v>
      </c>
      <c r="AY31" s="60" t="s">
        <v>870</v>
      </c>
      <c r="AZ31" s="60" t="s">
        <v>961</v>
      </c>
      <c r="BA31" s="11" t="s">
        <v>1092</v>
      </c>
      <c r="BC31" s="9">
        <f>AW31+AX31</f>
        <v>0</v>
      </c>
      <c r="BD31" s="9">
        <f>H31/(100-BE31)*100</f>
        <v>0</v>
      </c>
      <c r="BE31" s="9">
        <v>0</v>
      </c>
      <c r="BF31" s="9">
        <f>31</f>
        <v>31</v>
      </c>
      <c r="BH31" s="9">
        <f>G31*AO31</f>
        <v>0</v>
      </c>
      <c r="BI31" s="9">
        <f>G31*AP31</f>
        <v>0</v>
      </c>
      <c r="BJ31" s="9">
        <f>G31*H31</f>
        <v>0</v>
      </c>
      <c r="BK31" s="9"/>
      <c r="BL31" s="9">
        <v>34</v>
      </c>
      <c r="BW31" s="9">
        <v>21</v>
      </c>
    </row>
    <row r="32" spans="1:75" ht="13.5" customHeight="1">
      <c r="A32" s="16" t="s">
        <v>497</v>
      </c>
      <c r="B32" s="32" t="s">
        <v>5</v>
      </c>
      <c r="C32" s="32" t="s">
        <v>241</v>
      </c>
      <c r="D32" s="69" t="s">
        <v>410</v>
      </c>
      <c r="E32" s="70"/>
      <c r="F32" s="32" t="s">
        <v>1026</v>
      </c>
      <c r="G32" s="9">
        <v>46.2</v>
      </c>
      <c r="H32" s="68">
        <v>0</v>
      </c>
      <c r="I32" s="9">
        <f>G32*H32</f>
        <v>0</v>
      </c>
      <c r="K32" s="23"/>
      <c r="Z32" s="9">
        <f>IF(AQ32="5",BJ32,0)</f>
        <v>0</v>
      </c>
      <c r="AB32" s="9">
        <f>IF(AQ32="1",BH32,0)</f>
        <v>0</v>
      </c>
      <c r="AC32" s="9">
        <f>IF(AQ32="1",BI32,0)</f>
        <v>0</v>
      </c>
      <c r="AD32" s="9">
        <f>IF(AQ32="7",BH32,0)</f>
        <v>0</v>
      </c>
      <c r="AE32" s="9">
        <f>IF(AQ32="7",BI32,0)</f>
        <v>0</v>
      </c>
      <c r="AF32" s="9">
        <f>IF(AQ32="2",BH32,0)</f>
        <v>0</v>
      </c>
      <c r="AG32" s="9">
        <f>IF(AQ32="2",BI32,0)</f>
        <v>0</v>
      </c>
      <c r="AH32" s="9">
        <f>IF(AQ32="0",BJ32,0)</f>
        <v>0</v>
      </c>
      <c r="AI32" s="11" t="s">
        <v>5</v>
      </c>
      <c r="AJ32" s="9">
        <f>IF(AN32=0,I32,0)</f>
        <v>0</v>
      </c>
      <c r="AK32" s="9">
        <f>IF(AN32=12,I32,0)</f>
        <v>0</v>
      </c>
      <c r="AL32" s="9">
        <f>IF(AN32=21,I32,0)</f>
        <v>0</v>
      </c>
      <c r="AN32" s="9">
        <v>21</v>
      </c>
      <c r="AO32" s="9">
        <f>H32*0.214774193548387</f>
        <v>0</v>
      </c>
      <c r="AP32" s="9">
        <f>H32*(1-0.214774193548387)</f>
        <v>0</v>
      </c>
      <c r="AQ32" s="60" t="s">
        <v>1231</v>
      </c>
      <c r="AV32" s="9">
        <f>AW32+AX32</f>
        <v>0</v>
      </c>
      <c r="AW32" s="9">
        <f>G32*AO32</f>
        <v>0</v>
      </c>
      <c r="AX32" s="9">
        <f>G32*AP32</f>
        <v>0</v>
      </c>
      <c r="AY32" s="60" t="s">
        <v>870</v>
      </c>
      <c r="AZ32" s="60" t="s">
        <v>961</v>
      </c>
      <c r="BA32" s="11" t="s">
        <v>1092</v>
      </c>
      <c r="BC32" s="9">
        <f>AW32+AX32</f>
        <v>0</v>
      </c>
      <c r="BD32" s="9">
        <f>H32/(100-BE32)*100</f>
        <v>0</v>
      </c>
      <c r="BE32" s="9">
        <v>0</v>
      </c>
      <c r="BF32" s="9">
        <f>32</f>
        <v>32</v>
      </c>
      <c r="BH32" s="9">
        <f>G32*AO32</f>
        <v>0</v>
      </c>
      <c r="BI32" s="9">
        <f>G32*AP32</f>
        <v>0</v>
      </c>
      <c r="BJ32" s="9">
        <f>G32*H32</f>
        <v>0</v>
      </c>
      <c r="BK32" s="9"/>
      <c r="BL32" s="9">
        <v>34</v>
      </c>
      <c r="BW32" s="9">
        <v>21</v>
      </c>
    </row>
    <row r="33" spans="1:75" ht="13.5" customHeight="1">
      <c r="A33" s="16" t="s">
        <v>716</v>
      </c>
      <c r="B33" s="32" t="s">
        <v>5</v>
      </c>
      <c r="C33" s="32" t="s">
        <v>566</v>
      </c>
      <c r="D33" s="69" t="s">
        <v>710</v>
      </c>
      <c r="E33" s="70"/>
      <c r="F33" s="32" t="s">
        <v>1213</v>
      </c>
      <c r="G33" s="9">
        <v>9.66</v>
      </c>
      <c r="H33" s="68">
        <v>0</v>
      </c>
      <c r="I33" s="9">
        <f>G33*H33</f>
        <v>0</v>
      </c>
      <c r="K33" s="23"/>
      <c r="Z33" s="9">
        <f>IF(AQ33="5",BJ33,0)</f>
        <v>0</v>
      </c>
      <c r="AB33" s="9">
        <f>IF(AQ33="1",BH33,0)</f>
        <v>0</v>
      </c>
      <c r="AC33" s="9">
        <f>IF(AQ33="1",BI33,0)</f>
        <v>0</v>
      </c>
      <c r="AD33" s="9">
        <f>IF(AQ33="7",BH33,0)</f>
        <v>0</v>
      </c>
      <c r="AE33" s="9">
        <f>IF(AQ33="7",BI33,0)</f>
        <v>0</v>
      </c>
      <c r="AF33" s="9">
        <f>IF(AQ33="2",BH33,0)</f>
        <v>0</v>
      </c>
      <c r="AG33" s="9">
        <f>IF(AQ33="2",BI33,0)</f>
        <v>0</v>
      </c>
      <c r="AH33" s="9">
        <f>IF(AQ33="0",BJ33,0)</f>
        <v>0</v>
      </c>
      <c r="AI33" s="11" t="s">
        <v>5</v>
      </c>
      <c r="AJ33" s="9">
        <f>IF(AN33=0,I33,0)</f>
        <v>0</v>
      </c>
      <c r="AK33" s="9">
        <f>IF(AN33=12,I33,0)</f>
        <v>0</v>
      </c>
      <c r="AL33" s="9">
        <f>IF(AN33=21,I33,0)</f>
        <v>0</v>
      </c>
      <c r="AN33" s="9">
        <v>21</v>
      </c>
      <c r="AO33" s="9">
        <f>H33*0.736818181818182</f>
        <v>0</v>
      </c>
      <c r="AP33" s="9">
        <f>H33*(1-0.736818181818182)</f>
        <v>0</v>
      </c>
      <c r="AQ33" s="60" t="s">
        <v>1231</v>
      </c>
      <c r="AV33" s="9">
        <f>AW33+AX33</f>
        <v>0</v>
      </c>
      <c r="AW33" s="9">
        <f>G33*AO33</f>
        <v>0</v>
      </c>
      <c r="AX33" s="9">
        <f>G33*AP33</f>
        <v>0</v>
      </c>
      <c r="AY33" s="60" t="s">
        <v>870</v>
      </c>
      <c r="AZ33" s="60" t="s">
        <v>961</v>
      </c>
      <c r="BA33" s="11" t="s">
        <v>1092</v>
      </c>
      <c r="BC33" s="9">
        <f>AW33+AX33</f>
        <v>0</v>
      </c>
      <c r="BD33" s="9">
        <f>H33/(100-BE33)*100</f>
        <v>0</v>
      </c>
      <c r="BE33" s="9">
        <v>0</v>
      </c>
      <c r="BF33" s="9">
        <f>33</f>
        <v>33</v>
      </c>
      <c r="BH33" s="9">
        <f>G33*AO33</f>
        <v>0</v>
      </c>
      <c r="BI33" s="9">
        <f>G33*AP33</f>
        <v>0</v>
      </c>
      <c r="BJ33" s="9">
        <f>G33*H33</f>
        <v>0</v>
      </c>
      <c r="BK33" s="9"/>
      <c r="BL33" s="9">
        <v>34</v>
      </c>
      <c r="BW33" s="9">
        <v>21</v>
      </c>
    </row>
    <row r="34" spans="1:47" ht="15" customHeight="1">
      <c r="A34" s="39" t="s">
        <v>852</v>
      </c>
      <c r="B34" s="48" t="s">
        <v>5</v>
      </c>
      <c r="C34" s="48" t="s">
        <v>1214</v>
      </c>
      <c r="D34" s="122" t="s">
        <v>913</v>
      </c>
      <c r="E34" s="123"/>
      <c r="F34" s="51" t="s">
        <v>1142</v>
      </c>
      <c r="G34" s="51" t="s">
        <v>1142</v>
      </c>
      <c r="H34" s="51" t="s">
        <v>1142</v>
      </c>
      <c r="I34" s="55">
        <f>SUM(I35:I35)</f>
        <v>0</v>
      </c>
      <c r="K34" s="23"/>
      <c r="AI34" s="11" t="s">
        <v>5</v>
      </c>
      <c r="AS34" s="55">
        <f>SUM(AJ35:AJ35)</f>
        <v>0</v>
      </c>
      <c r="AT34" s="55">
        <f>SUM(AK35:AK35)</f>
        <v>0</v>
      </c>
      <c r="AU34" s="55">
        <f>SUM(AL35:AL35)</f>
        <v>0</v>
      </c>
    </row>
    <row r="35" spans="1:75" ht="13.5" customHeight="1">
      <c r="A35" s="16" t="s">
        <v>1041</v>
      </c>
      <c r="B35" s="32" t="s">
        <v>5</v>
      </c>
      <c r="C35" s="32" t="s">
        <v>449</v>
      </c>
      <c r="D35" s="69" t="s">
        <v>461</v>
      </c>
      <c r="E35" s="70"/>
      <c r="F35" s="32" t="s">
        <v>1213</v>
      </c>
      <c r="G35" s="9">
        <v>25.94</v>
      </c>
      <c r="H35" s="68">
        <v>0</v>
      </c>
      <c r="I35" s="9">
        <f>G35*H35</f>
        <v>0</v>
      </c>
      <c r="K35" s="23"/>
      <c r="Z35" s="9">
        <f>IF(AQ35="5",BJ35,0)</f>
        <v>0</v>
      </c>
      <c r="AB35" s="9">
        <f>IF(AQ35="1",BH35,0)</f>
        <v>0</v>
      </c>
      <c r="AC35" s="9">
        <f>IF(AQ35="1",BI35,0)</f>
        <v>0</v>
      </c>
      <c r="AD35" s="9">
        <f>IF(AQ35="7",BH35,0)</f>
        <v>0</v>
      </c>
      <c r="AE35" s="9">
        <f>IF(AQ35="7",BI35,0)</f>
        <v>0</v>
      </c>
      <c r="AF35" s="9">
        <f>IF(AQ35="2",BH35,0)</f>
        <v>0</v>
      </c>
      <c r="AG35" s="9">
        <f>IF(AQ35="2",BI35,0)</f>
        <v>0</v>
      </c>
      <c r="AH35" s="9">
        <f>IF(AQ35="0",BJ35,0)</f>
        <v>0</v>
      </c>
      <c r="AI35" s="11" t="s">
        <v>5</v>
      </c>
      <c r="AJ35" s="9">
        <f>IF(AN35=0,I35,0)</f>
        <v>0</v>
      </c>
      <c r="AK35" s="9">
        <f>IF(AN35=12,I35,0)</f>
        <v>0</v>
      </c>
      <c r="AL35" s="9">
        <f>IF(AN35=21,I35,0)</f>
        <v>0</v>
      </c>
      <c r="AN35" s="9">
        <v>21</v>
      </c>
      <c r="AO35" s="9">
        <f>H35*0.709949784791965</f>
        <v>0</v>
      </c>
      <c r="AP35" s="9">
        <f>H35*(1-0.709949784791965)</f>
        <v>0</v>
      </c>
      <c r="AQ35" s="60" t="s">
        <v>1231</v>
      </c>
      <c r="AV35" s="9">
        <f>AW35+AX35</f>
        <v>0</v>
      </c>
      <c r="AW35" s="9">
        <f>G35*AO35</f>
        <v>0</v>
      </c>
      <c r="AX35" s="9">
        <f>G35*AP35</f>
        <v>0</v>
      </c>
      <c r="AY35" s="60" t="s">
        <v>882</v>
      </c>
      <c r="AZ35" s="60" t="s">
        <v>618</v>
      </c>
      <c r="BA35" s="11" t="s">
        <v>1092</v>
      </c>
      <c r="BC35" s="9">
        <f>AW35+AX35</f>
        <v>0</v>
      </c>
      <c r="BD35" s="9">
        <f>H35/(100-BE35)*100</f>
        <v>0</v>
      </c>
      <c r="BE35" s="9">
        <v>0</v>
      </c>
      <c r="BF35" s="9">
        <f>35</f>
        <v>35</v>
      </c>
      <c r="BH35" s="9">
        <f>G35*AO35</f>
        <v>0</v>
      </c>
      <c r="BI35" s="9">
        <f>G35*AP35</f>
        <v>0</v>
      </c>
      <c r="BJ35" s="9">
        <f>G35*H35</f>
        <v>0</v>
      </c>
      <c r="BK35" s="9"/>
      <c r="BL35" s="9">
        <v>41</v>
      </c>
      <c r="BW35" s="9">
        <v>21</v>
      </c>
    </row>
    <row r="36" spans="1:11" ht="13.5" customHeight="1">
      <c r="A36" s="47"/>
      <c r="C36" s="28"/>
      <c r="D36" s="116" t="s">
        <v>1337</v>
      </c>
      <c r="E36" s="117"/>
      <c r="F36" s="117"/>
      <c r="G36" s="117"/>
      <c r="H36" s="117"/>
      <c r="I36" s="117"/>
      <c r="J36" s="117"/>
      <c r="K36" s="118"/>
    </row>
    <row r="37" spans="1:47" ht="15" customHeight="1">
      <c r="A37" s="39" t="s">
        <v>852</v>
      </c>
      <c r="B37" s="48" t="s">
        <v>5</v>
      </c>
      <c r="C37" s="48" t="s">
        <v>883</v>
      </c>
      <c r="D37" s="122" t="s">
        <v>878</v>
      </c>
      <c r="E37" s="123"/>
      <c r="F37" s="51" t="s">
        <v>1142</v>
      </c>
      <c r="G37" s="51" t="s">
        <v>1142</v>
      </c>
      <c r="H37" s="51" t="s">
        <v>1142</v>
      </c>
      <c r="I37" s="55">
        <f>SUM(I38:I47)</f>
        <v>0</v>
      </c>
      <c r="K37" s="23"/>
      <c r="AI37" s="11" t="s">
        <v>5</v>
      </c>
      <c r="AS37" s="55">
        <f>SUM(AJ38:AJ47)</f>
        <v>0</v>
      </c>
      <c r="AT37" s="55">
        <f>SUM(AK38:AK47)</f>
        <v>0</v>
      </c>
      <c r="AU37" s="55">
        <f>SUM(AL38:AL47)</f>
        <v>0</v>
      </c>
    </row>
    <row r="38" spans="1:75" ht="13.5" customHeight="1">
      <c r="A38" s="16" t="s">
        <v>903</v>
      </c>
      <c r="B38" s="32" t="s">
        <v>5</v>
      </c>
      <c r="C38" s="32" t="s">
        <v>1034</v>
      </c>
      <c r="D38" s="69" t="s">
        <v>1310</v>
      </c>
      <c r="E38" s="70"/>
      <c r="F38" s="32" t="s">
        <v>1213</v>
      </c>
      <c r="G38" s="9">
        <v>82.42</v>
      </c>
      <c r="H38" s="68">
        <v>0</v>
      </c>
      <c r="I38" s="9">
        <f>G38*H38</f>
        <v>0</v>
      </c>
      <c r="K38" s="23"/>
      <c r="Z38" s="9">
        <f>IF(AQ38="5",BJ38,0)</f>
        <v>0</v>
      </c>
      <c r="AB38" s="9">
        <f>IF(AQ38="1",BH38,0)</f>
        <v>0</v>
      </c>
      <c r="AC38" s="9">
        <f>IF(AQ38="1",BI38,0)</f>
        <v>0</v>
      </c>
      <c r="AD38" s="9">
        <f>IF(AQ38="7",BH38,0)</f>
        <v>0</v>
      </c>
      <c r="AE38" s="9">
        <f>IF(AQ38="7",BI38,0)</f>
        <v>0</v>
      </c>
      <c r="AF38" s="9">
        <f>IF(AQ38="2",BH38,0)</f>
        <v>0</v>
      </c>
      <c r="AG38" s="9">
        <f>IF(AQ38="2",BI38,0)</f>
        <v>0</v>
      </c>
      <c r="AH38" s="9">
        <f>IF(AQ38="0",BJ38,0)</f>
        <v>0</v>
      </c>
      <c r="AI38" s="11" t="s">
        <v>5</v>
      </c>
      <c r="AJ38" s="9">
        <f>IF(AN38=0,I38,0)</f>
        <v>0</v>
      </c>
      <c r="AK38" s="9">
        <f>IF(AN38=12,I38,0)</f>
        <v>0</v>
      </c>
      <c r="AL38" s="9">
        <f>IF(AN38=21,I38,0)</f>
        <v>0</v>
      </c>
      <c r="AN38" s="9">
        <v>21</v>
      </c>
      <c r="AO38" s="9">
        <f>H38*0.237951127819549</f>
        <v>0</v>
      </c>
      <c r="AP38" s="9">
        <f>H38*(1-0.237951127819549)</f>
        <v>0</v>
      </c>
      <c r="AQ38" s="60" t="s">
        <v>1231</v>
      </c>
      <c r="AV38" s="9">
        <f>AW38+AX38</f>
        <v>0</v>
      </c>
      <c r="AW38" s="9">
        <f>G38*AO38</f>
        <v>0</v>
      </c>
      <c r="AX38" s="9">
        <f>G38*AP38</f>
        <v>0</v>
      </c>
      <c r="AY38" s="60" t="s">
        <v>775</v>
      </c>
      <c r="AZ38" s="60" t="s">
        <v>340</v>
      </c>
      <c r="BA38" s="11" t="s">
        <v>1092</v>
      </c>
      <c r="BC38" s="9">
        <f>AW38+AX38</f>
        <v>0</v>
      </c>
      <c r="BD38" s="9">
        <f>H38/(100-BE38)*100</f>
        <v>0</v>
      </c>
      <c r="BE38" s="9">
        <v>0</v>
      </c>
      <c r="BF38" s="9">
        <f>38</f>
        <v>38</v>
      </c>
      <c r="BH38" s="9">
        <f>G38*AO38</f>
        <v>0</v>
      </c>
      <c r="BI38" s="9">
        <f>G38*AP38</f>
        <v>0</v>
      </c>
      <c r="BJ38" s="9">
        <f>G38*H38</f>
        <v>0</v>
      </c>
      <c r="BK38" s="9"/>
      <c r="BL38" s="9">
        <v>61</v>
      </c>
      <c r="BW38" s="9">
        <v>21</v>
      </c>
    </row>
    <row r="39" spans="1:11" ht="13.5" customHeight="1">
      <c r="A39" s="47"/>
      <c r="C39" s="28"/>
      <c r="D39" s="116" t="s">
        <v>6</v>
      </c>
      <c r="E39" s="117"/>
      <c r="F39" s="117"/>
      <c r="G39" s="117"/>
      <c r="H39" s="117"/>
      <c r="I39" s="117"/>
      <c r="J39" s="117"/>
      <c r="K39" s="118"/>
    </row>
    <row r="40" spans="1:75" ht="13.5" customHeight="1">
      <c r="A40" s="16" t="s">
        <v>380</v>
      </c>
      <c r="B40" s="32" t="s">
        <v>5</v>
      </c>
      <c r="C40" s="32" t="s">
        <v>1209</v>
      </c>
      <c r="D40" s="69" t="s">
        <v>270</v>
      </c>
      <c r="E40" s="70"/>
      <c r="F40" s="32" t="s">
        <v>1213</v>
      </c>
      <c r="G40" s="9">
        <v>121.344</v>
      </c>
      <c r="H40" s="68">
        <v>0</v>
      </c>
      <c r="I40" s="9">
        <f>G40*H40</f>
        <v>0</v>
      </c>
      <c r="K40" s="23"/>
      <c r="Z40" s="9">
        <f>IF(AQ40="5",BJ40,0)</f>
        <v>0</v>
      </c>
      <c r="AB40" s="9">
        <f>IF(AQ40="1",BH40,0)</f>
        <v>0</v>
      </c>
      <c r="AC40" s="9">
        <f>IF(AQ40="1",BI40,0)</f>
        <v>0</v>
      </c>
      <c r="AD40" s="9">
        <f>IF(AQ40="7",BH40,0)</f>
        <v>0</v>
      </c>
      <c r="AE40" s="9">
        <f>IF(AQ40="7",BI40,0)</f>
        <v>0</v>
      </c>
      <c r="AF40" s="9">
        <f>IF(AQ40="2",BH40,0)</f>
        <v>0</v>
      </c>
      <c r="AG40" s="9">
        <f>IF(AQ40="2",BI40,0)</f>
        <v>0</v>
      </c>
      <c r="AH40" s="9">
        <f>IF(AQ40="0",BJ40,0)</f>
        <v>0</v>
      </c>
      <c r="AI40" s="11" t="s">
        <v>5</v>
      </c>
      <c r="AJ40" s="9">
        <f>IF(AN40=0,I40,0)</f>
        <v>0</v>
      </c>
      <c r="AK40" s="9">
        <f>IF(AN40=12,I40,0)</f>
        <v>0</v>
      </c>
      <c r="AL40" s="9">
        <f>IF(AN40=21,I40,0)</f>
        <v>0</v>
      </c>
      <c r="AN40" s="9">
        <v>21</v>
      </c>
      <c r="AO40" s="9">
        <f>H40*0.20895162679014</f>
        <v>0</v>
      </c>
      <c r="AP40" s="9">
        <f>H40*(1-0.20895162679014)</f>
        <v>0</v>
      </c>
      <c r="AQ40" s="60" t="s">
        <v>1231</v>
      </c>
      <c r="AV40" s="9">
        <f>AW40+AX40</f>
        <v>0</v>
      </c>
      <c r="AW40" s="9">
        <f>G40*AO40</f>
        <v>0</v>
      </c>
      <c r="AX40" s="9">
        <f>G40*AP40</f>
        <v>0</v>
      </c>
      <c r="AY40" s="60" t="s">
        <v>775</v>
      </c>
      <c r="AZ40" s="60" t="s">
        <v>340</v>
      </c>
      <c r="BA40" s="11" t="s">
        <v>1092</v>
      </c>
      <c r="BC40" s="9">
        <f>AW40+AX40</f>
        <v>0</v>
      </c>
      <c r="BD40" s="9">
        <f>H40/(100-BE40)*100</f>
        <v>0</v>
      </c>
      <c r="BE40" s="9">
        <v>0</v>
      </c>
      <c r="BF40" s="9">
        <f>40</f>
        <v>40</v>
      </c>
      <c r="BH40" s="9">
        <f>G40*AO40</f>
        <v>0</v>
      </c>
      <c r="BI40" s="9">
        <f>G40*AP40</f>
        <v>0</v>
      </c>
      <c r="BJ40" s="9">
        <f>G40*H40</f>
        <v>0</v>
      </c>
      <c r="BK40" s="9"/>
      <c r="BL40" s="9">
        <v>61</v>
      </c>
      <c r="BW40" s="9">
        <v>21</v>
      </c>
    </row>
    <row r="41" spans="1:11" ht="13.5" customHeight="1">
      <c r="A41" s="47"/>
      <c r="C41" s="28"/>
      <c r="D41" s="116" t="s">
        <v>545</v>
      </c>
      <c r="E41" s="117"/>
      <c r="F41" s="117"/>
      <c r="G41" s="117"/>
      <c r="H41" s="117"/>
      <c r="I41" s="117"/>
      <c r="J41" s="117"/>
      <c r="K41" s="118"/>
    </row>
    <row r="42" spans="1:75" ht="13.5" customHeight="1">
      <c r="A42" s="16" t="s">
        <v>727</v>
      </c>
      <c r="B42" s="32" t="s">
        <v>5</v>
      </c>
      <c r="C42" s="32" t="s">
        <v>1020</v>
      </c>
      <c r="D42" s="69" t="s">
        <v>4</v>
      </c>
      <c r="E42" s="70"/>
      <c r="F42" s="32" t="s">
        <v>1213</v>
      </c>
      <c r="G42" s="9">
        <v>130.389</v>
      </c>
      <c r="H42" s="68">
        <v>0</v>
      </c>
      <c r="I42" s="9">
        <f>G42*H42</f>
        <v>0</v>
      </c>
      <c r="K42" s="23"/>
      <c r="Z42" s="9">
        <f>IF(AQ42="5",BJ42,0)</f>
        <v>0</v>
      </c>
      <c r="AB42" s="9">
        <f>IF(AQ42="1",BH42,0)</f>
        <v>0</v>
      </c>
      <c r="AC42" s="9">
        <f>IF(AQ42="1",BI42,0)</f>
        <v>0</v>
      </c>
      <c r="AD42" s="9">
        <f>IF(AQ42="7",BH42,0)</f>
        <v>0</v>
      </c>
      <c r="AE42" s="9">
        <f>IF(AQ42="7",BI42,0)</f>
        <v>0</v>
      </c>
      <c r="AF42" s="9">
        <f>IF(AQ42="2",BH42,0)</f>
        <v>0</v>
      </c>
      <c r="AG42" s="9">
        <f>IF(AQ42="2",BI42,0)</f>
        <v>0</v>
      </c>
      <c r="AH42" s="9">
        <f>IF(AQ42="0",BJ42,0)</f>
        <v>0</v>
      </c>
      <c r="AI42" s="11" t="s">
        <v>5</v>
      </c>
      <c r="AJ42" s="9">
        <f>IF(AN42=0,I42,0)</f>
        <v>0</v>
      </c>
      <c r="AK42" s="9">
        <f>IF(AN42=12,I42,0)</f>
        <v>0</v>
      </c>
      <c r="AL42" s="9">
        <f>IF(AN42=21,I42,0)</f>
        <v>0</v>
      </c>
      <c r="AN42" s="9">
        <v>21</v>
      </c>
      <c r="AO42" s="9">
        <f>H42*0.1811390121867</f>
        <v>0</v>
      </c>
      <c r="AP42" s="9">
        <f>H42*(1-0.1811390121867)</f>
        <v>0</v>
      </c>
      <c r="AQ42" s="60" t="s">
        <v>1231</v>
      </c>
      <c r="AV42" s="9">
        <f>AW42+AX42</f>
        <v>0</v>
      </c>
      <c r="AW42" s="9">
        <f>G42*AO42</f>
        <v>0</v>
      </c>
      <c r="AX42" s="9">
        <f>G42*AP42</f>
        <v>0</v>
      </c>
      <c r="AY42" s="60" t="s">
        <v>775</v>
      </c>
      <c r="AZ42" s="60" t="s">
        <v>340</v>
      </c>
      <c r="BA42" s="11" t="s">
        <v>1092</v>
      </c>
      <c r="BC42" s="9">
        <f>AW42+AX42</f>
        <v>0</v>
      </c>
      <c r="BD42" s="9">
        <f>H42/(100-BE42)*100</f>
        <v>0</v>
      </c>
      <c r="BE42" s="9">
        <v>0</v>
      </c>
      <c r="BF42" s="9">
        <f>42</f>
        <v>42</v>
      </c>
      <c r="BH42" s="9">
        <f>G42*AO42</f>
        <v>0</v>
      </c>
      <c r="BI42" s="9">
        <f>G42*AP42</f>
        <v>0</v>
      </c>
      <c r="BJ42" s="9">
        <f>G42*H42</f>
        <v>0</v>
      </c>
      <c r="BK42" s="9"/>
      <c r="BL42" s="9">
        <v>61</v>
      </c>
      <c r="BW42" s="9">
        <v>21</v>
      </c>
    </row>
    <row r="43" spans="1:75" ht="13.5" customHeight="1">
      <c r="A43" s="16" t="s">
        <v>516</v>
      </c>
      <c r="B43" s="32" t="s">
        <v>5</v>
      </c>
      <c r="C43" s="32" t="s">
        <v>1313</v>
      </c>
      <c r="D43" s="69" t="s">
        <v>424</v>
      </c>
      <c r="E43" s="70"/>
      <c r="F43" s="32" t="s">
        <v>1213</v>
      </c>
      <c r="G43" s="9">
        <v>90.108</v>
      </c>
      <c r="H43" s="68">
        <v>0</v>
      </c>
      <c r="I43" s="9">
        <f>G43*H43</f>
        <v>0</v>
      </c>
      <c r="K43" s="23"/>
      <c r="Z43" s="9">
        <f>IF(AQ43="5",BJ43,0)</f>
        <v>0</v>
      </c>
      <c r="AB43" s="9">
        <f>IF(AQ43="1",BH43,0)</f>
        <v>0</v>
      </c>
      <c r="AC43" s="9">
        <f>IF(AQ43="1",BI43,0)</f>
        <v>0</v>
      </c>
      <c r="AD43" s="9">
        <f>IF(AQ43="7",BH43,0)</f>
        <v>0</v>
      </c>
      <c r="AE43" s="9">
        <f>IF(AQ43="7",BI43,0)</f>
        <v>0</v>
      </c>
      <c r="AF43" s="9">
        <f>IF(AQ43="2",BH43,0)</f>
        <v>0</v>
      </c>
      <c r="AG43" s="9">
        <f>IF(AQ43="2",BI43,0)</f>
        <v>0</v>
      </c>
      <c r="AH43" s="9">
        <f>IF(AQ43="0",BJ43,0)</f>
        <v>0</v>
      </c>
      <c r="AI43" s="11" t="s">
        <v>5</v>
      </c>
      <c r="AJ43" s="9">
        <f>IF(AN43=0,I43,0)</f>
        <v>0</v>
      </c>
      <c r="AK43" s="9">
        <f>IF(AN43=12,I43,0)</f>
        <v>0</v>
      </c>
      <c r="AL43" s="9">
        <f>IF(AN43=21,I43,0)</f>
        <v>0</v>
      </c>
      <c r="AN43" s="9">
        <v>21</v>
      </c>
      <c r="AO43" s="9">
        <f>H43*0.145284173233998</f>
        <v>0</v>
      </c>
      <c r="AP43" s="9">
        <f>H43*(1-0.145284173233998)</f>
        <v>0</v>
      </c>
      <c r="AQ43" s="60" t="s">
        <v>1231</v>
      </c>
      <c r="AV43" s="9">
        <f>AW43+AX43</f>
        <v>0</v>
      </c>
      <c r="AW43" s="9">
        <f>G43*AO43</f>
        <v>0</v>
      </c>
      <c r="AX43" s="9">
        <f>G43*AP43</f>
        <v>0</v>
      </c>
      <c r="AY43" s="60" t="s">
        <v>775</v>
      </c>
      <c r="AZ43" s="60" t="s">
        <v>340</v>
      </c>
      <c r="BA43" s="11" t="s">
        <v>1092</v>
      </c>
      <c r="BC43" s="9">
        <f>AW43+AX43</f>
        <v>0</v>
      </c>
      <c r="BD43" s="9">
        <f>H43/(100-BE43)*100</f>
        <v>0</v>
      </c>
      <c r="BE43" s="9">
        <v>0</v>
      </c>
      <c r="BF43" s="9">
        <f>43</f>
        <v>43</v>
      </c>
      <c r="BH43" s="9">
        <f>G43*AO43</f>
        <v>0</v>
      </c>
      <c r="BI43" s="9">
        <f>G43*AP43</f>
        <v>0</v>
      </c>
      <c r="BJ43" s="9">
        <f>G43*H43</f>
        <v>0</v>
      </c>
      <c r="BK43" s="9"/>
      <c r="BL43" s="9">
        <v>61</v>
      </c>
      <c r="BW43" s="9">
        <v>21</v>
      </c>
    </row>
    <row r="44" spans="1:11" ht="13.5" customHeight="1">
      <c r="A44" s="47"/>
      <c r="C44" s="28"/>
      <c r="D44" s="116" t="s">
        <v>661</v>
      </c>
      <c r="E44" s="117"/>
      <c r="F44" s="117"/>
      <c r="G44" s="117"/>
      <c r="H44" s="117"/>
      <c r="I44" s="117"/>
      <c r="J44" s="117"/>
      <c r="K44" s="118"/>
    </row>
    <row r="45" spans="1:75" ht="13.5" customHeight="1">
      <c r="A45" s="16" t="s">
        <v>112</v>
      </c>
      <c r="B45" s="32" t="s">
        <v>5</v>
      </c>
      <c r="C45" s="32" t="s">
        <v>922</v>
      </c>
      <c r="D45" s="69" t="s">
        <v>713</v>
      </c>
      <c r="E45" s="70"/>
      <c r="F45" s="32" t="s">
        <v>1213</v>
      </c>
      <c r="G45" s="9">
        <v>7.2</v>
      </c>
      <c r="H45" s="68">
        <v>0</v>
      </c>
      <c r="I45" s="9">
        <f>G45*H45</f>
        <v>0</v>
      </c>
      <c r="K45" s="23"/>
      <c r="Z45" s="9">
        <f>IF(AQ45="5",BJ45,0)</f>
        <v>0</v>
      </c>
      <c r="AB45" s="9">
        <f>IF(AQ45="1",BH45,0)</f>
        <v>0</v>
      </c>
      <c r="AC45" s="9">
        <f>IF(AQ45="1",BI45,0)</f>
        <v>0</v>
      </c>
      <c r="AD45" s="9">
        <f>IF(AQ45="7",BH45,0)</f>
        <v>0</v>
      </c>
      <c r="AE45" s="9">
        <f>IF(AQ45="7",BI45,0)</f>
        <v>0</v>
      </c>
      <c r="AF45" s="9">
        <f>IF(AQ45="2",BH45,0)</f>
        <v>0</v>
      </c>
      <c r="AG45" s="9">
        <f>IF(AQ45="2",BI45,0)</f>
        <v>0</v>
      </c>
      <c r="AH45" s="9">
        <f>IF(AQ45="0",BJ45,0)</f>
        <v>0</v>
      </c>
      <c r="AI45" s="11" t="s">
        <v>5</v>
      </c>
      <c r="AJ45" s="9">
        <f>IF(AN45=0,I45,0)</f>
        <v>0</v>
      </c>
      <c r="AK45" s="9">
        <f>IF(AN45=12,I45,0)</f>
        <v>0</v>
      </c>
      <c r="AL45" s="9">
        <f>IF(AN45=21,I45,0)</f>
        <v>0</v>
      </c>
      <c r="AN45" s="9">
        <v>21</v>
      </c>
      <c r="AO45" s="9">
        <f>H45*0.218283828382838</f>
        <v>0</v>
      </c>
      <c r="AP45" s="9">
        <f>H45*(1-0.218283828382838)</f>
        <v>0</v>
      </c>
      <c r="AQ45" s="60" t="s">
        <v>1231</v>
      </c>
      <c r="AV45" s="9">
        <f>AW45+AX45</f>
        <v>0</v>
      </c>
      <c r="AW45" s="9">
        <f>G45*AO45</f>
        <v>0</v>
      </c>
      <c r="AX45" s="9">
        <f>G45*AP45</f>
        <v>0</v>
      </c>
      <c r="AY45" s="60" t="s">
        <v>775</v>
      </c>
      <c r="AZ45" s="60" t="s">
        <v>340</v>
      </c>
      <c r="BA45" s="11" t="s">
        <v>1092</v>
      </c>
      <c r="BC45" s="9">
        <f>AW45+AX45</f>
        <v>0</v>
      </c>
      <c r="BD45" s="9">
        <f>H45/(100-BE45)*100</f>
        <v>0</v>
      </c>
      <c r="BE45" s="9">
        <v>0</v>
      </c>
      <c r="BF45" s="9">
        <f>45</f>
        <v>45</v>
      </c>
      <c r="BH45" s="9">
        <f>G45*AO45</f>
        <v>0</v>
      </c>
      <c r="BI45" s="9">
        <f>G45*AP45</f>
        <v>0</v>
      </c>
      <c r="BJ45" s="9">
        <f>G45*H45</f>
        <v>0</v>
      </c>
      <c r="BK45" s="9"/>
      <c r="BL45" s="9">
        <v>61</v>
      </c>
      <c r="BW45" s="9">
        <v>21</v>
      </c>
    </row>
    <row r="46" spans="1:75" ht="13.5" customHeight="1">
      <c r="A46" s="16" t="s">
        <v>860</v>
      </c>
      <c r="B46" s="32" t="s">
        <v>5</v>
      </c>
      <c r="C46" s="32" t="s">
        <v>412</v>
      </c>
      <c r="D46" s="69" t="s">
        <v>692</v>
      </c>
      <c r="E46" s="70"/>
      <c r="F46" s="32" t="s">
        <v>1213</v>
      </c>
      <c r="G46" s="9">
        <v>90.108</v>
      </c>
      <c r="H46" s="68">
        <v>0</v>
      </c>
      <c r="I46" s="9">
        <f>G46*H46</f>
        <v>0</v>
      </c>
      <c r="K46" s="23"/>
      <c r="Z46" s="9">
        <f>IF(AQ46="5",BJ46,0)</f>
        <v>0</v>
      </c>
      <c r="AB46" s="9">
        <f>IF(AQ46="1",BH46,0)</f>
        <v>0</v>
      </c>
      <c r="AC46" s="9">
        <f>IF(AQ46="1",BI46,0)</f>
        <v>0</v>
      </c>
      <c r="AD46" s="9">
        <f>IF(AQ46="7",BH46,0)</f>
        <v>0</v>
      </c>
      <c r="AE46" s="9">
        <f>IF(AQ46="7",BI46,0)</f>
        <v>0</v>
      </c>
      <c r="AF46" s="9">
        <f>IF(AQ46="2",BH46,0)</f>
        <v>0</v>
      </c>
      <c r="AG46" s="9">
        <f>IF(AQ46="2",BI46,0)</f>
        <v>0</v>
      </c>
      <c r="AH46" s="9">
        <f>IF(AQ46="0",BJ46,0)</f>
        <v>0</v>
      </c>
      <c r="AI46" s="11" t="s">
        <v>5</v>
      </c>
      <c r="AJ46" s="9">
        <f>IF(AN46=0,I46,0)</f>
        <v>0</v>
      </c>
      <c r="AK46" s="9">
        <f>IF(AN46=12,I46,0)</f>
        <v>0</v>
      </c>
      <c r="AL46" s="9">
        <f>IF(AN46=21,I46,0)</f>
        <v>0</v>
      </c>
      <c r="AN46" s="9">
        <v>21</v>
      </c>
      <c r="AO46" s="9">
        <f>H46*0.239400709261128</f>
        <v>0</v>
      </c>
      <c r="AP46" s="9">
        <f>H46*(1-0.239400709261128)</f>
        <v>0</v>
      </c>
      <c r="AQ46" s="60" t="s">
        <v>1231</v>
      </c>
      <c r="AV46" s="9">
        <f>AW46+AX46</f>
        <v>0</v>
      </c>
      <c r="AW46" s="9">
        <f>G46*AO46</f>
        <v>0</v>
      </c>
      <c r="AX46" s="9">
        <f>G46*AP46</f>
        <v>0</v>
      </c>
      <c r="AY46" s="60" t="s">
        <v>775</v>
      </c>
      <c r="AZ46" s="60" t="s">
        <v>340</v>
      </c>
      <c r="BA46" s="11" t="s">
        <v>1092</v>
      </c>
      <c r="BC46" s="9">
        <f>AW46+AX46</f>
        <v>0</v>
      </c>
      <c r="BD46" s="9">
        <f>H46/(100-BE46)*100</f>
        <v>0</v>
      </c>
      <c r="BE46" s="9">
        <v>0</v>
      </c>
      <c r="BF46" s="9">
        <f>46</f>
        <v>46</v>
      </c>
      <c r="BH46" s="9">
        <f>G46*AO46</f>
        <v>0</v>
      </c>
      <c r="BI46" s="9">
        <f>G46*AP46</f>
        <v>0</v>
      </c>
      <c r="BJ46" s="9">
        <f>G46*H46</f>
        <v>0</v>
      </c>
      <c r="BK46" s="9"/>
      <c r="BL46" s="9">
        <v>61</v>
      </c>
      <c r="BW46" s="9">
        <v>21</v>
      </c>
    </row>
    <row r="47" spans="1:75" ht="13.5" customHeight="1">
      <c r="A47" s="16" t="s">
        <v>990</v>
      </c>
      <c r="B47" s="32" t="s">
        <v>5</v>
      </c>
      <c r="C47" s="32" t="s">
        <v>1421</v>
      </c>
      <c r="D47" s="69" t="s">
        <v>1028</v>
      </c>
      <c r="E47" s="70"/>
      <c r="F47" s="32" t="s">
        <v>1026</v>
      </c>
      <c r="G47" s="9">
        <v>55.2</v>
      </c>
      <c r="H47" s="68">
        <v>0</v>
      </c>
      <c r="I47" s="9">
        <f>G47*H47</f>
        <v>0</v>
      </c>
      <c r="K47" s="23"/>
      <c r="Z47" s="9">
        <f>IF(AQ47="5",BJ47,0)</f>
        <v>0</v>
      </c>
      <c r="AB47" s="9">
        <f>IF(AQ47="1",BH47,0)</f>
        <v>0</v>
      </c>
      <c r="AC47" s="9">
        <f>IF(AQ47="1",BI47,0)</f>
        <v>0</v>
      </c>
      <c r="AD47" s="9">
        <f>IF(AQ47="7",BH47,0)</f>
        <v>0</v>
      </c>
      <c r="AE47" s="9">
        <f>IF(AQ47="7",BI47,0)</f>
        <v>0</v>
      </c>
      <c r="AF47" s="9">
        <f>IF(AQ47="2",BH47,0)</f>
        <v>0</v>
      </c>
      <c r="AG47" s="9">
        <f>IF(AQ47="2",BI47,0)</f>
        <v>0</v>
      </c>
      <c r="AH47" s="9">
        <f>IF(AQ47="0",BJ47,0)</f>
        <v>0</v>
      </c>
      <c r="AI47" s="11" t="s">
        <v>5</v>
      </c>
      <c r="AJ47" s="9">
        <f>IF(AN47=0,I47,0)</f>
        <v>0</v>
      </c>
      <c r="AK47" s="9">
        <f>IF(AN47=12,I47,0)</f>
        <v>0</v>
      </c>
      <c r="AL47" s="9">
        <f>IF(AN47=21,I47,0)</f>
        <v>0</v>
      </c>
      <c r="AN47" s="9">
        <v>21</v>
      </c>
      <c r="AO47" s="9">
        <f>H47*1</f>
        <v>0</v>
      </c>
      <c r="AP47" s="9">
        <f>H47*(1-1)</f>
        <v>0</v>
      </c>
      <c r="AQ47" s="60" t="s">
        <v>1231</v>
      </c>
      <c r="AV47" s="9">
        <f>AW47+AX47</f>
        <v>0</v>
      </c>
      <c r="AW47" s="9">
        <f>G47*AO47</f>
        <v>0</v>
      </c>
      <c r="AX47" s="9">
        <f>G47*AP47</f>
        <v>0</v>
      </c>
      <c r="AY47" s="60" t="s">
        <v>775</v>
      </c>
      <c r="AZ47" s="60" t="s">
        <v>340</v>
      </c>
      <c r="BA47" s="11" t="s">
        <v>1092</v>
      </c>
      <c r="BC47" s="9">
        <f>AW47+AX47</f>
        <v>0</v>
      </c>
      <c r="BD47" s="9">
        <f>H47/(100-BE47)*100</f>
        <v>0</v>
      </c>
      <c r="BE47" s="9">
        <v>0</v>
      </c>
      <c r="BF47" s="9">
        <f>47</f>
        <v>47</v>
      </c>
      <c r="BH47" s="9">
        <f>G47*AO47</f>
        <v>0</v>
      </c>
      <c r="BI47" s="9">
        <f>G47*AP47</f>
        <v>0</v>
      </c>
      <c r="BJ47" s="9">
        <f>G47*H47</f>
        <v>0</v>
      </c>
      <c r="BK47" s="9"/>
      <c r="BL47" s="9">
        <v>61</v>
      </c>
      <c r="BW47" s="9">
        <v>21</v>
      </c>
    </row>
    <row r="48" spans="1:47" ht="15" customHeight="1">
      <c r="A48" s="39" t="s">
        <v>852</v>
      </c>
      <c r="B48" s="48" t="s">
        <v>5</v>
      </c>
      <c r="C48" s="48" t="s">
        <v>296</v>
      </c>
      <c r="D48" s="122" t="s">
        <v>1252</v>
      </c>
      <c r="E48" s="123"/>
      <c r="F48" s="51" t="s">
        <v>1142</v>
      </c>
      <c r="G48" s="51" t="s">
        <v>1142</v>
      </c>
      <c r="H48" s="51" t="s">
        <v>1142</v>
      </c>
      <c r="I48" s="55">
        <f>SUM(I49:I54)</f>
        <v>0</v>
      </c>
      <c r="K48" s="23"/>
      <c r="AI48" s="11" t="s">
        <v>5</v>
      </c>
      <c r="AS48" s="55">
        <f>SUM(AJ49:AJ54)</f>
        <v>0</v>
      </c>
      <c r="AT48" s="55">
        <f>SUM(AK49:AK54)</f>
        <v>0</v>
      </c>
      <c r="AU48" s="55">
        <f>SUM(AL49:AL54)</f>
        <v>0</v>
      </c>
    </row>
    <row r="49" spans="1:75" ht="13.5" customHeight="1">
      <c r="A49" s="16" t="s">
        <v>781</v>
      </c>
      <c r="B49" s="32" t="s">
        <v>5</v>
      </c>
      <c r="C49" s="32" t="s">
        <v>462</v>
      </c>
      <c r="D49" s="69" t="s">
        <v>1189</v>
      </c>
      <c r="E49" s="70"/>
      <c r="F49" s="32" t="s">
        <v>1213</v>
      </c>
      <c r="G49" s="9">
        <v>15.35</v>
      </c>
      <c r="H49" s="68">
        <v>0</v>
      </c>
      <c r="I49" s="9">
        <f>G49*H49</f>
        <v>0</v>
      </c>
      <c r="K49" s="23"/>
      <c r="Z49" s="9">
        <f>IF(AQ49="5",BJ49,0)</f>
        <v>0</v>
      </c>
      <c r="AB49" s="9">
        <f>IF(AQ49="1",BH49,0)</f>
        <v>0</v>
      </c>
      <c r="AC49" s="9">
        <f>IF(AQ49="1",BI49,0)</f>
        <v>0</v>
      </c>
      <c r="AD49" s="9">
        <f>IF(AQ49="7",BH49,0)</f>
        <v>0</v>
      </c>
      <c r="AE49" s="9">
        <f>IF(AQ49="7",BI49,0)</f>
        <v>0</v>
      </c>
      <c r="AF49" s="9">
        <f>IF(AQ49="2",BH49,0)</f>
        <v>0</v>
      </c>
      <c r="AG49" s="9">
        <f>IF(AQ49="2",BI49,0)</f>
        <v>0</v>
      </c>
      <c r="AH49" s="9">
        <f>IF(AQ49="0",BJ49,0)</f>
        <v>0</v>
      </c>
      <c r="AI49" s="11" t="s">
        <v>5</v>
      </c>
      <c r="AJ49" s="9">
        <f>IF(AN49=0,I49,0)</f>
        <v>0</v>
      </c>
      <c r="AK49" s="9">
        <f>IF(AN49=12,I49,0)</f>
        <v>0</v>
      </c>
      <c r="AL49" s="9">
        <f>IF(AN49=21,I49,0)</f>
        <v>0</v>
      </c>
      <c r="AN49" s="9">
        <v>21</v>
      </c>
      <c r="AO49" s="9">
        <f>H49*0.746526465028356</f>
        <v>0</v>
      </c>
      <c r="AP49" s="9">
        <f>H49*(1-0.746526465028356)</f>
        <v>0</v>
      </c>
      <c r="AQ49" s="60" t="s">
        <v>1231</v>
      </c>
      <c r="AV49" s="9">
        <f>AW49+AX49</f>
        <v>0</v>
      </c>
      <c r="AW49" s="9">
        <f>G49*AO49</f>
        <v>0</v>
      </c>
      <c r="AX49" s="9">
        <f>G49*AP49</f>
        <v>0</v>
      </c>
      <c r="AY49" s="60" t="s">
        <v>1131</v>
      </c>
      <c r="AZ49" s="60" t="s">
        <v>340</v>
      </c>
      <c r="BA49" s="11" t="s">
        <v>1092</v>
      </c>
      <c r="BC49" s="9">
        <f>AW49+AX49</f>
        <v>0</v>
      </c>
      <c r="BD49" s="9">
        <f>H49/(100-BE49)*100</f>
        <v>0</v>
      </c>
      <c r="BE49" s="9">
        <v>0</v>
      </c>
      <c r="BF49" s="9">
        <f>49</f>
        <v>49</v>
      </c>
      <c r="BH49" s="9">
        <f>G49*AO49</f>
        <v>0</v>
      </c>
      <c r="BI49" s="9">
        <f>G49*AP49</f>
        <v>0</v>
      </c>
      <c r="BJ49" s="9">
        <f>G49*H49</f>
        <v>0</v>
      </c>
      <c r="BK49" s="9"/>
      <c r="BL49" s="9">
        <v>63</v>
      </c>
      <c r="BW49" s="9">
        <v>21</v>
      </c>
    </row>
    <row r="50" spans="1:11" ht="27" customHeight="1">
      <c r="A50" s="47"/>
      <c r="C50" s="28"/>
      <c r="D50" s="116" t="s">
        <v>620</v>
      </c>
      <c r="E50" s="117"/>
      <c r="F50" s="117"/>
      <c r="G50" s="117"/>
      <c r="H50" s="117"/>
      <c r="I50" s="117"/>
      <c r="J50" s="117"/>
      <c r="K50" s="118"/>
    </row>
    <row r="51" spans="1:75" ht="13.5" customHeight="1">
      <c r="A51" s="16" t="s">
        <v>63</v>
      </c>
      <c r="B51" s="32" t="s">
        <v>5</v>
      </c>
      <c r="C51" s="32" t="s">
        <v>581</v>
      </c>
      <c r="D51" s="69" t="s">
        <v>180</v>
      </c>
      <c r="E51" s="70"/>
      <c r="F51" s="32" t="s">
        <v>1194</v>
      </c>
      <c r="G51" s="9">
        <v>8.295</v>
      </c>
      <c r="H51" s="68">
        <v>0</v>
      </c>
      <c r="I51" s="9">
        <f>G51*H51</f>
        <v>0</v>
      </c>
      <c r="K51" s="23"/>
      <c r="Z51" s="9">
        <f>IF(AQ51="5",BJ51,0)</f>
        <v>0</v>
      </c>
      <c r="AB51" s="9">
        <f>IF(AQ51="1",BH51,0)</f>
        <v>0</v>
      </c>
      <c r="AC51" s="9">
        <f>IF(AQ51="1",BI51,0)</f>
        <v>0</v>
      </c>
      <c r="AD51" s="9">
        <f>IF(AQ51="7",BH51,0)</f>
        <v>0</v>
      </c>
      <c r="AE51" s="9">
        <f>IF(AQ51="7",BI51,0)</f>
        <v>0</v>
      </c>
      <c r="AF51" s="9">
        <f>IF(AQ51="2",BH51,0)</f>
        <v>0</v>
      </c>
      <c r="AG51" s="9">
        <f>IF(AQ51="2",BI51,0)</f>
        <v>0</v>
      </c>
      <c r="AH51" s="9">
        <f>IF(AQ51="0",BJ51,0)</f>
        <v>0</v>
      </c>
      <c r="AI51" s="11" t="s">
        <v>5</v>
      </c>
      <c r="AJ51" s="9">
        <f>IF(AN51=0,I51,0)</f>
        <v>0</v>
      </c>
      <c r="AK51" s="9">
        <f>IF(AN51=12,I51,0)</f>
        <v>0</v>
      </c>
      <c r="AL51" s="9">
        <f>IF(AN51=21,I51,0)</f>
        <v>0</v>
      </c>
      <c r="AN51" s="9">
        <v>21</v>
      </c>
      <c r="AO51" s="9">
        <f>H51*0.736224175824176</f>
        <v>0</v>
      </c>
      <c r="AP51" s="9">
        <f>H51*(1-0.736224175824176)</f>
        <v>0</v>
      </c>
      <c r="AQ51" s="60" t="s">
        <v>1231</v>
      </c>
      <c r="AV51" s="9">
        <f>AW51+AX51</f>
        <v>0</v>
      </c>
      <c r="AW51" s="9">
        <f>G51*AO51</f>
        <v>0</v>
      </c>
      <c r="AX51" s="9">
        <f>G51*AP51</f>
        <v>0</v>
      </c>
      <c r="AY51" s="60" t="s">
        <v>1131</v>
      </c>
      <c r="AZ51" s="60" t="s">
        <v>340</v>
      </c>
      <c r="BA51" s="11" t="s">
        <v>1092</v>
      </c>
      <c r="BC51" s="9">
        <f>AW51+AX51</f>
        <v>0</v>
      </c>
      <c r="BD51" s="9">
        <f>H51/(100-BE51)*100</f>
        <v>0</v>
      </c>
      <c r="BE51" s="9">
        <v>0</v>
      </c>
      <c r="BF51" s="9">
        <f>51</f>
        <v>51</v>
      </c>
      <c r="BH51" s="9">
        <f>G51*AO51</f>
        <v>0</v>
      </c>
      <c r="BI51" s="9">
        <f>G51*AP51</f>
        <v>0</v>
      </c>
      <c r="BJ51" s="9">
        <f>G51*H51</f>
        <v>0</v>
      </c>
      <c r="BK51" s="9"/>
      <c r="BL51" s="9">
        <v>63</v>
      </c>
      <c r="BW51" s="9">
        <v>21</v>
      </c>
    </row>
    <row r="52" spans="1:75" ht="13.5" customHeight="1">
      <c r="A52" s="16" t="s">
        <v>868</v>
      </c>
      <c r="B52" s="32" t="s">
        <v>5</v>
      </c>
      <c r="C52" s="32" t="s">
        <v>1275</v>
      </c>
      <c r="D52" s="69" t="s">
        <v>967</v>
      </c>
      <c r="E52" s="70"/>
      <c r="F52" s="32" t="s">
        <v>1194</v>
      </c>
      <c r="G52" s="9">
        <v>8.295</v>
      </c>
      <c r="H52" s="68">
        <v>0</v>
      </c>
      <c r="I52" s="9">
        <f>G52*H52</f>
        <v>0</v>
      </c>
      <c r="K52" s="23"/>
      <c r="Z52" s="9">
        <f>IF(AQ52="5",BJ52,0)</f>
        <v>0</v>
      </c>
      <c r="AB52" s="9">
        <f>IF(AQ52="1",BH52,0)</f>
        <v>0</v>
      </c>
      <c r="AC52" s="9">
        <f>IF(AQ52="1",BI52,0)</f>
        <v>0</v>
      </c>
      <c r="AD52" s="9">
        <f>IF(AQ52="7",BH52,0)</f>
        <v>0</v>
      </c>
      <c r="AE52" s="9">
        <f>IF(AQ52="7",BI52,0)</f>
        <v>0</v>
      </c>
      <c r="AF52" s="9">
        <f>IF(AQ52="2",BH52,0)</f>
        <v>0</v>
      </c>
      <c r="AG52" s="9">
        <f>IF(AQ52="2",BI52,0)</f>
        <v>0</v>
      </c>
      <c r="AH52" s="9">
        <f>IF(AQ52="0",BJ52,0)</f>
        <v>0</v>
      </c>
      <c r="AI52" s="11" t="s">
        <v>5</v>
      </c>
      <c r="AJ52" s="9">
        <f>IF(AN52=0,I52,0)</f>
        <v>0</v>
      </c>
      <c r="AK52" s="9">
        <f>IF(AN52=12,I52,0)</f>
        <v>0</v>
      </c>
      <c r="AL52" s="9">
        <f>IF(AN52=21,I52,0)</f>
        <v>0</v>
      </c>
      <c r="AN52" s="9">
        <v>21</v>
      </c>
      <c r="AO52" s="9">
        <f>H52*0</f>
        <v>0</v>
      </c>
      <c r="AP52" s="9">
        <f>H52*(1-0)</f>
        <v>0</v>
      </c>
      <c r="AQ52" s="60" t="s">
        <v>1231</v>
      </c>
      <c r="AV52" s="9">
        <f>AW52+AX52</f>
        <v>0</v>
      </c>
      <c r="AW52" s="9">
        <f>G52*AO52</f>
        <v>0</v>
      </c>
      <c r="AX52" s="9">
        <f>G52*AP52</f>
        <v>0</v>
      </c>
      <c r="AY52" s="60" t="s">
        <v>1131</v>
      </c>
      <c r="AZ52" s="60" t="s">
        <v>340</v>
      </c>
      <c r="BA52" s="11" t="s">
        <v>1092</v>
      </c>
      <c r="BC52" s="9">
        <f>AW52+AX52</f>
        <v>0</v>
      </c>
      <c r="BD52" s="9">
        <f>H52/(100-BE52)*100</f>
        <v>0</v>
      </c>
      <c r="BE52" s="9">
        <v>0</v>
      </c>
      <c r="BF52" s="9">
        <f>52</f>
        <v>52</v>
      </c>
      <c r="BH52" s="9">
        <f>G52*AO52</f>
        <v>0</v>
      </c>
      <c r="BI52" s="9">
        <f>G52*AP52</f>
        <v>0</v>
      </c>
      <c r="BJ52" s="9">
        <f>G52*H52</f>
        <v>0</v>
      </c>
      <c r="BK52" s="9"/>
      <c r="BL52" s="9">
        <v>63</v>
      </c>
      <c r="BW52" s="9">
        <v>21</v>
      </c>
    </row>
    <row r="53" spans="1:75" ht="13.5" customHeight="1">
      <c r="A53" s="16" t="s">
        <v>1178</v>
      </c>
      <c r="B53" s="32" t="s">
        <v>5</v>
      </c>
      <c r="C53" s="32" t="s">
        <v>711</v>
      </c>
      <c r="D53" s="69" t="s">
        <v>101</v>
      </c>
      <c r="E53" s="70"/>
      <c r="F53" s="32" t="s">
        <v>1194</v>
      </c>
      <c r="G53" s="9">
        <v>8.295</v>
      </c>
      <c r="H53" s="68">
        <v>0</v>
      </c>
      <c r="I53" s="9">
        <f>G53*H53</f>
        <v>0</v>
      </c>
      <c r="K53" s="23"/>
      <c r="Z53" s="9">
        <f>IF(AQ53="5",BJ53,0)</f>
        <v>0</v>
      </c>
      <c r="AB53" s="9">
        <f>IF(AQ53="1",BH53,0)</f>
        <v>0</v>
      </c>
      <c r="AC53" s="9">
        <f>IF(AQ53="1",BI53,0)</f>
        <v>0</v>
      </c>
      <c r="AD53" s="9">
        <f>IF(AQ53="7",BH53,0)</f>
        <v>0</v>
      </c>
      <c r="AE53" s="9">
        <f>IF(AQ53="7",BI53,0)</f>
        <v>0</v>
      </c>
      <c r="AF53" s="9">
        <f>IF(AQ53="2",BH53,0)</f>
        <v>0</v>
      </c>
      <c r="AG53" s="9">
        <f>IF(AQ53="2",BI53,0)</f>
        <v>0</v>
      </c>
      <c r="AH53" s="9">
        <f>IF(AQ53="0",BJ53,0)</f>
        <v>0</v>
      </c>
      <c r="AI53" s="11" t="s">
        <v>5</v>
      </c>
      <c r="AJ53" s="9">
        <f>IF(AN53=0,I53,0)</f>
        <v>0</v>
      </c>
      <c r="AK53" s="9">
        <f>IF(AN53=12,I53,0)</f>
        <v>0</v>
      </c>
      <c r="AL53" s="9">
        <f>IF(AN53=21,I53,0)</f>
        <v>0</v>
      </c>
      <c r="AN53" s="9">
        <v>21</v>
      </c>
      <c r="AO53" s="9">
        <f>H53*0</f>
        <v>0</v>
      </c>
      <c r="AP53" s="9">
        <f>H53*(1-0)</f>
        <v>0</v>
      </c>
      <c r="AQ53" s="60" t="s">
        <v>1231</v>
      </c>
      <c r="AV53" s="9">
        <f>AW53+AX53</f>
        <v>0</v>
      </c>
      <c r="AW53" s="9">
        <f>G53*AO53</f>
        <v>0</v>
      </c>
      <c r="AX53" s="9">
        <f>G53*AP53</f>
        <v>0</v>
      </c>
      <c r="AY53" s="60" t="s">
        <v>1131</v>
      </c>
      <c r="AZ53" s="60" t="s">
        <v>340</v>
      </c>
      <c r="BA53" s="11" t="s">
        <v>1092</v>
      </c>
      <c r="BC53" s="9">
        <f>AW53+AX53</f>
        <v>0</v>
      </c>
      <c r="BD53" s="9">
        <f>H53/(100-BE53)*100</f>
        <v>0</v>
      </c>
      <c r="BE53" s="9">
        <v>0</v>
      </c>
      <c r="BF53" s="9">
        <f>53</f>
        <v>53</v>
      </c>
      <c r="BH53" s="9">
        <f>G53*AO53</f>
        <v>0</v>
      </c>
      <c r="BI53" s="9">
        <f>G53*AP53</f>
        <v>0</v>
      </c>
      <c r="BJ53" s="9">
        <f>G53*H53</f>
        <v>0</v>
      </c>
      <c r="BK53" s="9"/>
      <c r="BL53" s="9">
        <v>63</v>
      </c>
      <c r="BW53" s="9">
        <v>21</v>
      </c>
    </row>
    <row r="54" spans="1:75" ht="13.5" customHeight="1">
      <c r="A54" s="16" t="s">
        <v>575</v>
      </c>
      <c r="B54" s="32" t="s">
        <v>5</v>
      </c>
      <c r="C54" s="32" t="s">
        <v>750</v>
      </c>
      <c r="D54" s="69" t="s">
        <v>1128</v>
      </c>
      <c r="E54" s="70"/>
      <c r="F54" s="32" t="s">
        <v>594</v>
      </c>
      <c r="G54" s="9">
        <v>0.046</v>
      </c>
      <c r="H54" s="68">
        <v>0</v>
      </c>
      <c r="I54" s="9">
        <f>G54*H54</f>
        <v>0</v>
      </c>
      <c r="K54" s="23"/>
      <c r="Z54" s="9">
        <f>IF(AQ54="5",BJ54,0)</f>
        <v>0</v>
      </c>
      <c r="AB54" s="9">
        <f>IF(AQ54="1",BH54,0)</f>
        <v>0</v>
      </c>
      <c r="AC54" s="9">
        <f>IF(AQ54="1",BI54,0)</f>
        <v>0</v>
      </c>
      <c r="AD54" s="9">
        <f>IF(AQ54="7",BH54,0)</f>
        <v>0</v>
      </c>
      <c r="AE54" s="9">
        <f>IF(AQ54="7",BI54,0)</f>
        <v>0</v>
      </c>
      <c r="AF54" s="9">
        <f>IF(AQ54="2",BH54,0)</f>
        <v>0</v>
      </c>
      <c r="AG54" s="9">
        <f>IF(AQ54="2",BI54,0)</f>
        <v>0</v>
      </c>
      <c r="AH54" s="9">
        <f>IF(AQ54="0",BJ54,0)</f>
        <v>0</v>
      </c>
      <c r="AI54" s="11" t="s">
        <v>5</v>
      </c>
      <c r="AJ54" s="9">
        <f>IF(AN54=0,I54,0)</f>
        <v>0</v>
      </c>
      <c r="AK54" s="9">
        <f>IF(AN54=12,I54,0)</f>
        <v>0</v>
      </c>
      <c r="AL54" s="9">
        <f>IF(AN54=21,I54,0)</f>
        <v>0</v>
      </c>
      <c r="AN54" s="9">
        <v>21</v>
      </c>
      <c r="AO54" s="9">
        <f>H54*0.783669826224329</f>
        <v>0</v>
      </c>
      <c r="AP54" s="9">
        <f>H54*(1-0.783669826224329)</f>
        <v>0</v>
      </c>
      <c r="AQ54" s="60" t="s">
        <v>1231</v>
      </c>
      <c r="AV54" s="9">
        <f>AW54+AX54</f>
        <v>0</v>
      </c>
      <c r="AW54" s="9">
        <f>G54*AO54</f>
        <v>0</v>
      </c>
      <c r="AX54" s="9">
        <f>G54*AP54</f>
        <v>0</v>
      </c>
      <c r="AY54" s="60" t="s">
        <v>1131</v>
      </c>
      <c r="AZ54" s="60" t="s">
        <v>340</v>
      </c>
      <c r="BA54" s="11" t="s">
        <v>1092</v>
      </c>
      <c r="BC54" s="9">
        <f>AW54+AX54</f>
        <v>0</v>
      </c>
      <c r="BD54" s="9">
        <f>H54/(100-BE54)*100</f>
        <v>0</v>
      </c>
      <c r="BE54" s="9">
        <v>0</v>
      </c>
      <c r="BF54" s="9">
        <f>54</f>
        <v>54</v>
      </c>
      <c r="BH54" s="9">
        <f>G54*AO54</f>
        <v>0</v>
      </c>
      <c r="BI54" s="9">
        <f>G54*AP54</f>
        <v>0</v>
      </c>
      <c r="BJ54" s="9">
        <f>G54*H54</f>
        <v>0</v>
      </c>
      <c r="BK54" s="9"/>
      <c r="BL54" s="9">
        <v>63</v>
      </c>
      <c r="BW54" s="9">
        <v>21</v>
      </c>
    </row>
    <row r="55" spans="1:47" ht="15" customHeight="1">
      <c r="A55" s="39" t="s">
        <v>852</v>
      </c>
      <c r="B55" s="48" t="s">
        <v>5</v>
      </c>
      <c r="C55" s="48" t="s">
        <v>56</v>
      </c>
      <c r="D55" s="122" t="s">
        <v>474</v>
      </c>
      <c r="E55" s="123"/>
      <c r="F55" s="51" t="s">
        <v>1142</v>
      </c>
      <c r="G55" s="51" t="s">
        <v>1142</v>
      </c>
      <c r="H55" s="51" t="s">
        <v>1142</v>
      </c>
      <c r="I55" s="55">
        <f>SUM(I56:I56)</f>
        <v>0</v>
      </c>
      <c r="K55" s="23"/>
      <c r="AI55" s="11" t="s">
        <v>5</v>
      </c>
      <c r="AS55" s="55">
        <f>SUM(AJ56:AJ56)</f>
        <v>0</v>
      </c>
      <c r="AT55" s="55">
        <f>SUM(AK56:AK56)</f>
        <v>0</v>
      </c>
      <c r="AU55" s="55">
        <f>SUM(AL56:AL56)</f>
        <v>0</v>
      </c>
    </row>
    <row r="56" spans="1:75" ht="13.5" customHeight="1">
      <c r="A56" s="16" t="s">
        <v>117</v>
      </c>
      <c r="B56" s="32" t="s">
        <v>5</v>
      </c>
      <c r="C56" s="32" t="s">
        <v>1007</v>
      </c>
      <c r="D56" s="69" t="s">
        <v>813</v>
      </c>
      <c r="E56" s="70"/>
      <c r="F56" s="32" t="s">
        <v>1026</v>
      </c>
      <c r="G56" s="9">
        <v>67.85</v>
      </c>
      <c r="H56" s="68">
        <v>0</v>
      </c>
      <c r="I56" s="9">
        <f>G56*H56</f>
        <v>0</v>
      </c>
      <c r="K56" s="23"/>
      <c r="Z56" s="9">
        <f>IF(AQ56="5",BJ56,0)</f>
        <v>0</v>
      </c>
      <c r="AB56" s="9">
        <f>IF(AQ56="1",BH56,0)</f>
        <v>0</v>
      </c>
      <c r="AC56" s="9">
        <f>IF(AQ56="1",BI56,0)</f>
        <v>0</v>
      </c>
      <c r="AD56" s="9">
        <f>IF(AQ56="7",BH56,0)</f>
        <v>0</v>
      </c>
      <c r="AE56" s="9">
        <f>IF(AQ56="7",BI56,0)</f>
        <v>0</v>
      </c>
      <c r="AF56" s="9">
        <f>IF(AQ56="2",BH56,0)</f>
        <v>0</v>
      </c>
      <c r="AG56" s="9">
        <f>IF(AQ56="2",BI56,0)</f>
        <v>0</v>
      </c>
      <c r="AH56" s="9">
        <f>IF(AQ56="0",BJ56,0)</f>
        <v>0</v>
      </c>
      <c r="AI56" s="11" t="s">
        <v>5</v>
      </c>
      <c r="AJ56" s="9">
        <f>IF(AN56=0,I56,0)</f>
        <v>0</v>
      </c>
      <c r="AK56" s="9">
        <f>IF(AN56=12,I56,0)</f>
        <v>0</v>
      </c>
      <c r="AL56" s="9">
        <f>IF(AN56=21,I56,0)</f>
        <v>0</v>
      </c>
      <c r="AN56" s="9">
        <v>21</v>
      </c>
      <c r="AO56" s="9">
        <f>H56*0.605110234862114</f>
        <v>0</v>
      </c>
      <c r="AP56" s="9">
        <f>H56*(1-0.605110234862114)</f>
        <v>0</v>
      </c>
      <c r="AQ56" s="60" t="s">
        <v>1231</v>
      </c>
      <c r="AV56" s="9">
        <f>AW56+AX56</f>
        <v>0</v>
      </c>
      <c r="AW56" s="9">
        <f>G56*AO56</f>
        <v>0</v>
      </c>
      <c r="AX56" s="9">
        <f>G56*AP56</f>
        <v>0</v>
      </c>
      <c r="AY56" s="60" t="s">
        <v>1203</v>
      </c>
      <c r="AZ56" s="60" t="s">
        <v>1348</v>
      </c>
      <c r="BA56" s="11" t="s">
        <v>1092</v>
      </c>
      <c r="BC56" s="9">
        <f>AW56+AX56</f>
        <v>0</v>
      </c>
      <c r="BD56" s="9">
        <f>H56/(100-BE56)*100</f>
        <v>0</v>
      </c>
      <c r="BE56" s="9">
        <v>0</v>
      </c>
      <c r="BF56" s="9">
        <f>56</f>
        <v>56</v>
      </c>
      <c r="BH56" s="9">
        <f>G56*AO56</f>
        <v>0</v>
      </c>
      <c r="BI56" s="9">
        <f>G56*AP56</f>
        <v>0</v>
      </c>
      <c r="BJ56" s="9">
        <f>G56*H56</f>
        <v>0</v>
      </c>
      <c r="BK56" s="9"/>
      <c r="BL56" s="9">
        <v>91</v>
      </c>
      <c r="BW56" s="9">
        <v>21</v>
      </c>
    </row>
    <row r="57" spans="1:11" ht="13.5" customHeight="1">
      <c r="A57" s="47"/>
      <c r="C57" s="28"/>
      <c r="D57" s="116" t="s">
        <v>739</v>
      </c>
      <c r="E57" s="117"/>
      <c r="F57" s="117"/>
      <c r="G57" s="117"/>
      <c r="H57" s="117"/>
      <c r="I57" s="117"/>
      <c r="J57" s="117"/>
      <c r="K57" s="118"/>
    </row>
    <row r="58" spans="1:47" ht="15" customHeight="1">
      <c r="A58" s="39" t="s">
        <v>852</v>
      </c>
      <c r="B58" s="48" t="s">
        <v>5</v>
      </c>
      <c r="C58" s="48" t="s">
        <v>141</v>
      </c>
      <c r="D58" s="122" t="s">
        <v>865</v>
      </c>
      <c r="E58" s="123"/>
      <c r="F58" s="51" t="s">
        <v>1142</v>
      </c>
      <c r="G58" s="51" t="s">
        <v>1142</v>
      </c>
      <c r="H58" s="51" t="s">
        <v>1142</v>
      </c>
      <c r="I58" s="55">
        <f>SUM(I59:I59)</f>
        <v>0</v>
      </c>
      <c r="K58" s="23"/>
      <c r="AI58" s="11" t="s">
        <v>5</v>
      </c>
      <c r="AS58" s="55">
        <f>SUM(AJ59:AJ59)</f>
        <v>0</v>
      </c>
      <c r="AT58" s="55">
        <f>SUM(AK59:AK59)</f>
        <v>0</v>
      </c>
      <c r="AU58" s="55">
        <f>SUM(AL59:AL59)</f>
        <v>0</v>
      </c>
    </row>
    <row r="59" spans="1:75" ht="13.5" customHeight="1">
      <c r="A59" s="16" t="s">
        <v>315</v>
      </c>
      <c r="B59" s="32" t="s">
        <v>5</v>
      </c>
      <c r="C59" s="32" t="s">
        <v>1279</v>
      </c>
      <c r="D59" s="69" t="s">
        <v>993</v>
      </c>
      <c r="E59" s="70"/>
      <c r="F59" s="32" t="s">
        <v>1213</v>
      </c>
      <c r="G59" s="9">
        <v>120</v>
      </c>
      <c r="H59" s="68">
        <v>0</v>
      </c>
      <c r="I59" s="9">
        <f>G59*H59</f>
        <v>0</v>
      </c>
      <c r="K59" s="23"/>
      <c r="Z59" s="9">
        <f>IF(AQ59="5",BJ59,0)</f>
        <v>0</v>
      </c>
      <c r="AB59" s="9">
        <f>IF(AQ59="1",BH59,0)</f>
        <v>0</v>
      </c>
      <c r="AC59" s="9">
        <f>IF(AQ59="1",BI59,0)</f>
        <v>0</v>
      </c>
      <c r="AD59" s="9">
        <f>IF(AQ59="7",BH59,0)</f>
        <v>0</v>
      </c>
      <c r="AE59" s="9">
        <f>IF(AQ59="7",BI59,0)</f>
        <v>0</v>
      </c>
      <c r="AF59" s="9">
        <f>IF(AQ59="2",BH59,0)</f>
        <v>0</v>
      </c>
      <c r="AG59" s="9">
        <f>IF(AQ59="2",BI59,0)</f>
        <v>0</v>
      </c>
      <c r="AH59" s="9">
        <f>IF(AQ59="0",BJ59,0)</f>
        <v>0</v>
      </c>
      <c r="AI59" s="11" t="s">
        <v>5</v>
      </c>
      <c r="AJ59" s="9">
        <f>IF(AN59=0,I59,0)</f>
        <v>0</v>
      </c>
      <c r="AK59" s="9">
        <f>IF(AN59=12,I59,0)</f>
        <v>0</v>
      </c>
      <c r="AL59" s="9">
        <f>IF(AN59=21,I59,0)</f>
        <v>0</v>
      </c>
      <c r="AN59" s="9">
        <v>21</v>
      </c>
      <c r="AO59" s="9">
        <f>H59*0.407753935794722</f>
        <v>0</v>
      </c>
      <c r="AP59" s="9">
        <f>H59*(1-0.407753935794722)</f>
        <v>0</v>
      </c>
      <c r="AQ59" s="60" t="s">
        <v>1231</v>
      </c>
      <c r="AV59" s="9">
        <f>AW59+AX59</f>
        <v>0</v>
      </c>
      <c r="AW59" s="9">
        <f>G59*AO59</f>
        <v>0</v>
      </c>
      <c r="AX59" s="9">
        <f>G59*AP59</f>
        <v>0</v>
      </c>
      <c r="AY59" s="60" t="s">
        <v>1384</v>
      </c>
      <c r="AZ59" s="60" t="s">
        <v>1348</v>
      </c>
      <c r="BA59" s="11" t="s">
        <v>1092</v>
      </c>
      <c r="BC59" s="9">
        <f>AW59+AX59</f>
        <v>0</v>
      </c>
      <c r="BD59" s="9">
        <f>H59/(100-BE59)*100</f>
        <v>0</v>
      </c>
      <c r="BE59" s="9">
        <v>0</v>
      </c>
      <c r="BF59" s="9">
        <f>59</f>
        <v>59</v>
      </c>
      <c r="BH59" s="9">
        <f>G59*AO59</f>
        <v>0</v>
      </c>
      <c r="BI59" s="9">
        <f>G59*AP59</f>
        <v>0</v>
      </c>
      <c r="BJ59" s="9">
        <f>G59*H59</f>
        <v>0</v>
      </c>
      <c r="BK59" s="9"/>
      <c r="BL59" s="9">
        <v>94</v>
      </c>
      <c r="BW59" s="9">
        <v>21</v>
      </c>
    </row>
    <row r="60" spans="1:47" ht="15" customHeight="1">
      <c r="A60" s="39" t="s">
        <v>852</v>
      </c>
      <c r="B60" s="48" t="s">
        <v>5</v>
      </c>
      <c r="C60" s="48" t="s">
        <v>522</v>
      </c>
      <c r="D60" s="122" t="s">
        <v>911</v>
      </c>
      <c r="E60" s="123"/>
      <c r="F60" s="51" t="s">
        <v>1142</v>
      </c>
      <c r="G60" s="51" t="s">
        <v>1142</v>
      </c>
      <c r="H60" s="51" t="s">
        <v>1142</v>
      </c>
      <c r="I60" s="55">
        <f>SUM(I61:I61)</f>
        <v>0</v>
      </c>
      <c r="K60" s="23"/>
      <c r="AI60" s="11" t="s">
        <v>5</v>
      </c>
      <c r="AS60" s="55">
        <f>SUM(AJ61:AJ61)</f>
        <v>0</v>
      </c>
      <c r="AT60" s="55">
        <f>SUM(AK61:AK61)</f>
        <v>0</v>
      </c>
      <c r="AU60" s="55">
        <f>SUM(AL61:AL61)</f>
        <v>0</v>
      </c>
    </row>
    <row r="61" spans="1:75" ht="13.5" customHeight="1">
      <c r="A61" s="16" t="s">
        <v>157</v>
      </c>
      <c r="B61" s="32" t="s">
        <v>5</v>
      </c>
      <c r="C61" s="32" t="s">
        <v>1086</v>
      </c>
      <c r="D61" s="69" t="s">
        <v>416</v>
      </c>
      <c r="E61" s="70"/>
      <c r="F61" s="32" t="s">
        <v>1213</v>
      </c>
      <c r="G61" s="9">
        <v>114.36</v>
      </c>
      <c r="H61" s="68">
        <v>0</v>
      </c>
      <c r="I61" s="9">
        <f>G61*H61</f>
        <v>0</v>
      </c>
      <c r="K61" s="23"/>
      <c r="Z61" s="9">
        <f>IF(AQ61="5",BJ61,0)</f>
        <v>0</v>
      </c>
      <c r="AB61" s="9">
        <f>IF(AQ61="1",BH61,0)</f>
        <v>0</v>
      </c>
      <c r="AC61" s="9">
        <f>IF(AQ61="1",BI61,0)</f>
        <v>0</v>
      </c>
      <c r="AD61" s="9">
        <f>IF(AQ61="7",BH61,0)</f>
        <v>0</v>
      </c>
      <c r="AE61" s="9">
        <f>IF(AQ61="7",BI61,0)</f>
        <v>0</v>
      </c>
      <c r="AF61" s="9">
        <f>IF(AQ61="2",BH61,0)</f>
        <v>0</v>
      </c>
      <c r="AG61" s="9">
        <f>IF(AQ61="2",BI61,0)</f>
        <v>0</v>
      </c>
      <c r="AH61" s="9">
        <f>IF(AQ61="0",BJ61,0)</f>
        <v>0</v>
      </c>
      <c r="AI61" s="11" t="s">
        <v>5</v>
      </c>
      <c r="AJ61" s="9">
        <f>IF(AN61=0,I61,0)</f>
        <v>0</v>
      </c>
      <c r="AK61" s="9">
        <f>IF(AN61=12,I61,0)</f>
        <v>0</v>
      </c>
      <c r="AL61" s="9">
        <f>IF(AN61=21,I61,0)</f>
        <v>0</v>
      </c>
      <c r="AN61" s="9">
        <v>21</v>
      </c>
      <c r="AO61" s="9">
        <f>H61*0.013885887926316</f>
        <v>0</v>
      </c>
      <c r="AP61" s="9">
        <f>H61*(1-0.013885887926316)</f>
        <v>0</v>
      </c>
      <c r="AQ61" s="60" t="s">
        <v>1231</v>
      </c>
      <c r="AV61" s="9">
        <f>AW61+AX61</f>
        <v>0</v>
      </c>
      <c r="AW61" s="9">
        <f>G61*AO61</f>
        <v>0</v>
      </c>
      <c r="AX61" s="9">
        <f>G61*AP61</f>
        <v>0</v>
      </c>
      <c r="AY61" s="60" t="s">
        <v>756</v>
      </c>
      <c r="AZ61" s="60" t="s">
        <v>1348</v>
      </c>
      <c r="BA61" s="11" t="s">
        <v>1092</v>
      </c>
      <c r="BC61" s="9">
        <f>AW61+AX61</f>
        <v>0</v>
      </c>
      <c r="BD61" s="9">
        <f>H61/(100-BE61)*100</f>
        <v>0</v>
      </c>
      <c r="BE61" s="9">
        <v>0</v>
      </c>
      <c r="BF61" s="9">
        <f>61</f>
        <v>61</v>
      </c>
      <c r="BH61" s="9">
        <f>G61*AO61</f>
        <v>0</v>
      </c>
      <c r="BI61" s="9">
        <f>G61*AP61</f>
        <v>0</v>
      </c>
      <c r="BJ61" s="9">
        <f>G61*H61</f>
        <v>0</v>
      </c>
      <c r="BK61" s="9"/>
      <c r="BL61" s="9">
        <v>95</v>
      </c>
      <c r="BW61" s="9">
        <v>21</v>
      </c>
    </row>
    <row r="62" spans="1:47" ht="15" customHeight="1">
      <c r="A62" s="39" t="s">
        <v>852</v>
      </c>
      <c r="B62" s="48" t="s">
        <v>5</v>
      </c>
      <c r="C62" s="48" t="s">
        <v>686</v>
      </c>
      <c r="D62" s="122" t="s">
        <v>915</v>
      </c>
      <c r="E62" s="123"/>
      <c r="F62" s="51" t="s">
        <v>1142</v>
      </c>
      <c r="G62" s="51" t="s">
        <v>1142</v>
      </c>
      <c r="H62" s="51" t="s">
        <v>1142</v>
      </c>
      <c r="I62" s="55">
        <f>SUM(I63:I87)</f>
        <v>0</v>
      </c>
      <c r="K62" s="23"/>
      <c r="AI62" s="11" t="s">
        <v>5</v>
      </c>
      <c r="AS62" s="55">
        <f>SUM(AJ63:AJ87)</f>
        <v>0</v>
      </c>
      <c r="AT62" s="55">
        <f>SUM(AK63:AK87)</f>
        <v>0</v>
      </c>
      <c r="AU62" s="55">
        <f>SUM(AL63:AL87)</f>
        <v>0</v>
      </c>
    </row>
    <row r="63" spans="1:75" ht="13.5" customHeight="1">
      <c r="A63" s="16" t="s">
        <v>1205</v>
      </c>
      <c r="B63" s="32" t="s">
        <v>5</v>
      </c>
      <c r="C63" s="32" t="s">
        <v>938</v>
      </c>
      <c r="D63" s="69" t="s">
        <v>9</v>
      </c>
      <c r="E63" s="70"/>
      <c r="F63" s="32" t="s">
        <v>1213</v>
      </c>
      <c r="G63" s="9">
        <v>186.098</v>
      </c>
      <c r="H63" s="68">
        <v>0</v>
      </c>
      <c r="I63" s="9">
        <f>G63*H63</f>
        <v>0</v>
      </c>
      <c r="K63" s="23"/>
      <c r="Z63" s="9">
        <f>IF(AQ63="5",BJ63,0)</f>
        <v>0</v>
      </c>
      <c r="AB63" s="9">
        <f>IF(AQ63="1",BH63,0)</f>
        <v>0</v>
      </c>
      <c r="AC63" s="9">
        <f>IF(AQ63="1",BI63,0)</f>
        <v>0</v>
      </c>
      <c r="AD63" s="9">
        <f>IF(AQ63="7",BH63,0)</f>
        <v>0</v>
      </c>
      <c r="AE63" s="9">
        <f>IF(AQ63="7",BI63,0)</f>
        <v>0</v>
      </c>
      <c r="AF63" s="9">
        <f>IF(AQ63="2",BH63,0)</f>
        <v>0</v>
      </c>
      <c r="AG63" s="9">
        <f>IF(AQ63="2",BI63,0)</f>
        <v>0</v>
      </c>
      <c r="AH63" s="9">
        <f>IF(AQ63="0",BJ63,0)</f>
        <v>0</v>
      </c>
      <c r="AI63" s="11" t="s">
        <v>5</v>
      </c>
      <c r="AJ63" s="9">
        <f>IF(AN63=0,I63,0)</f>
        <v>0</v>
      </c>
      <c r="AK63" s="9">
        <f>IF(AN63=12,I63,0)</f>
        <v>0</v>
      </c>
      <c r="AL63" s="9">
        <f>IF(AN63=21,I63,0)</f>
        <v>0</v>
      </c>
      <c r="AN63" s="9">
        <v>21</v>
      </c>
      <c r="AO63" s="9">
        <f>H63*0.132637020706858</f>
        <v>0</v>
      </c>
      <c r="AP63" s="9">
        <f>H63*(1-0.132637020706858)</f>
        <v>0</v>
      </c>
      <c r="AQ63" s="60" t="s">
        <v>1231</v>
      </c>
      <c r="AV63" s="9">
        <f>AW63+AX63</f>
        <v>0</v>
      </c>
      <c r="AW63" s="9">
        <f>G63*AO63</f>
        <v>0</v>
      </c>
      <c r="AX63" s="9">
        <f>G63*AP63</f>
        <v>0</v>
      </c>
      <c r="AY63" s="60" t="s">
        <v>1085</v>
      </c>
      <c r="AZ63" s="60" t="s">
        <v>1348</v>
      </c>
      <c r="BA63" s="11" t="s">
        <v>1092</v>
      </c>
      <c r="BC63" s="9">
        <f>AW63+AX63</f>
        <v>0</v>
      </c>
      <c r="BD63" s="9">
        <f>H63/(100-BE63)*100</f>
        <v>0</v>
      </c>
      <c r="BE63" s="9">
        <v>0</v>
      </c>
      <c r="BF63" s="9">
        <f>63</f>
        <v>63</v>
      </c>
      <c r="BH63" s="9">
        <f>G63*AO63</f>
        <v>0</v>
      </c>
      <c r="BI63" s="9">
        <f>G63*AP63</f>
        <v>0</v>
      </c>
      <c r="BJ63" s="9">
        <f>G63*H63</f>
        <v>0</v>
      </c>
      <c r="BK63" s="9"/>
      <c r="BL63" s="9">
        <v>96</v>
      </c>
      <c r="BW63" s="9">
        <v>21</v>
      </c>
    </row>
    <row r="64" spans="1:11" ht="13.5" customHeight="1">
      <c r="A64" s="47"/>
      <c r="C64" s="28"/>
      <c r="D64" s="116" t="s">
        <v>568</v>
      </c>
      <c r="E64" s="117"/>
      <c r="F64" s="117"/>
      <c r="G64" s="117"/>
      <c r="H64" s="117"/>
      <c r="I64" s="117"/>
      <c r="J64" s="117"/>
      <c r="K64" s="118"/>
    </row>
    <row r="65" spans="1:75" ht="13.5" customHeight="1">
      <c r="A65" s="16" t="s">
        <v>1358</v>
      </c>
      <c r="B65" s="32" t="s">
        <v>5</v>
      </c>
      <c r="C65" s="32" t="s">
        <v>704</v>
      </c>
      <c r="D65" s="69" t="s">
        <v>785</v>
      </c>
      <c r="E65" s="70"/>
      <c r="F65" s="32" t="s">
        <v>1213</v>
      </c>
      <c r="G65" s="9">
        <v>20.79</v>
      </c>
      <c r="H65" s="68">
        <v>0</v>
      </c>
      <c r="I65" s="9">
        <f>G65*H65</f>
        <v>0</v>
      </c>
      <c r="K65" s="23"/>
      <c r="Z65" s="9">
        <f>IF(AQ65="5",BJ65,0)</f>
        <v>0</v>
      </c>
      <c r="AB65" s="9">
        <f>IF(AQ65="1",BH65,0)</f>
        <v>0</v>
      </c>
      <c r="AC65" s="9">
        <f>IF(AQ65="1",BI65,0)</f>
        <v>0</v>
      </c>
      <c r="AD65" s="9">
        <f>IF(AQ65="7",BH65,0)</f>
        <v>0</v>
      </c>
      <c r="AE65" s="9">
        <f>IF(AQ65="7",BI65,0)</f>
        <v>0</v>
      </c>
      <c r="AF65" s="9">
        <f>IF(AQ65="2",BH65,0)</f>
        <v>0</v>
      </c>
      <c r="AG65" s="9">
        <f>IF(AQ65="2",BI65,0)</f>
        <v>0</v>
      </c>
      <c r="AH65" s="9">
        <f>IF(AQ65="0",BJ65,0)</f>
        <v>0</v>
      </c>
      <c r="AI65" s="11" t="s">
        <v>5</v>
      </c>
      <c r="AJ65" s="9">
        <f>IF(AN65=0,I65,0)</f>
        <v>0</v>
      </c>
      <c r="AK65" s="9">
        <f>IF(AN65=12,I65,0)</f>
        <v>0</v>
      </c>
      <c r="AL65" s="9">
        <f>IF(AN65=21,I65,0)</f>
        <v>0</v>
      </c>
      <c r="AN65" s="9">
        <v>21</v>
      </c>
      <c r="AO65" s="9">
        <f>H65*0.16056510851419</f>
        <v>0</v>
      </c>
      <c r="AP65" s="9">
        <f>H65*(1-0.16056510851419)</f>
        <v>0</v>
      </c>
      <c r="AQ65" s="60" t="s">
        <v>1231</v>
      </c>
      <c r="AV65" s="9">
        <f>AW65+AX65</f>
        <v>0</v>
      </c>
      <c r="AW65" s="9">
        <f>G65*AO65</f>
        <v>0</v>
      </c>
      <c r="AX65" s="9">
        <f>G65*AP65</f>
        <v>0</v>
      </c>
      <c r="AY65" s="60" t="s">
        <v>1085</v>
      </c>
      <c r="AZ65" s="60" t="s">
        <v>1348</v>
      </c>
      <c r="BA65" s="11" t="s">
        <v>1092</v>
      </c>
      <c r="BC65" s="9">
        <f>AW65+AX65</f>
        <v>0</v>
      </c>
      <c r="BD65" s="9">
        <f>H65/(100-BE65)*100</f>
        <v>0</v>
      </c>
      <c r="BE65" s="9">
        <v>0</v>
      </c>
      <c r="BF65" s="9">
        <f>65</f>
        <v>65</v>
      </c>
      <c r="BH65" s="9">
        <f>G65*AO65</f>
        <v>0</v>
      </c>
      <c r="BI65" s="9">
        <f>G65*AP65</f>
        <v>0</v>
      </c>
      <c r="BJ65" s="9">
        <f>G65*H65</f>
        <v>0</v>
      </c>
      <c r="BK65" s="9"/>
      <c r="BL65" s="9">
        <v>96</v>
      </c>
      <c r="BW65" s="9">
        <v>21</v>
      </c>
    </row>
    <row r="66" spans="1:11" ht="13.5" customHeight="1">
      <c r="A66" s="47"/>
      <c r="C66" s="28"/>
      <c r="D66" s="116" t="s">
        <v>646</v>
      </c>
      <c r="E66" s="117"/>
      <c r="F66" s="117"/>
      <c r="G66" s="117"/>
      <c r="H66" s="117"/>
      <c r="I66" s="117"/>
      <c r="J66" s="117"/>
      <c r="K66" s="118"/>
    </row>
    <row r="67" spans="1:75" ht="13.5" customHeight="1">
      <c r="A67" s="16" t="s">
        <v>91</v>
      </c>
      <c r="B67" s="32" t="s">
        <v>5</v>
      </c>
      <c r="C67" s="32" t="s">
        <v>572</v>
      </c>
      <c r="D67" s="69" t="s">
        <v>282</v>
      </c>
      <c r="E67" s="70"/>
      <c r="F67" s="32" t="s">
        <v>1194</v>
      </c>
      <c r="G67" s="9">
        <v>0.186</v>
      </c>
      <c r="H67" s="68">
        <v>0</v>
      </c>
      <c r="I67" s="9">
        <f>G67*H67</f>
        <v>0</v>
      </c>
      <c r="K67" s="23"/>
      <c r="Z67" s="9">
        <f>IF(AQ67="5",BJ67,0)</f>
        <v>0</v>
      </c>
      <c r="AB67" s="9">
        <f>IF(AQ67="1",BH67,0)</f>
        <v>0</v>
      </c>
      <c r="AC67" s="9">
        <f>IF(AQ67="1",BI67,0)</f>
        <v>0</v>
      </c>
      <c r="AD67" s="9">
        <f>IF(AQ67="7",BH67,0)</f>
        <v>0</v>
      </c>
      <c r="AE67" s="9">
        <f>IF(AQ67="7",BI67,0)</f>
        <v>0</v>
      </c>
      <c r="AF67" s="9">
        <f>IF(AQ67="2",BH67,0)</f>
        <v>0</v>
      </c>
      <c r="AG67" s="9">
        <f>IF(AQ67="2",BI67,0)</f>
        <v>0</v>
      </c>
      <c r="AH67" s="9">
        <f>IF(AQ67="0",BJ67,0)</f>
        <v>0</v>
      </c>
      <c r="AI67" s="11" t="s">
        <v>5</v>
      </c>
      <c r="AJ67" s="9">
        <f>IF(AN67=0,I67,0)</f>
        <v>0</v>
      </c>
      <c r="AK67" s="9">
        <f>IF(AN67=12,I67,0)</f>
        <v>0</v>
      </c>
      <c r="AL67" s="9">
        <f>IF(AN67=21,I67,0)</f>
        <v>0</v>
      </c>
      <c r="AN67" s="9">
        <v>21</v>
      </c>
      <c r="AO67" s="9">
        <f>H67*0</f>
        <v>0</v>
      </c>
      <c r="AP67" s="9">
        <f>H67*(1-0)</f>
        <v>0</v>
      </c>
      <c r="AQ67" s="60" t="s">
        <v>1231</v>
      </c>
      <c r="AV67" s="9">
        <f>AW67+AX67</f>
        <v>0</v>
      </c>
      <c r="AW67" s="9">
        <f>G67*AO67</f>
        <v>0</v>
      </c>
      <c r="AX67" s="9">
        <f>G67*AP67</f>
        <v>0</v>
      </c>
      <c r="AY67" s="60" t="s">
        <v>1085</v>
      </c>
      <c r="AZ67" s="60" t="s">
        <v>1348</v>
      </c>
      <c r="BA67" s="11" t="s">
        <v>1092</v>
      </c>
      <c r="BC67" s="9">
        <f>AW67+AX67</f>
        <v>0</v>
      </c>
      <c r="BD67" s="9">
        <f>H67/(100-BE67)*100</f>
        <v>0</v>
      </c>
      <c r="BE67" s="9">
        <v>0</v>
      </c>
      <c r="BF67" s="9">
        <f>67</f>
        <v>67</v>
      </c>
      <c r="BH67" s="9">
        <f>G67*AO67</f>
        <v>0</v>
      </c>
      <c r="BI67" s="9">
        <f>G67*AP67</f>
        <v>0</v>
      </c>
      <c r="BJ67" s="9">
        <f>G67*H67</f>
        <v>0</v>
      </c>
      <c r="BK67" s="9"/>
      <c r="BL67" s="9">
        <v>96</v>
      </c>
      <c r="BW67" s="9">
        <v>21</v>
      </c>
    </row>
    <row r="68" spans="1:11" ht="13.5" customHeight="1">
      <c r="A68" s="47"/>
      <c r="C68" s="28"/>
      <c r="D68" s="116" t="s">
        <v>527</v>
      </c>
      <c r="E68" s="117"/>
      <c r="F68" s="117"/>
      <c r="G68" s="117"/>
      <c r="H68" s="117"/>
      <c r="I68" s="117"/>
      <c r="J68" s="117"/>
      <c r="K68" s="118"/>
    </row>
    <row r="69" spans="1:75" ht="13.5" customHeight="1">
      <c r="A69" s="16" t="s">
        <v>793</v>
      </c>
      <c r="B69" s="32" t="s">
        <v>5</v>
      </c>
      <c r="C69" s="32" t="s">
        <v>255</v>
      </c>
      <c r="D69" s="69" t="s">
        <v>439</v>
      </c>
      <c r="E69" s="70"/>
      <c r="F69" s="32" t="s">
        <v>1194</v>
      </c>
      <c r="G69" s="9">
        <v>1.349</v>
      </c>
      <c r="H69" s="68">
        <v>0</v>
      </c>
      <c r="I69" s="9">
        <f>G69*H69</f>
        <v>0</v>
      </c>
      <c r="K69" s="23"/>
      <c r="Z69" s="9">
        <f>IF(AQ69="5",BJ69,0)</f>
        <v>0</v>
      </c>
      <c r="AB69" s="9">
        <f>IF(AQ69="1",BH69,0)</f>
        <v>0</v>
      </c>
      <c r="AC69" s="9">
        <f>IF(AQ69="1",BI69,0)</f>
        <v>0</v>
      </c>
      <c r="AD69" s="9">
        <f>IF(AQ69="7",BH69,0)</f>
        <v>0</v>
      </c>
      <c r="AE69" s="9">
        <f>IF(AQ69="7",BI69,0)</f>
        <v>0</v>
      </c>
      <c r="AF69" s="9">
        <f>IF(AQ69="2",BH69,0)</f>
        <v>0</v>
      </c>
      <c r="AG69" s="9">
        <f>IF(AQ69="2",BI69,0)</f>
        <v>0</v>
      </c>
      <c r="AH69" s="9">
        <f>IF(AQ69="0",BJ69,0)</f>
        <v>0</v>
      </c>
      <c r="AI69" s="11" t="s">
        <v>5</v>
      </c>
      <c r="AJ69" s="9">
        <f>IF(AN69=0,I69,0)</f>
        <v>0</v>
      </c>
      <c r="AK69" s="9">
        <f>IF(AN69=12,I69,0)</f>
        <v>0</v>
      </c>
      <c r="AL69" s="9">
        <f>IF(AN69=21,I69,0)</f>
        <v>0</v>
      </c>
      <c r="AN69" s="9">
        <v>21</v>
      </c>
      <c r="AO69" s="9">
        <f>H69*0</f>
        <v>0</v>
      </c>
      <c r="AP69" s="9">
        <f>H69*(1-0)</f>
        <v>0</v>
      </c>
      <c r="AQ69" s="60" t="s">
        <v>1231</v>
      </c>
      <c r="AV69" s="9">
        <f>AW69+AX69</f>
        <v>0</v>
      </c>
      <c r="AW69" s="9">
        <f>G69*AO69</f>
        <v>0</v>
      </c>
      <c r="AX69" s="9">
        <f>G69*AP69</f>
        <v>0</v>
      </c>
      <c r="AY69" s="60" t="s">
        <v>1085</v>
      </c>
      <c r="AZ69" s="60" t="s">
        <v>1348</v>
      </c>
      <c r="BA69" s="11" t="s">
        <v>1092</v>
      </c>
      <c r="BC69" s="9">
        <f>AW69+AX69</f>
        <v>0</v>
      </c>
      <c r="BD69" s="9">
        <f>H69/(100-BE69)*100</f>
        <v>0</v>
      </c>
      <c r="BE69" s="9">
        <v>0</v>
      </c>
      <c r="BF69" s="9">
        <f>69</f>
        <v>69</v>
      </c>
      <c r="BH69" s="9">
        <f>G69*AO69</f>
        <v>0</v>
      </c>
      <c r="BI69" s="9">
        <f>G69*AP69</f>
        <v>0</v>
      </c>
      <c r="BJ69" s="9">
        <f>G69*H69</f>
        <v>0</v>
      </c>
      <c r="BK69" s="9"/>
      <c r="BL69" s="9">
        <v>96</v>
      </c>
      <c r="BW69" s="9">
        <v>21</v>
      </c>
    </row>
    <row r="70" spans="1:11" ht="13.5" customHeight="1">
      <c r="A70" s="47"/>
      <c r="C70" s="28"/>
      <c r="D70" s="116" t="s">
        <v>527</v>
      </c>
      <c r="E70" s="117"/>
      <c r="F70" s="117"/>
      <c r="G70" s="117"/>
      <c r="H70" s="117"/>
      <c r="I70" s="117"/>
      <c r="J70" s="117"/>
      <c r="K70" s="118"/>
    </row>
    <row r="71" spans="1:75" ht="13.5" customHeight="1">
      <c r="A71" s="16" t="s">
        <v>728</v>
      </c>
      <c r="B71" s="32" t="s">
        <v>5</v>
      </c>
      <c r="C71" s="32" t="s">
        <v>255</v>
      </c>
      <c r="D71" s="69" t="s">
        <v>1130</v>
      </c>
      <c r="E71" s="70"/>
      <c r="F71" s="32" t="s">
        <v>1194</v>
      </c>
      <c r="G71" s="9">
        <v>8.295</v>
      </c>
      <c r="H71" s="68">
        <v>0</v>
      </c>
      <c r="I71" s="9">
        <f>G71*H71</f>
        <v>0</v>
      </c>
      <c r="K71" s="23"/>
      <c r="Z71" s="9">
        <f>IF(AQ71="5",BJ71,0)</f>
        <v>0</v>
      </c>
      <c r="AB71" s="9">
        <f>IF(AQ71="1",BH71,0)</f>
        <v>0</v>
      </c>
      <c r="AC71" s="9">
        <f>IF(AQ71="1",BI71,0)</f>
        <v>0</v>
      </c>
      <c r="AD71" s="9">
        <f>IF(AQ71="7",BH71,0)</f>
        <v>0</v>
      </c>
      <c r="AE71" s="9">
        <f>IF(AQ71="7",BI71,0)</f>
        <v>0</v>
      </c>
      <c r="AF71" s="9">
        <f>IF(AQ71="2",BH71,0)</f>
        <v>0</v>
      </c>
      <c r="AG71" s="9">
        <f>IF(AQ71="2",BI71,0)</f>
        <v>0</v>
      </c>
      <c r="AH71" s="9">
        <f>IF(AQ71="0",BJ71,0)</f>
        <v>0</v>
      </c>
      <c r="AI71" s="11" t="s">
        <v>5</v>
      </c>
      <c r="AJ71" s="9">
        <f>IF(AN71=0,I71,0)</f>
        <v>0</v>
      </c>
      <c r="AK71" s="9">
        <f>IF(AN71=12,I71,0)</f>
        <v>0</v>
      </c>
      <c r="AL71" s="9">
        <f>IF(AN71=21,I71,0)</f>
        <v>0</v>
      </c>
      <c r="AN71" s="9">
        <v>21</v>
      </c>
      <c r="AO71" s="9">
        <f>H71*0</f>
        <v>0</v>
      </c>
      <c r="AP71" s="9">
        <f>H71*(1-0)</f>
        <v>0</v>
      </c>
      <c r="AQ71" s="60" t="s">
        <v>1231</v>
      </c>
      <c r="AV71" s="9">
        <f>AW71+AX71</f>
        <v>0</v>
      </c>
      <c r="AW71" s="9">
        <f>G71*AO71</f>
        <v>0</v>
      </c>
      <c r="AX71" s="9">
        <f>G71*AP71</f>
        <v>0</v>
      </c>
      <c r="AY71" s="60" t="s">
        <v>1085</v>
      </c>
      <c r="AZ71" s="60" t="s">
        <v>1348</v>
      </c>
      <c r="BA71" s="11" t="s">
        <v>1092</v>
      </c>
      <c r="BC71" s="9">
        <f>AW71+AX71</f>
        <v>0</v>
      </c>
      <c r="BD71" s="9">
        <f>H71/(100-BE71)*100</f>
        <v>0</v>
      </c>
      <c r="BE71" s="9">
        <v>0</v>
      </c>
      <c r="BF71" s="9">
        <f>71</f>
        <v>71</v>
      </c>
      <c r="BH71" s="9">
        <f>G71*AO71</f>
        <v>0</v>
      </c>
      <c r="BI71" s="9">
        <f>G71*AP71</f>
        <v>0</v>
      </c>
      <c r="BJ71" s="9">
        <f>G71*H71</f>
        <v>0</v>
      </c>
      <c r="BK71" s="9"/>
      <c r="BL71" s="9">
        <v>96</v>
      </c>
      <c r="BW71" s="9">
        <v>21</v>
      </c>
    </row>
    <row r="72" spans="1:11" ht="13.5" customHeight="1">
      <c r="A72" s="47"/>
      <c r="C72" s="28"/>
      <c r="D72" s="116" t="s">
        <v>527</v>
      </c>
      <c r="E72" s="117"/>
      <c r="F72" s="117"/>
      <c r="G72" s="117"/>
      <c r="H72" s="117"/>
      <c r="I72" s="117"/>
      <c r="J72" s="117"/>
      <c r="K72" s="118"/>
    </row>
    <row r="73" spans="1:75" ht="13.5" customHeight="1">
      <c r="A73" s="16" t="s">
        <v>1045</v>
      </c>
      <c r="B73" s="32" t="s">
        <v>5</v>
      </c>
      <c r="C73" s="32" t="s">
        <v>194</v>
      </c>
      <c r="D73" s="69" t="s">
        <v>933</v>
      </c>
      <c r="E73" s="70"/>
      <c r="F73" s="32" t="s">
        <v>1194</v>
      </c>
      <c r="G73" s="9">
        <v>1.535</v>
      </c>
      <c r="H73" s="68">
        <v>0</v>
      </c>
      <c r="I73" s="9">
        <f>G73*H73</f>
        <v>0</v>
      </c>
      <c r="K73" s="23"/>
      <c r="Z73" s="9">
        <f>IF(AQ73="5",BJ73,0)</f>
        <v>0</v>
      </c>
      <c r="AB73" s="9">
        <f>IF(AQ73="1",BH73,0)</f>
        <v>0</v>
      </c>
      <c r="AC73" s="9">
        <f>IF(AQ73="1",BI73,0)</f>
        <v>0</v>
      </c>
      <c r="AD73" s="9">
        <f>IF(AQ73="7",BH73,0)</f>
        <v>0</v>
      </c>
      <c r="AE73" s="9">
        <f>IF(AQ73="7",BI73,0)</f>
        <v>0</v>
      </c>
      <c r="AF73" s="9">
        <f>IF(AQ73="2",BH73,0)</f>
        <v>0</v>
      </c>
      <c r="AG73" s="9">
        <f>IF(AQ73="2",BI73,0)</f>
        <v>0</v>
      </c>
      <c r="AH73" s="9">
        <f>IF(AQ73="0",BJ73,0)</f>
        <v>0</v>
      </c>
      <c r="AI73" s="11" t="s">
        <v>5</v>
      </c>
      <c r="AJ73" s="9">
        <f>IF(AN73=0,I73,0)</f>
        <v>0</v>
      </c>
      <c r="AK73" s="9">
        <f>IF(AN73=12,I73,0)</f>
        <v>0</v>
      </c>
      <c r="AL73" s="9">
        <f>IF(AN73=21,I73,0)</f>
        <v>0</v>
      </c>
      <c r="AN73" s="9">
        <v>21</v>
      </c>
      <c r="AO73" s="9">
        <f>H73*0</f>
        <v>0</v>
      </c>
      <c r="AP73" s="9">
        <f>H73*(1-0)</f>
        <v>0</v>
      </c>
      <c r="AQ73" s="60" t="s">
        <v>1231</v>
      </c>
      <c r="AV73" s="9">
        <f>AW73+AX73</f>
        <v>0</v>
      </c>
      <c r="AW73" s="9">
        <f>G73*AO73</f>
        <v>0</v>
      </c>
      <c r="AX73" s="9">
        <f>G73*AP73</f>
        <v>0</v>
      </c>
      <c r="AY73" s="60" t="s">
        <v>1085</v>
      </c>
      <c r="AZ73" s="60" t="s">
        <v>1348</v>
      </c>
      <c r="BA73" s="11" t="s">
        <v>1092</v>
      </c>
      <c r="BC73" s="9">
        <f>AW73+AX73</f>
        <v>0</v>
      </c>
      <c r="BD73" s="9">
        <f>H73/(100-BE73)*100</f>
        <v>0</v>
      </c>
      <c r="BE73" s="9">
        <v>0</v>
      </c>
      <c r="BF73" s="9">
        <f>73</f>
        <v>73</v>
      </c>
      <c r="BH73" s="9">
        <f>G73*AO73</f>
        <v>0</v>
      </c>
      <c r="BI73" s="9">
        <f>G73*AP73</f>
        <v>0</v>
      </c>
      <c r="BJ73" s="9">
        <f>G73*H73</f>
        <v>0</v>
      </c>
      <c r="BK73" s="9"/>
      <c r="BL73" s="9">
        <v>96</v>
      </c>
      <c r="BW73" s="9">
        <v>21</v>
      </c>
    </row>
    <row r="74" spans="1:11" ht="13.5" customHeight="1">
      <c r="A74" s="47"/>
      <c r="C74" s="28"/>
      <c r="D74" s="116" t="s">
        <v>571</v>
      </c>
      <c r="E74" s="117"/>
      <c r="F74" s="117"/>
      <c r="G74" s="117"/>
      <c r="H74" s="117"/>
      <c r="I74" s="117"/>
      <c r="J74" s="117"/>
      <c r="K74" s="118"/>
    </row>
    <row r="75" spans="1:75" ht="13.5" customHeight="1">
      <c r="A75" s="16" t="s">
        <v>278</v>
      </c>
      <c r="B75" s="32" t="s">
        <v>5</v>
      </c>
      <c r="C75" s="32" t="s">
        <v>1226</v>
      </c>
      <c r="D75" s="69" t="s">
        <v>943</v>
      </c>
      <c r="E75" s="70"/>
      <c r="F75" s="32" t="s">
        <v>1194</v>
      </c>
      <c r="G75" s="9">
        <v>8.295</v>
      </c>
      <c r="H75" s="68">
        <v>0</v>
      </c>
      <c r="I75" s="9">
        <f>G75*H75</f>
        <v>0</v>
      </c>
      <c r="K75" s="23"/>
      <c r="Z75" s="9">
        <f>IF(AQ75="5",BJ75,0)</f>
        <v>0</v>
      </c>
      <c r="AB75" s="9">
        <f>IF(AQ75="1",BH75,0)</f>
        <v>0</v>
      </c>
      <c r="AC75" s="9">
        <f>IF(AQ75="1",BI75,0)</f>
        <v>0</v>
      </c>
      <c r="AD75" s="9">
        <f>IF(AQ75="7",BH75,0)</f>
        <v>0</v>
      </c>
      <c r="AE75" s="9">
        <f>IF(AQ75="7",BI75,0)</f>
        <v>0</v>
      </c>
      <c r="AF75" s="9">
        <f>IF(AQ75="2",BH75,0)</f>
        <v>0</v>
      </c>
      <c r="AG75" s="9">
        <f>IF(AQ75="2",BI75,0)</f>
        <v>0</v>
      </c>
      <c r="AH75" s="9">
        <f>IF(AQ75="0",BJ75,0)</f>
        <v>0</v>
      </c>
      <c r="AI75" s="11" t="s">
        <v>5</v>
      </c>
      <c r="AJ75" s="9">
        <f>IF(AN75=0,I75,0)</f>
        <v>0</v>
      </c>
      <c r="AK75" s="9">
        <f>IF(AN75=12,I75,0)</f>
        <v>0</v>
      </c>
      <c r="AL75" s="9">
        <f>IF(AN75=21,I75,0)</f>
        <v>0</v>
      </c>
      <c r="AN75" s="9">
        <v>21</v>
      </c>
      <c r="AO75" s="9">
        <f>H75*0</f>
        <v>0</v>
      </c>
      <c r="AP75" s="9">
        <f>H75*(1-0)</f>
        <v>0</v>
      </c>
      <c r="AQ75" s="60" t="s">
        <v>1231</v>
      </c>
      <c r="AV75" s="9">
        <f>AW75+AX75</f>
        <v>0</v>
      </c>
      <c r="AW75" s="9">
        <f>G75*AO75</f>
        <v>0</v>
      </c>
      <c r="AX75" s="9">
        <f>G75*AP75</f>
        <v>0</v>
      </c>
      <c r="AY75" s="60" t="s">
        <v>1085</v>
      </c>
      <c r="AZ75" s="60" t="s">
        <v>1348</v>
      </c>
      <c r="BA75" s="11" t="s">
        <v>1092</v>
      </c>
      <c r="BC75" s="9">
        <f>AW75+AX75</f>
        <v>0</v>
      </c>
      <c r="BD75" s="9">
        <f>H75/(100-BE75)*100</f>
        <v>0</v>
      </c>
      <c r="BE75" s="9">
        <v>0</v>
      </c>
      <c r="BF75" s="9">
        <f>75</f>
        <v>75</v>
      </c>
      <c r="BH75" s="9">
        <f>G75*AO75</f>
        <v>0</v>
      </c>
      <c r="BI75" s="9">
        <f>G75*AP75</f>
        <v>0</v>
      </c>
      <c r="BJ75" s="9">
        <f>G75*H75</f>
        <v>0</v>
      </c>
      <c r="BK75" s="9"/>
      <c r="BL75" s="9">
        <v>96</v>
      </c>
      <c r="BW75" s="9">
        <v>21</v>
      </c>
    </row>
    <row r="76" spans="1:11" ht="13.5" customHeight="1">
      <c r="A76" s="47"/>
      <c r="C76" s="28"/>
      <c r="D76" s="116" t="s">
        <v>571</v>
      </c>
      <c r="E76" s="117"/>
      <c r="F76" s="117"/>
      <c r="G76" s="117"/>
      <c r="H76" s="117"/>
      <c r="I76" s="117"/>
      <c r="J76" s="117"/>
      <c r="K76" s="118"/>
    </row>
    <row r="77" spans="1:75" ht="13.5" customHeight="1">
      <c r="A77" s="16" t="s">
        <v>1399</v>
      </c>
      <c r="B77" s="32" t="s">
        <v>5</v>
      </c>
      <c r="C77" s="32" t="s">
        <v>715</v>
      </c>
      <c r="D77" s="69" t="s">
        <v>149</v>
      </c>
      <c r="E77" s="70"/>
      <c r="F77" s="32" t="s">
        <v>1213</v>
      </c>
      <c r="G77" s="9">
        <v>119.04</v>
      </c>
      <c r="H77" s="68">
        <v>0</v>
      </c>
      <c r="I77" s="9">
        <f>G77*H77</f>
        <v>0</v>
      </c>
      <c r="K77" s="23"/>
      <c r="Z77" s="9">
        <f>IF(AQ77="5",BJ77,0)</f>
        <v>0</v>
      </c>
      <c r="AB77" s="9">
        <f>IF(AQ77="1",BH77,0)</f>
        <v>0</v>
      </c>
      <c r="AC77" s="9">
        <f>IF(AQ77="1",BI77,0)</f>
        <v>0</v>
      </c>
      <c r="AD77" s="9">
        <f>IF(AQ77="7",BH77,0)</f>
        <v>0</v>
      </c>
      <c r="AE77" s="9">
        <f>IF(AQ77="7",BI77,0)</f>
        <v>0</v>
      </c>
      <c r="AF77" s="9">
        <f>IF(AQ77="2",BH77,0)</f>
        <v>0</v>
      </c>
      <c r="AG77" s="9">
        <f>IF(AQ77="2",BI77,0)</f>
        <v>0</v>
      </c>
      <c r="AH77" s="9">
        <f>IF(AQ77="0",BJ77,0)</f>
        <v>0</v>
      </c>
      <c r="AI77" s="11" t="s">
        <v>5</v>
      </c>
      <c r="AJ77" s="9">
        <f>IF(AN77=0,I77,0)</f>
        <v>0</v>
      </c>
      <c r="AK77" s="9">
        <f>IF(AN77=12,I77,0)</f>
        <v>0</v>
      </c>
      <c r="AL77" s="9">
        <f>IF(AN77=21,I77,0)</f>
        <v>0</v>
      </c>
      <c r="AN77" s="9">
        <v>21</v>
      </c>
      <c r="AO77" s="9">
        <f>H77*0</f>
        <v>0</v>
      </c>
      <c r="AP77" s="9">
        <f>H77*(1-0)</f>
        <v>0</v>
      </c>
      <c r="AQ77" s="60" t="s">
        <v>1231</v>
      </c>
      <c r="AV77" s="9">
        <f>AW77+AX77</f>
        <v>0</v>
      </c>
      <c r="AW77" s="9">
        <f>G77*AO77</f>
        <v>0</v>
      </c>
      <c r="AX77" s="9">
        <f>G77*AP77</f>
        <v>0</v>
      </c>
      <c r="AY77" s="60" t="s">
        <v>1085</v>
      </c>
      <c r="AZ77" s="60" t="s">
        <v>1348</v>
      </c>
      <c r="BA77" s="11" t="s">
        <v>1092</v>
      </c>
      <c r="BC77" s="9">
        <f>AW77+AX77</f>
        <v>0</v>
      </c>
      <c r="BD77" s="9">
        <f>H77/(100-BE77)*100</f>
        <v>0</v>
      </c>
      <c r="BE77" s="9">
        <v>0</v>
      </c>
      <c r="BF77" s="9">
        <f>77</f>
        <v>77</v>
      </c>
      <c r="BH77" s="9">
        <f>G77*AO77</f>
        <v>0</v>
      </c>
      <c r="BI77" s="9">
        <f>G77*AP77</f>
        <v>0</v>
      </c>
      <c r="BJ77" s="9">
        <f>G77*H77</f>
        <v>0</v>
      </c>
      <c r="BK77" s="9"/>
      <c r="BL77" s="9">
        <v>96</v>
      </c>
      <c r="BW77" s="9">
        <v>21</v>
      </c>
    </row>
    <row r="78" spans="1:75" ht="13.5" customHeight="1">
      <c r="A78" s="16" t="s">
        <v>1096</v>
      </c>
      <c r="B78" s="32" t="s">
        <v>5</v>
      </c>
      <c r="C78" s="32" t="s">
        <v>100</v>
      </c>
      <c r="D78" s="69" t="s">
        <v>1102</v>
      </c>
      <c r="E78" s="70"/>
      <c r="F78" s="32" t="s">
        <v>1213</v>
      </c>
      <c r="G78" s="9">
        <v>8.702</v>
      </c>
      <c r="H78" s="68">
        <v>0</v>
      </c>
      <c r="I78" s="9">
        <f>G78*H78</f>
        <v>0</v>
      </c>
      <c r="K78" s="23"/>
      <c r="Z78" s="9">
        <f>IF(AQ78="5",BJ78,0)</f>
        <v>0</v>
      </c>
      <c r="AB78" s="9">
        <f>IF(AQ78="1",BH78,0)</f>
        <v>0</v>
      </c>
      <c r="AC78" s="9">
        <f>IF(AQ78="1",BI78,0)</f>
        <v>0</v>
      </c>
      <c r="AD78" s="9">
        <f>IF(AQ78="7",BH78,0)</f>
        <v>0</v>
      </c>
      <c r="AE78" s="9">
        <f>IF(AQ78="7",BI78,0)</f>
        <v>0</v>
      </c>
      <c r="AF78" s="9">
        <f>IF(AQ78="2",BH78,0)</f>
        <v>0</v>
      </c>
      <c r="AG78" s="9">
        <f>IF(AQ78="2",BI78,0)</f>
        <v>0</v>
      </c>
      <c r="AH78" s="9">
        <f>IF(AQ78="0",BJ78,0)</f>
        <v>0</v>
      </c>
      <c r="AI78" s="11" t="s">
        <v>5</v>
      </c>
      <c r="AJ78" s="9">
        <f>IF(AN78=0,I78,0)</f>
        <v>0</v>
      </c>
      <c r="AK78" s="9">
        <f>IF(AN78=12,I78,0)</f>
        <v>0</v>
      </c>
      <c r="AL78" s="9">
        <f>IF(AN78=21,I78,0)</f>
        <v>0</v>
      </c>
      <c r="AN78" s="9">
        <v>21</v>
      </c>
      <c r="AO78" s="9">
        <f>H78*0.0559041114410323</f>
        <v>0</v>
      </c>
      <c r="AP78" s="9">
        <f>H78*(1-0.0559041114410323)</f>
        <v>0</v>
      </c>
      <c r="AQ78" s="60" t="s">
        <v>1231</v>
      </c>
      <c r="AV78" s="9">
        <f>AW78+AX78</f>
        <v>0</v>
      </c>
      <c r="AW78" s="9">
        <f>G78*AO78</f>
        <v>0</v>
      </c>
      <c r="AX78" s="9">
        <f>G78*AP78</f>
        <v>0</v>
      </c>
      <c r="AY78" s="60" t="s">
        <v>1085</v>
      </c>
      <c r="AZ78" s="60" t="s">
        <v>1348</v>
      </c>
      <c r="BA78" s="11" t="s">
        <v>1092</v>
      </c>
      <c r="BC78" s="9">
        <f>AW78+AX78</f>
        <v>0</v>
      </c>
      <c r="BD78" s="9">
        <f>H78/(100-BE78)*100</f>
        <v>0</v>
      </c>
      <c r="BE78" s="9">
        <v>0</v>
      </c>
      <c r="BF78" s="9">
        <f>78</f>
        <v>78</v>
      </c>
      <c r="BH78" s="9">
        <f>G78*AO78</f>
        <v>0</v>
      </c>
      <c r="BI78" s="9">
        <f>G78*AP78</f>
        <v>0</v>
      </c>
      <c r="BJ78" s="9">
        <f>G78*H78</f>
        <v>0</v>
      </c>
      <c r="BK78" s="9"/>
      <c r="BL78" s="9">
        <v>96</v>
      </c>
      <c r="BW78" s="9">
        <v>21</v>
      </c>
    </row>
    <row r="79" spans="1:11" ht="13.5" customHeight="1">
      <c r="A79" s="47"/>
      <c r="C79" s="28"/>
      <c r="D79" s="116" t="s">
        <v>95</v>
      </c>
      <c r="E79" s="117"/>
      <c r="F79" s="117"/>
      <c r="G79" s="117"/>
      <c r="H79" s="117"/>
      <c r="I79" s="117"/>
      <c r="J79" s="117"/>
      <c r="K79" s="118"/>
    </row>
    <row r="80" spans="1:75" ht="13.5" customHeight="1">
      <c r="A80" s="16" t="s">
        <v>724</v>
      </c>
      <c r="B80" s="32" t="s">
        <v>5</v>
      </c>
      <c r="C80" s="32" t="s">
        <v>931</v>
      </c>
      <c r="D80" s="69" t="s">
        <v>41</v>
      </c>
      <c r="E80" s="70"/>
      <c r="F80" s="32" t="s">
        <v>317</v>
      </c>
      <c r="G80" s="9">
        <v>18</v>
      </c>
      <c r="H80" s="68">
        <v>0</v>
      </c>
      <c r="I80" s="9">
        <f>G80*H80</f>
        <v>0</v>
      </c>
      <c r="K80" s="23"/>
      <c r="Z80" s="9">
        <f>IF(AQ80="5",BJ80,0)</f>
        <v>0</v>
      </c>
      <c r="AB80" s="9">
        <f>IF(AQ80="1",BH80,0)</f>
        <v>0</v>
      </c>
      <c r="AC80" s="9">
        <f>IF(AQ80="1",BI80,0)</f>
        <v>0</v>
      </c>
      <c r="AD80" s="9">
        <f>IF(AQ80="7",BH80,0)</f>
        <v>0</v>
      </c>
      <c r="AE80" s="9">
        <f>IF(AQ80="7",BI80,0)</f>
        <v>0</v>
      </c>
      <c r="AF80" s="9">
        <f>IF(AQ80="2",BH80,0)</f>
        <v>0</v>
      </c>
      <c r="AG80" s="9">
        <f>IF(AQ80="2",BI80,0)</f>
        <v>0</v>
      </c>
      <c r="AH80" s="9">
        <f>IF(AQ80="0",BJ80,0)</f>
        <v>0</v>
      </c>
      <c r="AI80" s="11" t="s">
        <v>5</v>
      </c>
      <c r="AJ80" s="9">
        <f>IF(AN80=0,I80,0)</f>
        <v>0</v>
      </c>
      <c r="AK80" s="9">
        <f>IF(AN80=12,I80,0)</f>
        <v>0</v>
      </c>
      <c r="AL80" s="9">
        <f>IF(AN80=21,I80,0)</f>
        <v>0</v>
      </c>
      <c r="AN80" s="9">
        <v>21</v>
      </c>
      <c r="AO80" s="9">
        <f>H80*0</f>
        <v>0</v>
      </c>
      <c r="AP80" s="9">
        <f>H80*(1-0)</f>
        <v>0</v>
      </c>
      <c r="AQ80" s="60" t="s">
        <v>1231</v>
      </c>
      <c r="AV80" s="9">
        <f>AW80+AX80</f>
        <v>0</v>
      </c>
      <c r="AW80" s="9">
        <f>G80*AO80</f>
        <v>0</v>
      </c>
      <c r="AX80" s="9">
        <f>G80*AP80</f>
        <v>0</v>
      </c>
      <c r="AY80" s="60" t="s">
        <v>1085</v>
      </c>
      <c r="AZ80" s="60" t="s">
        <v>1348</v>
      </c>
      <c r="BA80" s="11" t="s">
        <v>1092</v>
      </c>
      <c r="BC80" s="9">
        <f>AW80+AX80</f>
        <v>0</v>
      </c>
      <c r="BD80" s="9">
        <f>H80/(100-BE80)*100</f>
        <v>0</v>
      </c>
      <c r="BE80" s="9">
        <v>0</v>
      </c>
      <c r="BF80" s="9">
        <f>80</f>
        <v>80</v>
      </c>
      <c r="BH80" s="9">
        <f>G80*AO80</f>
        <v>0</v>
      </c>
      <c r="BI80" s="9">
        <f>G80*AP80</f>
        <v>0</v>
      </c>
      <c r="BJ80" s="9">
        <f>G80*H80</f>
        <v>0</v>
      </c>
      <c r="BK80" s="9"/>
      <c r="BL80" s="9">
        <v>96</v>
      </c>
      <c r="BW80" s="9">
        <v>21</v>
      </c>
    </row>
    <row r="81" spans="1:11" ht="13.5" customHeight="1">
      <c r="A81" s="47"/>
      <c r="C81" s="28"/>
      <c r="D81" s="116" t="s">
        <v>16</v>
      </c>
      <c r="E81" s="117"/>
      <c r="F81" s="117"/>
      <c r="G81" s="117"/>
      <c r="H81" s="117"/>
      <c r="I81" s="117"/>
      <c r="J81" s="117"/>
      <c r="K81" s="118"/>
    </row>
    <row r="82" spans="1:75" ht="13.5" customHeight="1">
      <c r="A82" s="16" t="s">
        <v>1211</v>
      </c>
      <c r="B82" s="32" t="s">
        <v>5</v>
      </c>
      <c r="C82" s="32" t="s">
        <v>250</v>
      </c>
      <c r="D82" s="69" t="s">
        <v>1409</v>
      </c>
      <c r="E82" s="70"/>
      <c r="F82" s="32" t="s">
        <v>1213</v>
      </c>
      <c r="G82" s="9">
        <v>14.972</v>
      </c>
      <c r="H82" s="68">
        <v>0</v>
      </c>
      <c r="I82" s="9">
        <f>G82*H82</f>
        <v>0</v>
      </c>
      <c r="K82" s="23"/>
      <c r="Z82" s="9">
        <f>IF(AQ82="5",BJ82,0)</f>
        <v>0</v>
      </c>
      <c r="AB82" s="9">
        <f>IF(AQ82="1",BH82,0)</f>
        <v>0</v>
      </c>
      <c r="AC82" s="9">
        <f>IF(AQ82="1",BI82,0)</f>
        <v>0</v>
      </c>
      <c r="AD82" s="9">
        <f>IF(AQ82="7",BH82,0)</f>
        <v>0</v>
      </c>
      <c r="AE82" s="9">
        <f>IF(AQ82="7",BI82,0)</f>
        <v>0</v>
      </c>
      <c r="AF82" s="9">
        <f>IF(AQ82="2",BH82,0)</f>
        <v>0</v>
      </c>
      <c r="AG82" s="9">
        <f>IF(AQ82="2",BI82,0)</f>
        <v>0</v>
      </c>
      <c r="AH82" s="9">
        <f>IF(AQ82="0",BJ82,0)</f>
        <v>0</v>
      </c>
      <c r="AI82" s="11" t="s">
        <v>5</v>
      </c>
      <c r="AJ82" s="9">
        <f>IF(AN82=0,I82,0)</f>
        <v>0</v>
      </c>
      <c r="AK82" s="9">
        <f>IF(AN82=12,I82,0)</f>
        <v>0</v>
      </c>
      <c r="AL82" s="9">
        <f>IF(AN82=21,I82,0)</f>
        <v>0</v>
      </c>
      <c r="AN82" s="9">
        <v>21</v>
      </c>
      <c r="AO82" s="9">
        <f>H82*0.0747792898065615</f>
        <v>0</v>
      </c>
      <c r="AP82" s="9">
        <f>H82*(1-0.0747792898065615)</f>
        <v>0</v>
      </c>
      <c r="AQ82" s="60" t="s">
        <v>1231</v>
      </c>
      <c r="AV82" s="9">
        <f>AW82+AX82</f>
        <v>0</v>
      </c>
      <c r="AW82" s="9">
        <f>G82*AO82</f>
        <v>0</v>
      </c>
      <c r="AX82" s="9">
        <f>G82*AP82</f>
        <v>0</v>
      </c>
      <c r="AY82" s="60" t="s">
        <v>1085</v>
      </c>
      <c r="AZ82" s="60" t="s">
        <v>1348</v>
      </c>
      <c r="BA82" s="11" t="s">
        <v>1092</v>
      </c>
      <c r="BC82" s="9">
        <f>AW82+AX82</f>
        <v>0</v>
      </c>
      <c r="BD82" s="9">
        <f>H82/(100-BE82)*100</f>
        <v>0</v>
      </c>
      <c r="BE82" s="9">
        <v>0</v>
      </c>
      <c r="BF82" s="9">
        <f>82</f>
        <v>82</v>
      </c>
      <c r="BH82" s="9">
        <f>G82*AO82</f>
        <v>0</v>
      </c>
      <c r="BI82" s="9">
        <f>G82*AP82</f>
        <v>0</v>
      </c>
      <c r="BJ82" s="9">
        <f>G82*H82</f>
        <v>0</v>
      </c>
      <c r="BK82" s="9"/>
      <c r="BL82" s="9">
        <v>96</v>
      </c>
      <c r="BW82" s="9">
        <v>21</v>
      </c>
    </row>
    <row r="83" spans="1:11" ht="13.5" customHeight="1">
      <c r="A83" s="47"/>
      <c r="C83" s="28"/>
      <c r="D83" s="116" t="s">
        <v>16</v>
      </c>
      <c r="E83" s="117"/>
      <c r="F83" s="117"/>
      <c r="G83" s="117"/>
      <c r="H83" s="117"/>
      <c r="I83" s="117"/>
      <c r="J83" s="117"/>
      <c r="K83" s="118"/>
    </row>
    <row r="84" spans="1:75" ht="13.5" customHeight="1">
      <c r="A84" s="16" t="s">
        <v>742</v>
      </c>
      <c r="B84" s="32" t="s">
        <v>5</v>
      </c>
      <c r="C84" s="32" t="s">
        <v>250</v>
      </c>
      <c r="D84" s="69" t="s">
        <v>10</v>
      </c>
      <c r="E84" s="70"/>
      <c r="F84" s="32" t="s">
        <v>1213</v>
      </c>
      <c r="G84" s="9">
        <v>9.456</v>
      </c>
      <c r="H84" s="68">
        <v>0</v>
      </c>
      <c r="I84" s="9">
        <f>G84*H84</f>
        <v>0</v>
      </c>
      <c r="K84" s="23"/>
      <c r="Z84" s="9">
        <f>IF(AQ84="5",BJ84,0)</f>
        <v>0</v>
      </c>
      <c r="AB84" s="9">
        <f>IF(AQ84="1",BH84,0)</f>
        <v>0</v>
      </c>
      <c r="AC84" s="9">
        <f>IF(AQ84="1",BI84,0)</f>
        <v>0</v>
      </c>
      <c r="AD84" s="9">
        <f>IF(AQ84="7",BH84,0)</f>
        <v>0</v>
      </c>
      <c r="AE84" s="9">
        <f>IF(AQ84="7",BI84,0)</f>
        <v>0</v>
      </c>
      <c r="AF84" s="9">
        <f>IF(AQ84="2",BH84,0)</f>
        <v>0</v>
      </c>
      <c r="AG84" s="9">
        <f>IF(AQ84="2",BI84,0)</f>
        <v>0</v>
      </c>
      <c r="AH84" s="9">
        <f>IF(AQ84="0",BJ84,0)</f>
        <v>0</v>
      </c>
      <c r="AI84" s="11" t="s">
        <v>5</v>
      </c>
      <c r="AJ84" s="9">
        <f>IF(AN84=0,I84,0)</f>
        <v>0</v>
      </c>
      <c r="AK84" s="9">
        <f>IF(AN84=12,I84,0)</f>
        <v>0</v>
      </c>
      <c r="AL84" s="9">
        <f>IF(AN84=21,I84,0)</f>
        <v>0</v>
      </c>
      <c r="AN84" s="9">
        <v>21</v>
      </c>
      <c r="AO84" s="9">
        <f>H84*0.0747702753049366</f>
        <v>0</v>
      </c>
      <c r="AP84" s="9">
        <f>H84*(1-0.0747702753049366)</f>
        <v>0</v>
      </c>
      <c r="AQ84" s="60" t="s">
        <v>1231</v>
      </c>
      <c r="AV84" s="9">
        <f>AW84+AX84</f>
        <v>0</v>
      </c>
      <c r="AW84" s="9">
        <f>G84*AO84</f>
        <v>0</v>
      </c>
      <c r="AX84" s="9">
        <f>G84*AP84</f>
        <v>0</v>
      </c>
      <c r="AY84" s="60" t="s">
        <v>1085</v>
      </c>
      <c r="AZ84" s="60" t="s">
        <v>1348</v>
      </c>
      <c r="BA84" s="11" t="s">
        <v>1092</v>
      </c>
      <c r="BC84" s="9">
        <f>AW84+AX84</f>
        <v>0</v>
      </c>
      <c r="BD84" s="9">
        <f>H84/(100-BE84)*100</f>
        <v>0</v>
      </c>
      <c r="BE84" s="9">
        <v>0</v>
      </c>
      <c r="BF84" s="9">
        <f>84</f>
        <v>84</v>
      </c>
      <c r="BH84" s="9">
        <f>G84*AO84</f>
        <v>0</v>
      </c>
      <c r="BI84" s="9">
        <f>G84*AP84</f>
        <v>0</v>
      </c>
      <c r="BJ84" s="9">
        <f>G84*H84</f>
        <v>0</v>
      </c>
      <c r="BK84" s="9"/>
      <c r="BL84" s="9">
        <v>96</v>
      </c>
      <c r="BW84" s="9">
        <v>21</v>
      </c>
    </row>
    <row r="85" spans="1:75" ht="13.5" customHeight="1">
      <c r="A85" s="16" t="s">
        <v>792</v>
      </c>
      <c r="B85" s="32" t="s">
        <v>5</v>
      </c>
      <c r="C85" s="32" t="s">
        <v>238</v>
      </c>
      <c r="D85" s="69" t="s">
        <v>1156</v>
      </c>
      <c r="E85" s="70"/>
      <c r="F85" s="32" t="s">
        <v>1213</v>
      </c>
      <c r="G85" s="9">
        <v>35.97</v>
      </c>
      <c r="H85" s="68">
        <v>0</v>
      </c>
      <c r="I85" s="9">
        <f>G85*H85</f>
        <v>0</v>
      </c>
      <c r="K85" s="23"/>
      <c r="Z85" s="9">
        <f>IF(AQ85="5",BJ85,0)</f>
        <v>0</v>
      </c>
      <c r="AB85" s="9">
        <f>IF(AQ85="1",BH85,0)</f>
        <v>0</v>
      </c>
      <c r="AC85" s="9">
        <f>IF(AQ85="1",BI85,0)</f>
        <v>0</v>
      </c>
      <c r="AD85" s="9">
        <f>IF(AQ85="7",BH85,0)</f>
        <v>0</v>
      </c>
      <c r="AE85" s="9">
        <f>IF(AQ85="7",BI85,0)</f>
        <v>0</v>
      </c>
      <c r="AF85" s="9">
        <f>IF(AQ85="2",BH85,0)</f>
        <v>0</v>
      </c>
      <c r="AG85" s="9">
        <f>IF(AQ85="2",BI85,0)</f>
        <v>0</v>
      </c>
      <c r="AH85" s="9">
        <f>IF(AQ85="0",BJ85,0)</f>
        <v>0</v>
      </c>
      <c r="AI85" s="11" t="s">
        <v>5</v>
      </c>
      <c r="AJ85" s="9">
        <f>IF(AN85=0,I85,0)</f>
        <v>0</v>
      </c>
      <c r="AK85" s="9">
        <f>IF(AN85=12,I85,0)</f>
        <v>0</v>
      </c>
      <c r="AL85" s="9">
        <f>IF(AN85=21,I85,0)</f>
        <v>0</v>
      </c>
      <c r="AN85" s="9">
        <v>21</v>
      </c>
      <c r="AO85" s="9">
        <f>H85*0.0930369731724495</f>
        <v>0</v>
      </c>
      <c r="AP85" s="9">
        <f>H85*(1-0.0930369731724495)</f>
        <v>0</v>
      </c>
      <c r="AQ85" s="60" t="s">
        <v>1231</v>
      </c>
      <c r="AV85" s="9">
        <f>AW85+AX85</f>
        <v>0</v>
      </c>
      <c r="AW85" s="9">
        <f>G85*AO85</f>
        <v>0</v>
      </c>
      <c r="AX85" s="9">
        <f>G85*AP85</f>
        <v>0</v>
      </c>
      <c r="AY85" s="60" t="s">
        <v>1085</v>
      </c>
      <c r="AZ85" s="60" t="s">
        <v>1348</v>
      </c>
      <c r="BA85" s="11" t="s">
        <v>1092</v>
      </c>
      <c r="BC85" s="9">
        <f>AW85+AX85</f>
        <v>0</v>
      </c>
      <c r="BD85" s="9">
        <f>H85/(100-BE85)*100</f>
        <v>0</v>
      </c>
      <c r="BE85" s="9">
        <v>0</v>
      </c>
      <c r="BF85" s="9">
        <f>85</f>
        <v>85</v>
      </c>
      <c r="BH85" s="9">
        <f>G85*AO85</f>
        <v>0</v>
      </c>
      <c r="BI85" s="9">
        <f>G85*AP85</f>
        <v>0</v>
      </c>
      <c r="BJ85" s="9">
        <f>G85*H85</f>
        <v>0</v>
      </c>
      <c r="BK85" s="9"/>
      <c r="BL85" s="9">
        <v>96</v>
      </c>
      <c r="BW85" s="9">
        <v>21</v>
      </c>
    </row>
    <row r="86" spans="1:11" ht="13.5" customHeight="1">
      <c r="A86" s="47"/>
      <c r="C86" s="28"/>
      <c r="D86" s="116" t="s">
        <v>690</v>
      </c>
      <c r="E86" s="117"/>
      <c r="F86" s="117"/>
      <c r="G86" s="117"/>
      <c r="H86" s="117"/>
      <c r="I86" s="117"/>
      <c r="J86" s="117"/>
      <c r="K86" s="118"/>
    </row>
    <row r="87" spans="1:75" ht="13.5" customHeight="1">
      <c r="A87" s="16" t="s">
        <v>458</v>
      </c>
      <c r="B87" s="32" t="s">
        <v>5</v>
      </c>
      <c r="C87" s="32" t="s">
        <v>731</v>
      </c>
      <c r="D87" s="69" t="s">
        <v>640</v>
      </c>
      <c r="E87" s="70"/>
      <c r="F87" s="32" t="s">
        <v>1213</v>
      </c>
      <c r="G87" s="9">
        <v>90.806</v>
      </c>
      <c r="H87" s="68">
        <v>0</v>
      </c>
      <c r="I87" s="9">
        <f>G87*H87</f>
        <v>0</v>
      </c>
      <c r="K87" s="23"/>
      <c r="Z87" s="9">
        <f>IF(AQ87="5",BJ87,0)</f>
        <v>0</v>
      </c>
      <c r="AB87" s="9">
        <f>IF(AQ87="1",BH87,0)</f>
        <v>0</v>
      </c>
      <c r="AC87" s="9">
        <f>IF(AQ87="1",BI87,0)</f>
        <v>0</v>
      </c>
      <c r="AD87" s="9">
        <f>IF(AQ87="7",BH87,0)</f>
        <v>0</v>
      </c>
      <c r="AE87" s="9">
        <f>IF(AQ87="7",BI87,0)</f>
        <v>0</v>
      </c>
      <c r="AF87" s="9">
        <f>IF(AQ87="2",BH87,0)</f>
        <v>0</v>
      </c>
      <c r="AG87" s="9">
        <f>IF(AQ87="2",BI87,0)</f>
        <v>0</v>
      </c>
      <c r="AH87" s="9">
        <f>IF(AQ87="0",BJ87,0)</f>
        <v>0</v>
      </c>
      <c r="AI87" s="11" t="s">
        <v>5</v>
      </c>
      <c r="AJ87" s="9">
        <f>IF(AN87=0,I87,0)</f>
        <v>0</v>
      </c>
      <c r="AK87" s="9">
        <f>IF(AN87=12,I87,0)</f>
        <v>0</v>
      </c>
      <c r="AL87" s="9">
        <f>IF(AN87=21,I87,0)</f>
        <v>0</v>
      </c>
      <c r="AN87" s="9">
        <v>21</v>
      </c>
      <c r="AO87" s="9">
        <f>H87*0.093042195520175</f>
        <v>0</v>
      </c>
      <c r="AP87" s="9">
        <f>H87*(1-0.093042195520175)</f>
        <v>0</v>
      </c>
      <c r="AQ87" s="60" t="s">
        <v>1231</v>
      </c>
      <c r="AV87" s="9">
        <f>AW87+AX87</f>
        <v>0</v>
      </c>
      <c r="AW87" s="9">
        <f>G87*AO87</f>
        <v>0</v>
      </c>
      <c r="AX87" s="9">
        <f>G87*AP87</f>
        <v>0</v>
      </c>
      <c r="AY87" s="60" t="s">
        <v>1085</v>
      </c>
      <c r="AZ87" s="60" t="s">
        <v>1348</v>
      </c>
      <c r="BA87" s="11" t="s">
        <v>1092</v>
      </c>
      <c r="BC87" s="9">
        <f>AW87+AX87</f>
        <v>0</v>
      </c>
      <c r="BD87" s="9">
        <f>H87/(100-BE87)*100</f>
        <v>0</v>
      </c>
      <c r="BE87" s="9">
        <v>0</v>
      </c>
      <c r="BF87" s="9">
        <f>87</f>
        <v>87</v>
      </c>
      <c r="BH87" s="9">
        <f>G87*AO87</f>
        <v>0</v>
      </c>
      <c r="BI87" s="9">
        <f>G87*AP87</f>
        <v>0</v>
      </c>
      <c r="BJ87" s="9">
        <f>G87*H87</f>
        <v>0</v>
      </c>
      <c r="BK87" s="9"/>
      <c r="BL87" s="9">
        <v>96</v>
      </c>
      <c r="BW87" s="9">
        <v>21</v>
      </c>
    </row>
    <row r="88" spans="1:11" ht="13.5" customHeight="1">
      <c r="A88" s="47"/>
      <c r="C88" s="28"/>
      <c r="D88" s="116" t="s">
        <v>960</v>
      </c>
      <c r="E88" s="117"/>
      <c r="F88" s="117"/>
      <c r="G88" s="117"/>
      <c r="H88" s="117"/>
      <c r="I88" s="117"/>
      <c r="J88" s="117"/>
      <c r="K88" s="118"/>
    </row>
    <row r="89" spans="1:47" ht="15" customHeight="1">
      <c r="A89" s="39" t="s">
        <v>852</v>
      </c>
      <c r="B89" s="48" t="s">
        <v>5</v>
      </c>
      <c r="C89" s="48" t="s">
        <v>139</v>
      </c>
      <c r="D89" s="122" t="s">
        <v>1393</v>
      </c>
      <c r="E89" s="123"/>
      <c r="F89" s="51" t="s">
        <v>1142</v>
      </c>
      <c r="G89" s="51" t="s">
        <v>1142</v>
      </c>
      <c r="H89" s="51" t="s">
        <v>1142</v>
      </c>
      <c r="I89" s="55">
        <f>SUM(I90:I96)</f>
        <v>0</v>
      </c>
      <c r="K89" s="23"/>
      <c r="AI89" s="11" t="s">
        <v>5</v>
      </c>
      <c r="AS89" s="55">
        <f>SUM(AJ90:AJ96)</f>
        <v>0</v>
      </c>
      <c r="AT89" s="55">
        <f>SUM(AK90:AK96)</f>
        <v>0</v>
      </c>
      <c r="AU89" s="55">
        <f>SUM(AL90:AL96)</f>
        <v>0</v>
      </c>
    </row>
    <row r="90" spans="1:75" ht="13.5" customHeight="1">
      <c r="A90" s="16" t="s">
        <v>1214</v>
      </c>
      <c r="B90" s="32" t="s">
        <v>5</v>
      </c>
      <c r="C90" s="32" t="s">
        <v>984</v>
      </c>
      <c r="D90" s="69" t="s">
        <v>814</v>
      </c>
      <c r="E90" s="70"/>
      <c r="F90" s="32" t="s">
        <v>1213</v>
      </c>
      <c r="G90" s="9">
        <v>119.04</v>
      </c>
      <c r="H90" s="68">
        <v>0</v>
      </c>
      <c r="I90" s="9">
        <f>G90*H90</f>
        <v>0</v>
      </c>
      <c r="K90" s="23"/>
      <c r="Z90" s="9">
        <f>IF(AQ90="5",BJ90,0)</f>
        <v>0</v>
      </c>
      <c r="AB90" s="9">
        <f>IF(AQ90="1",BH90,0)</f>
        <v>0</v>
      </c>
      <c r="AC90" s="9">
        <f>IF(AQ90="1",BI90,0)</f>
        <v>0</v>
      </c>
      <c r="AD90" s="9">
        <f>IF(AQ90="7",BH90,0)</f>
        <v>0</v>
      </c>
      <c r="AE90" s="9">
        <f>IF(AQ90="7",BI90,0)</f>
        <v>0</v>
      </c>
      <c r="AF90" s="9">
        <f>IF(AQ90="2",BH90,0)</f>
        <v>0</v>
      </c>
      <c r="AG90" s="9">
        <f>IF(AQ90="2",BI90,0)</f>
        <v>0</v>
      </c>
      <c r="AH90" s="9">
        <f>IF(AQ90="0",BJ90,0)</f>
        <v>0</v>
      </c>
      <c r="AI90" s="11" t="s">
        <v>5</v>
      </c>
      <c r="AJ90" s="9">
        <f>IF(AN90=0,I90,0)</f>
        <v>0</v>
      </c>
      <c r="AK90" s="9">
        <f>IF(AN90=12,I90,0)</f>
        <v>0</v>
      </c>
      <c r="AL90" s="9">
        <f>IF(AN90=21,I90,0)</f>
        <v>0</v>
      </c>
      <c r="AN90" s="9">
        <v>21</v>
      </c>
      <c r="AO90" s="9">
        <f>H90*0</f>
        <v>0</v>
      </c>
      <c r="AP90" s="9">
        <f>H90*(1-0)</f>
        <v>0</v>
      </c>
      <c r="AQ90" s="60" t="s">
        <v>1231</v>
      </c>
      <c r="AV90" s="9">
        <f>AW90+AX90</f>
        <v>0</v>
      </c>
      <c r="AW90" s="9">
        <f>G90*AO90</f>
        <v>0</v>
      </c>
      <c r="AX90" s="9">
        <f>G90*AP90</f>
        <v>0</v>
      </c>
      <c r="AY90" s="60" t="s">
        <v>407</v>
      </c>
      <c r="AZ90" s="60" t="s">
        <v>1348</v>
      </c>
      <c r="BA90" s="11" t="s">
        <v>1092</v>
      </c>
      <c r="BC90" s="9">
        <f>AW90+AX90</f>
        <v>0</v>
      </c>
      <c r="BD90" s="9">
        <f>H90/(100-BE90)*100</f>
        <v>0</v>
      </c>
      <c r="BE90" s="9">
        <v>0</v>
      </c>
      <c r="BF90" s="9">
        <f>90</f>
        <v>90</v>
      </c>
      <c r="BH90" s="9">
        <f>G90*AO90</f>
        <v>0</v>
      </c>
      <c r="BI90" s="9">
        <f>G90*AP90</f>
        <v>0</v>
      </c>
      <c r="BJ90" s="9">
        <f>G90*H90</f>
        <v>0</v>
      </c>
      <c r="BK90" s="9"/>
      <c r="BL90" s="9">
        <v>97</v>
      </c>
      <c r="BW90" s="9">
        <v>21</v>
      </c>
    </row>
    <row r="91" spans="1:11" ht="13.5" customHeight="1">
      <c r="A91" s="47"/>
      <c r="C91" s="28"/>
      <c r="D91" s="116" t="s">
        <v>1217</v>
      </c>
      <c r="E91" s="117"/>
      <c r="F91" s="117"/>
      <c r="G91" s="117"/>
      <c r="H91" s="117"/>
      <c r="I91" s="117"/>
      <c r="J91" s="117"/>
      <c r="K91" s="118"/>
    </row>
    <row r="92" spans="1:75" ht="13.5" customHeight="1">
      <c r="A92" s="16" t="s">
        <v>229</v>
      </c>
      <c r="B92" s="32" t="s">
        <v>5</v>
      </c>
      <c r="C92" s="32" t="s">
        <v>1407</v>
      </c>
      <c r="D92" s="69" t="s">
        <v>764</v>
      </c>
      <c r="E92" s="70"/>
      <c r="F92" s="32" t="s">
        <v>1213</v>
      </c>
      <c r="G92" s="9">
        <v>196.264</v>
      </c>
      <c r="H92" s="68">
        <v>0</v>
      </c>
      <c r="I92" s="9">
        <f>G92*H92</f>
        <v>0</v>
      </c>
      <c r="K92" s="23"/>
      <c r="Z92" s="9">
        <f>IF(AQ92="5",BJ92,0)</f>
        <v>0</v>
      </c>
      <c r="AB92" s="9">
        <f>IF(AQ92="1",BH92,0)</f>
        <v>0</v>
      </c>
      <c r="AC92" s="9">
        <f>IF(AQ92="1",BI92,0)</f>
        <v>0</v>
      </c>
      <c r="AD92" s="9">
        <f>IF(AQ92="7",BH92,0)</f>
        <v>0</v>
      </c>
      <c r="AE92" s="9">
        <f>IF(AQ92="7",BI92,0)</f>
        <v>0</v>
      </c>
      <c r="AF92" s="9">
        <f>IF(AQ92="2",BH92,0)</f>
        <v>0</v>
      </c>
      <c r="AG92" s="9">
        <f>IF(AQ92="2",BI92,0)</f>
        <v>0</v>
      </c>
      <c r="AH92" s="9">
        <f>IF(AQ92="0",BJ92,0)</f>
        <v>0</v>
      </c>
      <c r="AI92" s="11" t="s">
        <v>5</v>
      </c>
      <c r="AJ92" s="9">
        <f>IF(AN92=0,I92,0)</f>
        <v>0</v>
      </c>
      <c r="AK92" s="9">
        <f>IF(AN92=12,I92,0)</f>
        <v>0</v>
      </c>
      <c r="AL92" s="9">
        <f>IF(AN92=21,I92,0)</f>
        <v>0</v>
      </c>
      <c r="AN92" s="9">
        <v>21</v>
      </c>
      <c r="AO92" s="9">
        <f>H92*0</f>
        <v>0</v>
      </c>
      <c r="AP92" s="9">
        <f>H92*(1-0)</f>
        <v>0</v>
      </c>
      <c r="AQ92" s="60" t="s">
        <v>1231</v>
      </c>
      <c r="AV92" s="9">
        <f>AW92+AX92</f>
        <v>0</v>
      </c>
      <c r="AW92" s="9">
        <f>G92*AO92</f>
        <v>0</v>
      </c>
      <c r="AX92" s="9">
        <f>G92*AP92</f>
        <v>0</v>
      </c>
      <c r="AY92" s="60" t="s">
        <v>407</v>
      </c>
      <c r="AZ92" s="60" t="s">
        <v>1348</v>
      </c>
      <c r="BA92" s="11" t="s">
        <v>1092</v>
      </c>
      <c r="BC92" s="9">
        <f>AW92+AX92</f>
        <v>0</v>
      </c>
      <c r="BD92" s="9">
        <f>H92/(100-BE92)*100</f>
        <v>0</v>
      </c>
      <c r="BE92" s="9">
        <v>0</v>
      </c>
      <c r="BF92" s="9">
        <f>92</f>
        <v>92</v>
      </c>
      <c r="BH92" s="9">
        <f>G92*AO92</f>
        <v>0</v>
      </c>
      <c r="BI92" s="9">
        <f>G92*AP92</f>
        <v>0</v>
      </c>
      <c r="BJ92" s="9">
        <f>G92*H92</f>
        <v>0</v>
      </c>
      <c r="BK92" s="9"/>
      <c r="BL92" s="9">
        <v>97</v>
      </c>
      <c r="BW92" s="9">
        <v>21</v>
      </c>
    </row>
    <row r="93" spans="1:11" ht="13.5" customHeight="1">
      <c r="A93" s="47"/>
      <c r="C93" s="28"/>
      <c r="D93" s="116" t="s">
        <v>720</v>
      </c>
      <c r="E93" s="117"/>
      <c r="F93" s="117"/>
      <c r="G93" s="117"/>
      <c r="H93" s="117"/>
      <c r="I93" s="117"/>
      <c r="J93" s="117"/>
      <c r="K93" s="118"/>
    </row>
    <row r="94" spans="1:75" ht="13.5" customHeight="1">
      <c r="A94" s="16" t="s">
        <v>435</v>
      </c>
      <c r="B94" s="32" t="s">
        <v>5</v>
      </c>
      <c r="C94" s="32" t="s">
        <v>251</v>
      </c>
      <c r="D94" s="69" t="s">
        <v>678</v>
      </c>
      <c r="E94" s="70"/>
      <c r="F94" s="32" t="s">
        <v>1213</v>
      </c>
      <c r="G94" s="9">
        <v>178.97</v>
      </c>
      <c r="H94" s="68">
        <v>0</v>
      </c>
      <c r="I94" s="9">
        <f>G94*H94</f>
        <v>0</v>
      </c>
      <c r="K94" s="23"/>
      <c r="Z94" s="9">
        <f>IF(AQ94="5",BJ94,0)</f>
        <v>0</v>
      </c>
      <c r="AB94" s="9">
        <f>IF(AQ94="1",BH94,0)</f>
        <v>0</v>
      </c>
      <c r="AC94" s="9">
        <f>IF(AQ94="1",BI94,0)</f>
        <v>0</v>
      </c>
      <c r="AD94" s="9">
        <f>IF(AQ94="7",BH94,0)</f>
        <v>0</v>
      </c>
      <c r="AE94" s="9">
        <f>IF(AQ94="7",BI94,0)</f>
        <v>0</v>
      </c>
      <c r="AF94" s="9">
        <f>IF(AQ94="2",BH94,0)</f>
        <v>0</v>
      </c>
      <c r="AG94" s="9">
        <f>IF(AQ94="2",BI94,0)</f>
        <v>0</v>
      </c>
      <c r="AH94" s="9">
        <f>IF(AQ94="0",BJ94,0)</f>
        <v>0</v>
      </c>
      <c r="AI94" s="11" t="s">
        <v>5</v>
      </c>
      <c r="AJ94" s="9">
        <f>IF(AN94=0,I94,0)</f>
        <v>0</v>
      </c>
      <c r="AK94" s="9">
        <f>IF(AN94=12,I94,0)</f>
        <v>0</v>
      </c>
      <c r="AL94" s="9">
        <f>IF(AN94=21,I94,0)</f>
        <v>0</v>
      </c>
      <c r="AN94" s="9">
        <v>21</v>
      </c>
      <c r="AO94" s="9">
        <f>H94*0</f>
        <v>0</v>
      </c>
      <c r="AP94" s="9">
        <f>H94*(1-0)</f>
        <v>0</v>
      </c>
      <c r="AQ94" s="60" t="s">
        <v>1231</v>
      </c>
      <c r="AV94" s="9">
        <f>AW94+AX94</f>
        <v>0</v>
      </c>
      <c r="AW94" s="9">
        <f>G94*AO94</f>
        <v>0</v>
      </c>
      <c r="AX94" s="9">
        <f>G94*AP94</f>
        <v>0</v>
      </c>
      <c r="AY94" s="60" t="s">
        <v>407</v>
      </c>
      <c r="AZ94" s="60" t="s">
        <v>1348</v>
      </c>
      <c r="BA94" s="11" t="s">
        <v>1092</v>
      </c>
      <c r="BC94" s="9">
        <f>AW94+AX94</f>
        <v>0</v>
      </c>
      <c r="BD94" s="9">
        <f>H94/(100-BE94)*100</f>
        <v>0</v>
      </c>
      <c r="BE94" s="9">
        <v>0</v>
      </c>
      <c r="BF94" s="9">
        <f>94</f>
        <v>94</v>
      </c>
      <c r="BH94" s="9">
        <f>G94*AO94</f>
        <v>0</v>
      </c>
      <c r="BI94" s="9">
        <f>G94*AP94</f>
        <v>0</v>
      </c>
      <c r="BJ94" s="9">
        <f>G94*H94</f>
        <v>0</v>
      </c>
      <c r="BK94" s="9"/>
      <c r="BL94" s="9">
        <v>97</v>
      </c>
      <c r="BW94" s="9">
        <v>21</v>
      </c>
    </row>
    <row r="95" spans="1:11" ht="13.5" customHeight="1">
      <c r="A95" s="47"/>
      <c r="C95" s="28"/>
      <c r="D95" s="116" t="s">
        <v>1067</v>
      </c>
      <c r="E95" s="117"/>
      <c r="F95" s="117"/>
      <c r="G95" s="117"/>
      <c r="H95" s="117"/>
      <c r="I95" s="117"/>
      <c r="J95" s="117"/>
      <c r="K95" s="118"/>
    </row>
    <row r="96" spans="1:75" ht="13.5" customHeight="1">
      <c r="A96" s="16" t="s">
        <v>567</v>
      </c>
      <c r="B96" s="32" t="s">
        <v>5</v>
      </c>
      <c r="C96" s="32" t="s">
        <v>520</v>
      </c>
      <c r="D96" s="69" t="s">
        <v>379</v>
      </c>
      <c r="E96" s="70"/>
      <c r="F96" s="32" t="s">
        <v>1213</v>
      </c>
      <c r="G96" s="9">
        <v>29.7</v>
      </c>
      <c r="H96" s="68">
        <v>0</v>
      </c>
      <c r="I96" s="9">
        <f>G96*H96</f>
        <v>0</v>
      </c>
      <c r="K96" s="23"/>
      <c r="Z96" s="9">
        <f>IF(AQ96="5",BJ96,0)</f>
        <v>0</v>
      </c>
      <c r="AB96" s="9">
        <f>IF(AQ96="1",BH96,0)</f>
        <v>0</v>
      </c>
      <c r="AC96" s="9">
        <f>IF(AQ96="1",BI96,0)</f>
        <v>0</v>
      </c>
      <c r="AD96" s="9">
        <f>IF(AQ96="7",BH96,0)</f>
        <v>0</v>
      </c>
      <c r="AE96" s="9">
        <f>IF(AQ96="7",BI96,0)</f>
        <v>0</v>
      </c>
      <c r="AF96" s="9">
        <f>IF(AQ96="2",BH96,0)</f>
        <v>0</v>
      </c>
      <c r="AG96" s="9">
        <f>IF(AQ96="2",BI96,0)</f>
        <v>0</v>
      </c>
      <c r="AH96" s="9">
        <f>IF(AQ96="0",BJ96,0)</f>
        <v>0</v>
      </c>
      <c r="AI96" s="11" t="s">
        <v>5</v>
      </c>
      <c r="AJ96" s="9">
        <f>IF(AN96=0,I96,0)</f>
        <v>0</v>
      </c>
      <c r="AK96" s="9">
        <f>IF(AN96=12,I96,0)</f>
        <v>0</v>
      </c>
      <c r="AL96" s="9">
        <f>IF(AN96=21,I96,0)</f>
        <v>0</v>
      </c>
      <c r="AN96" s="9">
        <v>21</v>
      </c>
      <c r="AO96" s="9">
        <f>H96*0</f>
        <v>0</v>
      </c>
      <c r="AP96" s="9">
        <f>H96*(1-0)</f>
        <v>0</v>
      </c>
      <c r="AQ96" s="60" t="s">
        <v>1231</v>
      </c>
      <c r="AV96" s="9">
        <f>AW96+AX96</f>
        <v>0</v>
      </c>
      <c r="AW96" s="9">
        <f>G96*AO96</f>
        <v>0</v>
      </c>
      <c r="AX96" s="9">
        <f>G96*AP96</f>
        <v>0</v>
      </c>
      <c r="AY96" s="60" t="s">
        <v>407</v>
      </c>
      <c r="AZ96" s="60" t="s">
        <v>1348</v>
      </c>
      <c r="BA96" s="11" t="s">
        <v>1092</v>
      </c>
      <c r="BC96" s="9">
        <f>AW96+AX96</f>
        <v>0</v>
      </c>
      <c r="BD96" s="9">
        <f>H96/(100-BE96)*100</f>
        <v>0</v>
      </c>
      <c r="BE96" s="9">
        <v>0</v>
      </c>
      <c r="BF96" s="9">
        <f>96</f>
        <v>96</v>
      </c>
      <c r="BH96" s="9">
        <f>G96*AO96</f>
        <v>0</v>
      </c>
      <c r="BI96" s="9">
        <f>G96*AP96</f>
        <v>0</v>
      </c>
      <c r="BJ96" s="9">
        <f>G96*H96</f>
        <v>0</v>
      </c>
      <c r="BK96" s="9"/>
      <c r="BL96" s="9">
        <v>97</v>
      </c>
      <c r="BW96" s="9">
        <v>21</v>
      </c>
    </row>
    <row r="97" spans="1:47" ht="15" customHeight="1">
      <c r="A97" s="39" t="s">
        <v>852</v>
      </c>
      <c r="B97" s="48" t="s">
        <v>5</v>
      </c>
      <c r="C97" s="48" t="s">
        <v>434</v>
      </c>
      <c r="D97" s="122" t="s">
        <v>561</v>
      </c>
      <c r="E97" s="123"/>
      <c r="F97" s="51" t="s">
        <v>1142</v>
      </c>
      <c r="G97" s="51" t="s">
        <v>1142</v>
      </c>
      <c r="H97" s="51" t="s">
        <v>1142</v>
      </c>
      <c r="I97" s="55">
        <f>SUM(I98:I109)</f>
        <v>0</v>
      </c>
      <c r="K97" s="23"/>
      <c r="AI97" s="11" t="s">
        <v>5</v>
      </c>
      <c r="AS97" s="55">
        <f>SUM(AJ98:AJ109)</f>
        <v>0</v>
      </c>
      <c r="AT97" s="55">
        <f>SUM(AK98:AK109)</f>
        <v>0</v>
      </c>
      <c r="AU97" s="55">
        <f>SUM(AL98:AL109)</f>
        <v>0</v>
      </c>
    </row>
    <row r="98" spans="1:75" ht="13.5" customHeight="1">
      <c r="A98" s="16" t="s">
        <v>457</v>
      </c>
      <c r="B98" s="32" t="s">
        <v>5</v>
      </c>
      <c r="C98" s="32" t="s">
        <v>1369</v>
      </c>
      <c r="D98" s="69" t="s">
        <v>1003</v>
      </c>
      <c r="E98" s="70"/>
      <c r="F98" s="32" t="s">
        <v>594</v>
      </c>
      <c r="G98" s="9">
        <v>34.132</v>
      </c>
      <c r="H98" s="68">
        <v>0</v>
      </c>
      <c r="I98" s="9">
        <f aca="true" t="shared" si="0" ref="I98:I106">G98*H98</f>
        <v>0</v>
      </c>
      <c r="K98" s="23"/>
      <c r="Z98" s="9">
        <f aca="true" t="shared" si="1" ref="Z98:Z106">IF(AQ98="5",BJ98,0)</f>
        <v>0</v>
      </c>
      <c r="AB98" s="9">
        <f aca="true" t="shared" si="2" ref="AB98:AB106">IF(AQ98="1",BH98,0)</f>
        <v>0</v>
      </c>
      <c r="AC98" s="9">
        <f aca="true" t="shared" si="3" ref="AC98:AC106">IF(AQ98="1",BI98,0)</f>
        <v>0</v>
      </c>
      <c r="AD98" s="9">
        <f aca="true" t="shared" si="4" ref="AD98:AD106">IF(AQ98="7",BH98,0)</f>
        <v>0</v>
      </c>
      <c r="AE98" s="9">
        <f aca="true" t="shared" si="5" ref="AE98:AE106">IF(AQ98="7",BI98,0)</f>
        <v>0</v>
      </c>
      <c r="AF98" s="9">
        <f aca="true" t="shared" si="6" ref="AF98:AF106">IF(AQ98="2",BH98,0)</f>
        <v>0</v>
      </c>
      <c r="AG98" s="9">
        <f aca="true" t="shared" si="7" ref="AG98:AG106">IF(AQ98="2",BI98,0)</f>
        <v>0</v>
      </c>
      <c r="AH98" s="9">
        <f aca="true" t="shared" si="8" ref="AH98:AH106">IF(AQ98="0",BJ98,0)</f>
        <v>0</v>
      </c>
      <c r="AI98" s="11" t="s">
        <v>5</v>
      </c>
      <c r="AJ98" s="9">
        <f aca="true" t="shared" si="9" ref="AJ98:AJ106">IF(AN98=0,I98,0)</f>
        <v>0</v>
      </c>
      <c r="AK98" s="9">
        <f aca="true" t="shared" si="10" ref="AK98:AK106">IF(AN98=12,I98,0)</f>
        <v>0</v>
      </c>
      <c r="AL98" s="9">
        <f aca="true" t="shared" si="11" ref="AL98:AL106">IF(AN98=21,I98,0)</f>
        <v>0</v>
      </c>
      <c r="AN98" s="9">
        <v>21</v>
      </c>
      <c r="AO98" s="9">
        <f aca="true" t="shared" si="12" ref="AO98:AO106">H98*0</f>
        <v>0</v>
      </c>
      <c r="AP98" s="9">
        <f aca="true" t="shared" si="13" ref="AP98:AP106">H98*(1-0)</f>
        <v>0</v>
      </c>
      <c r="AQ98" s="60" t="s">
        <v>659</v>
      </c>
      <c r="AV98" s="9">
        <f aca="true" t="shared" si="14" ref="AV98:AV106">AW98+AX98</f>
        <v>0</v>
      </c>
      <c r="AW98" s="9">
        <f aca="true" t="shared" si="15" ref="AW98:AW106">G98*AO98</f>
        <v>0</v>
      </c>
      <c r="AX98" s="9">
        <f aca="true" t="shared" si="16" ref="AX98:AX106">G98*AP98</f>
        <v>0</v>
      </c>
      <c r="AY98" s="60" t="s">
        <v>538</v>
      </c>
      <c r="AZ98" s="60" t="s">
        <v>1348</v>
      </c>
      <c r="BA98" s="11" t="s">
        <v>1092</v>
      </c>
      <c r="BC98" s="9">
        <f aca="true" t="shared" si="17" ref="BC98:BC106">AW98+AX98</f>
        <v>0</v>
      </c>
      <c r="BD98" s="9">
        <f aca="true" t="shared" si="18" ref="BD98:BD106">H98/(100-BE98)*100</f>
        <v>0</v>
      </c>
      <c r="BE98" s="9">
        <v>0</v>
      </c>
      <c r="BF98" s="9">
        <f>98</f>
        <v>98</v>
      </c>
      <c r="BH98" s="9">
        <f aca="true" t="shared" si="19" ref="BH98:BH106">G98*AO98</f>
        <v>0</v>
      </c>
      <c r="BI98" s="9">
        <f aca="true" t="shared" si="20" ref="BI98:BI106">G98*AP98</f>
        <v>0</v>
      </c>
      <c r="BJ98" s="9">
        <f aca="true" t="shared" si="21" ref="BJ98:BJ106">G98*H98</f>
        <v>0</v>
      </c>
      <c r="BK98" s="9"/>
      <c r="BL98" s="9"/>
      <c r="BW98" s="9">
        <v>21</v>
      </c>
    </row>
    <row r="99" spans="1:75" ht="13.5" customHeight="1">
      <c r="A99" s="16" t="s">
        <v>999</v>
      </c>
      <c r="B99" s="32" t="s">
        <v>5</v>
      </c>
      <c r="C99" s="32" t="s">
        <v>877</v>
      </c>
      <c r="D99" s="69" t="s">
        <v>908</v>
      </c>
      <c r="E99" s="70"/>
      <c r="F99" s="32" t="s">
        <v>594</v>
      </c>
      <c r="G99" s="9">
        <v>72.041</v>
      </c>
      <c r="H99" s="68">
        <v>0</v>
      </c>
      <c r="I99" s="9">
        <f t="shared" si="0"/>
        <v>0</v>
      </c>
      <c r="K99" s="23"/>
      <c r="Z99" s="9">
        <f t="shared" si="1"/>
        <v>0</v>
      </c>
      <c r="AB99" s="9">
        <f t="shared" si="2"/>
        <v>0</v>
      </c>
      <c r="AC99" s="9">
        <f t="shared" si="3"/>
        <v>0</v>
      </c>
      <c r="AD99" s="9">
        <f t="shared" si="4"/>
        <v>0</v>
      </c>
      <c r="AE99" s="9">
        <f t="shared" si="5"/>
        <v>0</v>
      </c>
      <c r="AF99" s="9">
        <f t="shared" si="6"/>
        <v>0</v>
      </c>
      <c r="AG99" s="9">
        <f t="shared" si="7"/>
        <v>0</v>
      </c>
      <c r="AH99" s="9">
        <f t="shared" si="8"/>
        <v>0</v>
      </c>
      <c r="AI99" s="11" t="s">
        <v>5</v>
      </c>
      <c r="AJ99" s="9">
        <f t="shared" si="9"/>
        <v>0</v>
      </c>
      <c r="AK99" s="9">
        <f t="shared" si="10"/>
        <v>0</v>
      </c>
      <c r="AL99" s="9">
        <f t="shared" si="11"/>
        <v>0</v>
      </c>
      <c r="AN99" s="9">
        <v>21</v>
      </c>
      <c r="AO99" s="9">
        <f t="shared" si="12"/>
        <v>0</v>
      </c>
      <c r="AP99" s="9">
        <f t="shared" si="13"/>
        <v>0</v>
      </c>
      <c r="AQ99" s="60" t="s">
        <v>659</v>
      </c>
      <c r="AV99" s="9">
        <f t="shared" si="14"/>
        <v>0</v>
      </c>
      <c r="AW99" s="9">
        <f t="shared" si="15"/>
        <v>0</v>
      </c>
      <c r="AX99" s="9">
        <f t="shared" si="16"/>
        <v>0</v>
      </c>
      <c r="AY99" s="60" t="s">
        <v>538</v>
      </c>
      <c r="AZ99" s="60" t="s">
        <v>1348</v>
      </c>
      <c r="BA99" s="11" t="s">
        <v>1092</v>
      </c>
      <c r="BC99" s="9">
        <f t="shared" si="17"/>
        <v>0</v>
      </c>
      <c r="BD99" s="9">
        <f t="shared" si="18"/>
        <v>0</v>
      </c>
      <c r="BE99" s="9">
        <v>0</v>
      </c>
      <c r="BF99" s="9">
        <f>99</f>
        <v>99</v>
      </c>
      <c r="BH99" s="9">
        <f t="shared" si="19"/>
        <v>0</v>
      </c>
      <c r="BI99" s="9">
        <f t="shared" si="20"/>
        <v>0</v>
      </c>
      <c r="BJ99" s="9">
        <f t="shared" si="21"/>
        <v>0</v>
      </c>
      <c r="BK99" s="9"/>
      <c r="BL99" s="9"/>
      <c r="BW99" s="9">
        <v>21</v>
      </c>
    </row>
    <row r="100" spans="1:75" ht="13.5" customHeight="1">
      <c r="A100" s="16" t="s">
        <v>1282</v>
      </c>
      <c r="B100" s="32" t="s">
        <v>5</v>
      </c>
      <c r="C100" s="32" t="s">
        <v>809</v>
      </c>
      <c r="D100" s="69" t="s">
        <v>570</v>
      </c>
      <c r="E100" s="70"/>
      <c r="F100" s="32" t="s">
        <v>594</v>
      </c>
      <c r="G100" s="9">
        <v>216.123</v>
      </c>
      <c r="H100" s="68">
        <v>0</v>
      </c>
      <c r="I100" s="9">
        <f t="shared" si="0"/>
        <v>0</v>
      </c>
      <c r="K100" s="23"/>
      <c r="Z100" s="9">
        <f t="shared" si="1"/>
        <v>0</v>
      </c>
      <c r="AB100" s="9">
        <f t="shared" si="2"/>
        <v>0</v>
      </c>
      <c r="AC100" s="9">
        <f t="shared" si="3"/>
        <v>0</v>
      </c>
      <c r="AD100" s="9">
        <f t="shared" si="4"/>
        <v>0</v>
      </c>
      <c r="AE100" s="9">
        <f t="shared" si="5"/>
        <v>0</v>
      </c>
      <c r="AF100" s="9">
        <f t="shared" si="6"/>
        <v>0</v>
      </c>
      <c r="AG100" s="9">
        <f t="shared" si="7"/>
        <v>0</v>
      </c>
      <c r="AH100" s="9">
        <f t="shared" si="8"/>
        <v>0</v>
      </c>
      <c r="AI100" s="11" t="s">
        <v>5</v>
      </c>
      <c r="AJ100" s="9">
        <f t="shared" si="9"/>
        <v>0</v>
      </c>
      <c r="AK100" s="9">
        <f t="shared" si="10"/>
        <v>0</v>
      </c>
      <c r="AL100" s="9">
        <f t="shared" si="11"/>
        <v>0</v>
      </c>
      <c r="AN100" s="9">
        <v>21</v>
      </c>
      <c r="AO100" s="9">
        <f t="shared" si="12"/>
        <v>0</v>
      </c>
      <c r="AP100" s="9">
        <f t="shared" si="13"/>
        <v>0</v>
      </c>
      <c r="AQ100" s="60" t="s">
        <v>659</v>
      </c>
      <c r="AV100" s="9">
        <f t="shared" si="14"/>
        <v>0</v>
      </c>
      <c r="AW100" s="9">
        <f t="shared" si="15"/>
        <v>0</v>
      </c>
      <c r="AX100" s="9">
        <f t="shared" si="16"/>
        <v>0</v>
      </c>
      <c r="AY100" s="60" t="s">
        <v>538</v>
      </c>
      <c r="AZ100" s="60" t="s">
        <v>1348</v>
      </c>
      <c r="BA100" s="11" t="s">
        <v>1092</v>
      </c>
      <c r="BC100" s="9">
        <f t="shared" si="17"/>
        <v>0</v>
      </c>
      <c r="BD100" s="9">
        <f t="shared" si="18"/>
        <v>0</v>
      </c>
      <c r="BE100" s="9">
        <v>0</v>
      </c>
      <c r="BF100" s="9">
        <f>100</f>
        <v>100</v>
      </c>
      <c r="BH100" s="9">
        <f t="shared" si="19"/>
        <v>0</v>
      </c>
      <c r="BI100" s="9">
        <f t="shared" si="20"/>
        <v>0</v>
      </c>
      <c r="BJ100" s="9">
        <f t="shared" si="21"/>
        <v>0</v>
      </c>
      <c r="BK100" s="9"/>
      <c r="BL100" s="9"/>
      <c r="BW100" s="9">
        <v>21</v>
      </c>
    </row>
    <row r="101" spans="1:75" ht="13.5" customHeight="1">
      <c r="A101" s="16" t="s">
        <v>90</v>
      </c>
      <c r="B101" s="32" t="s">
        <v>5</v>
      </c>
      <c r="C101" s="32" t="s">
        <v>1264</v>
      </c>
      <c r="D101" s="69" t="s">
        <v>336</v>
      </c>
      <c r="E101" s="70"/>
      <c r="F101" s="32" t="s">
        <v>594</v>
      </c>
      <c r="G101" s="9">
        <v>72.041</v>
      </c>
      <c r="H101" s="68">
        <v>0</v>
      </c>
      <c r="I101" s="9">
        <f t="shared" si="0"/>
        <v>0</v>
      </c>
      <c r="K101" s="23"/>
      <c r="Z101" s="9">
        <f t="shared" si="1"/>
        <v>0</v>
      </c>
      <c r="AB101" s="9">
        <f t="shared" si="2"/>
        <v>0</v>
      </c>
      <c r="AC101" s="9">
        <f t="shared" si="3"/>
        <v>0</v>
      </c>
      <c r="AD101" s="9">
        <f t="shared" si="4"/>
        <v>0</v>
      </c>
      <c r="AE101" s="9">
        <f t="shared" si="5"/>
        <v>0</v>
      </c>
      <c r="AF101" s="9">
        <f t="shared" si="6"/>
        <v>0</v>
      </c>
      <c r="AG101" s="9">
        <f t="shared" si="7"/>
        <v>0</v>
      </c>
      <c r="AH101" s="9">
        <f t="shared" si="8"/>
        <v>0</v>
      </c>
      <c r="AI101" s="11" t="s">
        <v>5</v>
      </c>
      <c r="AJ101" s="9">
        <f t="shared" si="9"/>
        <v>0</v>
      </c>
      <c r="AK101" s="9">
        <f t="shared" si="10"/>
        <v>0</v>
      </c>
      <c r="AL101" s="9">
        <f t="shared" si="11"/>
        <v>0</v>
      </c>
      <c r="AN101" s="9">
        <v>21</v>
      </c>
      <c r="AO101" s="9">
        <f t="shared" si="12"/>
        <v>0</v>
      </c>
      <c r="AP101" s="9">
        <f t="shared" si="13"/>
        <v>0</v>
      </c>
      <c r="AQ101" s="60" t="s">
        <v>659</v>
      </c>
      <c r="AV101" s="9">
        <f t="shared" si="14"/>
        <v>0</v>
      </c>
      <c r="AW101" s="9">
        <f t="shared" si="15"/>
        <v>0</v>
      </c>
      <c r="AX101" s="9">
        <f t="shared" si="16"/>
        <v>0</v>
      </c>
      <c r="AY101" s="60" t="s">
        <v>538</v>
      </c>
      <c r="AZ101" s="60" t="s">
        <v>1348</v>
      </c>
      <c r="BA101" s="11" t="s">
        <v>1092</v>
      </c>
      <c r="BC101" s="9">
        <f t="shared" si="17"/>
        <v>0</v>
      </c>
      <c r="BD101" s="9">
        <f t="shared" si="18"/>
        <v>0</v>
      </c>
      <c r="BE101" s="9">
        <v>0</v>
      </c>
      <c r="BF101" s="9">
        <f>101</f>
        <v>101</v>
      </c>
      <c r="BH101" s="9">
        <f t="shared" si="19"/>
        <v>0</v>
      </c>
      <c r="BI101" s="9">
        <f t="shared" si="20"/>
        <v>0</v>
      </c>
      <c r="BJ101" s="9">
        <f t="shared" si="21"/>
        <v>0</v>
      </c>
      <c r="BK101" s="9"/>
      <c r="BL101" s="9"/>
      <c r="BW101" s="9">
        <v>21</v>
      </c>
    </row>
    <row r="102" spans="1:75" ht="13.5" customHeight="1">
      <c r="A102" s="16" t="s">
        <v>963</v>
      </c>
      <c r="B102" s="32" t="s">
        <v>5</v>
      </c>
      <c r="C102" s="32" t="s">
        <v>262</v>
      </c>
      <c r="D102" s="69" t="s">
        <v>629</v>
      </c>
      <c r="E102" s="70"/>
      <c r="F102" s="32" t="s">
        <v>594</v>
      </c>
      <c r="G102" s="9">
        <v>504.287</v>
      </c>
      <c r="H102" s="68">
        <v>0</v>
      </c>
      <c r="I102" s="9">
        <f t="shared" si="0"/>
        <v>0</v>
      </c>
      <c r="K102" s="23"/>
      <c r="Z102" s="9">
        <f t="shared" si="1"/>
        <v>0</v>
      </c>
      <c r="AB102" s="9">
        <f t="shared" si="2"/>
        <v>0</v>
      </c>
      <c r="AC102" s="9">
        <f t="shared" si="3"/>
        <v>0</v>
      </c>
      <c r="AD102" s="9">
        <f t="shared" si="4"/>
        <v>0</v>
      </c>
      <c r="AE102" s="9">
        <f t="shared" si="5"/>
        <v>0</v>
      </c>
      <c r="AF102" s="9">
        <f t="shared" si="6"/>
        <v>0</v>
      </c>
      <c r="AG102" s="9">
        <f t="shared" si="7"/>
        <v>0</v>
      </c>
      <c r="AH102" s="9">
        <f t="shared" si="8"/>
        <v>0</v>
      </c>
      <c r="AI102" s="11" t="s">
        <v>5</v>
      </c>
      <c r="AJ102" s="9">
        <f t="shared" si="9"/>
        <v>0</v>
      </c>
      <c r="AK102" s="9">
        <f t="shared" si="10"/>
        <v>0</v>
      </c>
      <c r="AL102" s="9">
        <f t="shared" si="11"/>
        <v>0</v>
      </c>
      <c r="AN102" s="9">
        <v>21</v>
      </c>
      <c r="AO102" s="9">
        <f t="shared" si="12"/>
        <v>0</v>
      </c>
      <c r="AP102" s="9">
        <f t="shared" si="13"/>
        <v>0</v>
      </c>
      <c r="AQ102" s="60" t="s">
        <v>659</v>
      </c>
      <c r="AV102" s="9">
        <f t="shared" si="14"/>
        <v>0</v>
      </c>
      <c r="AW102" s="9">
        <f t="shared" si="15"/>
        <v>0</v>
      </c>
      <c r="AX102" s="9">
        <f t="shared" si="16"/>
        <v>0</v>
      </c>
      <c r="AY102" s="60" t="s">
        <v>538</v>
      </c>
      <c r="AZ102" s="60" t="s">
        <v>1348</v>
      </c>
      <c r="BA102" s="11" t="s">
        <v>1092</v>
      </c>
      <c r="BC102" s="9">
        <f t="shared" si="17"/>
        <v>0</v>
      </c>
      <c r="BD102" s="9">
        <f t="shared" si="18"/>
        <v>0</v>
      </c>
      <c r="BE102" s="9">
        <v>0</v>
      </c>
      <c r="BF102" s="9">
        <f>102</f>
        <v>102</v>
      </c>
      <c r="BH102" s="9">
        <f t="shared" si="19"/>
        <v>0</v>
      </c>
      <c r="BI102" s="9">
        <f t="shared" si="20"/>
        <v>0</v>
      </c>
      <c r="BJ102" s="9">
        <f t="shared" si="21"/>
        <v>0</v>
      </c>
      <c r="BK102" s="9"/>
      <c r="BL102" s="9"/>
      <c r="BW102" s="9">
        <v>21</v>
      </c>
    </row>
    <row r="103" spans="1:75" ht="13.5" customHeight="1">
      <c r="A103" s="16" t="s">
        <v>1017</v>
      </c>
      <c r="B103" s="32" t="s">
        <v>5</v>
      </c>
      <c r="C103" s="32" t="s">
        <v>136</v>
      </c>
      <c r="D103" s="69" t="s">
        <v>1197</v>
      </c>
      <c r="E103" s="70"/>
      <c r="F103" s="32" t="s">
        <v>594</v>
      </c>
      <c r="G103" s="9">
        <v>72.041</v>
      </c>
      <c r="H103" s="68">
        <v>0</v>
      </c>
      <c r="I103" s="9">
        <f t="shared" si="0"/>
        <v>0</v>
      </c>
      <c r="K103" s="23"/>
      <c r="Z103" s="9">
        <f t="shared" si="1"/>
        <v>0</v>
      </c>
      <c r="AB103" s="9">
        <f t="shared" si="2"/>
        <v>0</v>
      </c>
      <c r="AC103" s="9">
        <f t="shared" si="3"/>
        <v>0</v>
      </c>
      <c r="AD103" s="9">
        <f t="shared" si="4"/>
        <v>0</v>
      </c>
      <c r="AE103" s="9">
        <f t="shared" si="5"/>
        <v>0</v>
      </c>
      <c r="AF103" s="9">
        <f t="shared" si="6"/>
        <v>0</v>
      </c>
      <c r="AG103" s="9">
        <f t="shared" si="7"/>
        <v>0</v>
      </c>
      <c r="AH103" s="9">
        <f t="shared" si="8"/>
        <v>0</v>
      </c>
      <c r="AI103" s="11" t="s">
        <v>5</v>
      </c>
      <c r="AJ103" s="9">
        <f t="shared" si="9"/>
        <v>0</v>
      </c>
      <c r="AK103" s="9">
        <f t="shared" si="10"/>
        <v>0</v>
      </c>
      <c r="AL103" s="9">
        <f t="shared" si="11"/>
        <v>0</v>
      </c>
      <c r="AN103" s="9">
        <v>21</v>
      </c>
      <c r="AO103" s="9">
        <f t="shared" si="12"/>
        <v>0</v>
      </c>
      <c r="AP103" s="9">
        <f t="shared" si="13"/>
        <v>0</v>
      </c>
      <c r="AQ103" s="60" t="s">
        <v>659</v>
      </c>
      <c r="AV103" s="9">
        <f t="shared" si="14"/>
        <v>0</v>
      </c>
      <c r="AW103" s="9">
        <f t="shared" si="15"/>
        <v>0</v>
      </c>
      <c r="AX103" s="9">
        <f t="shared" si="16"/>
        <v>0</v>
      </c>
      <c r="AY103" s="60" t="s">
        <v>538</v>
      </c>
      <c r="AZ103" s="60" t="s">
        <v>1348</v>
      </c>
      <c r="BA103" s="11" t="s">
        <v>1092</v>
      </c>
      <c r="BC103" s="9">
        <f t="shared" si="17"/>
        <v>0</v>
      </c>
      <c r="BD103" s="9">
        <f t="shared" si="18"/>
        <v>0</v>
      </c>
      <c r="BE103" s="9">
        <v>0</v>
      </c>
      <c r="BF103" s="9">
        <f>103</f>
        <v>103</v>
      </c>
      <c r="BH103" s="9">
        <f t="shared" si="19"/>
        <v>0</v>
      </c>
      <c r="BI103" s="9">
        <f t="shared" si="20"/>
        <v>0</v>
      </c>
      <c r="BJ103" s="9">
        <f t="shared" si="21"/>
        <v>0</v>
      </c>
      <c r="BK103" s="9"/>
      <c r="BL103" s="9"/>
      <c r="BW103" s="9">
        <v>21</v>
      </c>
    </row>
    <row r="104" spans="1:75" ht="13.5" customHeight="1">
      <c r="A104" s="16" t="s">
        <v>553</v>
      </c>
      <c r="B104" s="32" t="s">
        <v>5</v>
      </c>
      <c r="C104" s="32" t="s">
        <v>682</v>
      </c>
      <c r="D104" s="69" t="s">
        <v>1173</v>
      </c>
      <c r="E104" s="70"/>
      <c r="F104" s="32" t="s">
        <v>594</v>
      </c>
      <c r="G104" s="9">
        <v>72.041</v>
      </c>
      <c r="H104" s="68">
        <v>0</v>
      </c>
      <c r="I104" s="9">
        <f t="shared" si="0"/>
        <v>0</v>
      </c>
      <c r="K104" s="23"/>
      <c r="Z104" s="9">
        <f t="shared" si="1"/>
        <v>0</v>
      </c>
      <c r="AB104" s="9">
        <f t="shared" si="2"/>
        <v>0</v>
      </c>
      <c r="AC104" s="9">
        <f t="shared" si="3"/>
        <v>0</v>
      </c>
      <c r="AD104" s="9">
        <f t="shared" si="4"/>
        <v>0</v>
      </c>
      <c r="AE104" s="9">
        <f t="shared" si="5"/>
        <v>0</v>
      </c>
      <c r="AF104" s="9">
        <f t="shared" si="6"/>
        <v>0</v>
      </c>
      <c r="AG104" s="9">
        <f t="shared" si="7"/>
        <v>0</v>
      </c>
      <c r="AH104" s="9">
        <f t="shared" si="8"/>
        <v>0</v>
      </c>
      <c r="AI104" s="11" t="s">
        <v>5</v>
      </c>
      <c r="AJ104" s="9">
        <f t="shared" si="9"/>
        <v>0</v>
      </c>
      <c r="AK104" s="9">
        <f t="shared" si="10"/>
        <v>0</v>
      </c>
      <c r="AL104" s="9">
        <f t="shared" si="11"/>
        <v>0</v>
      </c>
      <c r="AN104" s="9">
        <v>21</v>
      </c>
      <c r="AO104" s="9">
        <f t="shared" si="12"/>
        <v>0</v>
      </c>
      <c r="AP104" s="9">
        <f t="shared" si="13"/>
        <v>0</v>
      </c>
      <c r="AQ104" s="60" t="s">
        <v>659</v>
      </c>
      <c r="AV104" s="9">
        <f t="shared" si="14"/>
        <v>0</v>
      </c>
      <c r="AW104" s="9">
        <f t="shared" si="15"/>
        <v>0</v>
      </c>
      <c r="AX104" s="9">
        <f t="shared" si="16"/>
        <v>0</v>
      </c>
      <c r="AY104" s="60" t="s">
        <v>538</v>
      </c>
      <c r="AZ104" s="60" t="s">
        <v>1348</v>
      </c>
      <c r="BA104" s="11" t="s">
        <v>1092</v>
      </c>
      <c r="BC104" s="9">
        <f t="shared" si="17"/>
        <v>0</v>
      </c>
      <c r="BD104" s="9">
        <f t="shared" si="18"/>
        <v>0</v>
      </c>
      <c r="BE104" s="9">
        <v>0</v>
      </c>
      <c r="BF104" s="9">
        <f>104</f>
        <v>104</v>
      </c>
      <c r="BH104" s="9">
        <f t="shared" si="19"/>
        <v>0</v>
      </c>
      <c r="BI104" s="9">
        <f t="shared" si="20"/>
        <v>0</v>
      </c>
      <c r="BJ104" s="9">
        <f t="shared" si="21"/>
        <v>0</v>
      </c>
      <c r="BK104" s="9"/>
      <c r="BL104" s="9"/>
      <c r="BW104" s="9">
        <v>21</v>
      </c>
    </row>
    <row r="105" spans="1:75" ht="13.5" customHeight="1">
      <c r="A105" s="16" t="s">
        <v>547</v>
      </c>
      <c r="B105" s="32" t="s">
        <v>5</v>
      </c>
      <c r="C105" s="32" t="s">
        <v>252</v>
      </c>
      <c r="D105" s="69" t="s">
        <v>749</v>
      </c>
      <c r="E105" s="70"/>
      <c r="F105" s="32" t="s">
        <v>594</v>
      </c>
      <c r="G105" s="9">
        <v>72.041</v>
      </c>
      <c r="H105" s="68">
        <v>0</v>
      </c>
      <c r="I105" s="9">
        <f t="shared" si="0"/>
        <v>0</v>
      </c>
      <c r="K105" s="23"/>
      <c r="Z105" s="9">
        <f t="shared" si="1"/>
        <v>0</v>
      </c>
      <c r="AB105" s="9">
        <f t="shared" si="2"/>
        <v>0</v>
      </c>
      <c r="AC105" s="9">
        <f t="shared" si="3"/>
        <v>0</v>
      </c>
      <c r="AD105" s="9">
        <f t="shared" si="4"/>
        <v>0</v>
      </c>
      <c r="AE105" s="9">
        <f t="shared" si="5"/>
        <v>0</v>
      </c>
      <c r="AF105" s="9">
        <f t="shared" si="6"/>
        <v>0</v>
      </c>
      <c r="AG105" s="9">
        <f t="shared" si="7"/>
        <v>0</v>
      </c>
      <c r="AH105" s="9">
        <f t="shared" si="8"/>
        <v>0</v>
      </c>
      <c r="AI105" s="11" t="s">
        <v>5</v>
      </c>
      <c r="AJ105" s="9">
        <f t="shared" si="9"/>
        <v>0</v>
      </c>
      <c r="AK105" s="9">
        <f t="shared" si="10"/>
        <v>0</v>
      </c>
      <c r="AL105" s="9">
        <f t="shared" si="11"/>
        <v>0</v>
      </c>
      <c r="AN105" s="9">
        <v>21</v>
      </c>
      <c r="AO105" s="9">
        <f t="shared" si="12"/>
        <v>0</v>
      </c>
      <c r="AP105" s="9">
        <f t="shared" si="13"/>
        <v>0</v>
      </c>
      <c r="AQ105" s="60" t="s">
        <v>659</v>
      </c>
      <c r="AV105" s="9">
        <f t="shared" si="14"/>
        <v>0</v>
      </c>
      <c r="AW105" s="9">
        <f t="shared" si="15"/>
        <v>0</v>
      </c>
      <c r="AX105" s="9">
        <f t="shared" si="16"/>
        <v>0</v>
      </c>
      <c r="AY105" s="60" t="s">
        <v>538</v>
      </c>
      <c r="AZ105" s="60" t="s">
        <v>1348</v>
      </c>
      <c r="BA105" s="11" t="s">
        <v>1092</v>
      </c>
      <c r="BC105" s="9">
        <f t="shared" si="17"/>
        <v>0</v>
      </c>
      <c r="BD105" s="9">
        <f t="shared" si="18"/>
        <v>0</v>
      </c>
      <c r="BE105" s="9">
        <v>0</v>
      </c>
      <c r="BF105" s="9">
        <f>105</f>
        <v>105</v>
      </c>
      <c r="BH105" s="9">
        <f t="shared" si="19"/>
        <v>0</v>
      </c>
      <c r="BI105" s="9">
        <f t="shared" si="20"/>
        <v>0</v>
      </c>
      <c r="BJ105" s="9">
        <f t="shared" si="21"/>
        <v>0</v>
      </c>
      <c r="BK105" s="9"/>
      <c r="BL105" s="9"/>
      <c r="BW105" s="9">
        <v>21</v>
      </c>
    </row>
    <row r="106" spans="1:75" ht="13.5" customHeight="1">
      <c r="A106" s="16" t="s">
        <v>602</v>
      </c>
      <c r="B106" s="32" t="s">
        <v>5</v>
      </c>
      <c r="C106" s="32" t="s">
        <v>215</v>
      </c>
      <c r="D106" s="69" t="s">
        <v>725</v>
      </c>
      <c r="E106" s="70"/>
      <c r="F106" s="32" t="s">
        <v>594</v>
      </c>
      <c r="G106" s="9">
        <v>67.135</v>
      </c>
      <c r="H106" s="68">
        <v>0</v>
      </c>
      <c r="I106" s="9">
        <f t="shared" si="0"/>
        <v>0</v>
      </c>
      <c r="K106" s="23"/>
      <c r="Z106" s="9">
        <f t="shared" si="1"/>
        <v>0</v>
      </c>
      <c r="AB106" s="9">
        <f t="shared" si="2"/>
        <v>0</v>
      </c>
      <c r="AC106" s="9">
        <f t="shared" si="3"/>
        <v>0</v>
      </c>
      <c r="AD106" s="9">
        <f t="shared" si="4"/>
        <v>0</v>
      </c>
      <c r="AE106" s="9">
        <f t="shared" si="5"/>
        <v>0</v>
      </c>
      <c r="AF106" s="9">
        <f t="shared" si="6"/>
        <v>0</v>
      </c>
      <c r="AG106" s="9">
        <f t="shared" si="7"/>
        <v>0</v>
      </c>
      <c r="AH106" s="9">
        <f t="shared" si="8"/>
        <v>0</v>
      </c>
      <c r="AI106" s="11" t="s">
        <v>5</v>
      </c>
      <c r="AJ106" s="9">
        <f t="shared" si="9"/>
        <v>0</v>
      </c>
      <c r="AK106" s="9">
        <f t="shared" si="10"/>
        <v>0</v>
      </c>
      <c r="AL106" s="9">
        <f t="shared" si="11"/>
        <v>0</v>
      </c>
      <c r="AN106" s="9">
        <v>21</v>
      </c>
      <c r="AO106" s="9">
        <f t="shared" si="12"/>
        <v>0</v>
      </c>
      <c r="AP106" s="9">
        <f t="shared" si="13"/>
        <v>0</v>
      </c>
      <c r="AQ106" s="60" t="s">
        <v>659</v>
      </c>
      <c r="AV106" s="9">
        <f t="shared" si="14"/>
        <v>0</v>
      </c>
      <c r="AW106" s="9">
        <f t="shared" si="15"/>
        <v>0</v>
      </c>
      <c r="AX106" s="9">
        <f t="shared" si="16"/>
        <v>0</v>
      </c>
      <c r="AY106" s="60" t="s">
        <v>538</v>
      </c>
      <c r="AZ106" s="60" t="s">
        <v>1348</v>
      </c>
      <c r="BA106" s="11" t="s">
        <v>1092</v>
      </c>
      <c r="BC106" s="9">
        <f t="shared" si="17"/>
        <v>0</v>
      </c>
      <c r="BD106" s="9">
        <f t="shared" si="18"/>
        <v>0</v>
      </c>
      <c r="BE106" s="9">
        <v>0</v>
      </c>
      <c r="BF106" s="9">
        <f>106</f>
        <v>106</v>
      </c>
      <c r="BH106" s="9">
        <f t="shared" si="19"/>
        <v>0</v>
      </c>
      <c r="BI106" s="9">
        <f t="shared" si="20"/>
        <v>0</v>
      </c>
      <c r="BJ106" s="9">
        <f t="shared" si="21"/>
        <v>0</v>
      </c>
      <c r="BK106" s="9"/>
      <c r="BL106" s="9"/>
      <c r="BW106" s="9">
        <v>21</v>
      </c>
    </row>
    <row r="107" spans="1:11" ht="40.5" customHeight="1">
      <c r="A107" s="47"/>
      <c r="C107" s="28"/>
      <c r="D107" s="116" t="s">
        <v>475</v>
      </c>
      <c r="E107" s="117"/>
      <c r="F107" s="117"/>
      <c r="G107" s="117"/>
      <c r="H107" s="117"/>
      <c r="I107" s="117"/>
      <c r="J107" s="117"/>
      <c r="K107" s="118"/>
    </row>
    <row r="108" spans="1:75" ht="13.5" customHeight="1">
      <c r="A108" s="16" t="s">
        <v>1139</v>
      </c>
      <c r="B108" s="32" t="s">
        <v>5</v>
      </c>
      <c r="C108" s="32" t="s">
        <v>106</v>
      </c>
      <c r="D108" s="69" t="s">
        <v>1321</v>
      </c>
      <c r="E108" s="70"/>
      <c r="F108" s="32" t="s">
        <v>594</v>
      </c>
      <c r="G108" s="9">
        <v>4.401</v>
      </c>
      <c r="H108" s="68">
        <v>0</v>
      </c>
      <c r="I108" s="9">
        <f>G108*H108</f>
        <v>0</v>
      </c>
      <c r="K108" s="23"/>
      <c r="Z108" s="9">
        <f>IF(AQ108="5",BJ108,0)</f>
        <v>0</v>
      </c>
      <c r="AB108" s="9">
        <f>IF(AQ108="1",BH108,0)</f>
        <v>0</v>
      </c>
      <c r="AC108" s="9">
        <f>IF(AQ108="1",BI108,0)</f>
        <v>0</v>
      </c>
      <c r="AD108" s="9">
        <f>IF(AQ108="7",BH108,0)</f>
        <v>0</v>
      </c>
      <c r="AE108" s="9">
        <f>IF(AQ108="7",BI108,0)</f>
        <v>0</v>
      </c>
      <c r="AF108" s="9">
        <f>IF(AQ108="2",BH108,0)</f>
        <v>0</v>
      </c>
      <c r="AG108" s="9">
        <f>IF(AQ108="2",BI108,0)</f>
        <v>0</v>
      </c>
      <c r="AH108" s="9">
        <f>IF(AQ108="0",BJ108,0)</f>
        <v>0</v>
      </c>
      <c r="AI108" s="11" t="s">
        <v>5</v>
      </c>
      <c r="AJ108" s="9">
        <f>IF(AN108=0,I108,0)</f>
        <v>0</v>
      </c>
      <c r="AK108" s="9">
        <f>IF(AN108=12,I108,0)</f>
        <v>0</v>
      </c>
      <c r="AL108" s="9">
        <f>IF(AN108=21,I108,0)</f>
        <v>0</v>
      </c>
      <c r="AN108" s="9">
        <v>21</v>
      </c>
      <c r="AO108" s="9">
        <f>H108*0</f>
        <v>0</v>
      </c>
      <c r="AP108" s="9">
        <f>H108*(1-0)</f>
        <v>0</v>
      </c>
      <c r="AQ108" s="60" t="s">
        <v>659</v>
      </c>
      <c r="AV108" s="9">
        <f>AW108+AX108</f>
        <v>0</v>
      </c>
      <c r="AW108" s="9">
        <f>G108*AO108</f>
        <v>0</v>
      </c>
      <c r="AX108" s="9">
        <f>G108*AP108</f>
        <v>0</v>
      </c>
      <c r="AY108" s="60" t="s">
        <v>538</v>
      </c>
      <c r="AZ108" s="60" t="s">
        <v>1348</v>
      </c>
      <c r="BA108" s="11" t="s">
        <v>1092</v>
      </c>
      <c r="BC108" s="9">
        <f>AW108+AX108</f>
        <v>0</v>
      </c>
      <c r="BD108" s="9">
        <f>H108/(100-BE108)*100</f>
        <v>0</v>
      </c>
      <c r="BE108" s="9">
        <v>0</v>
      </c>
      <c r="BF108" s="9">
        <f>108</f>
        <v>108</v>
      </c>
      <c r="BH108" s="9">
        <f>G108*AO108</f>
        <v>0</v>
      </c>
      <c r="BI108" s="9">
        <f>G108*AP108</f>
        <v>0</v>
      </c>
      <c r="BJ108" s="9">
        <f>G108*H108</f>
        <v>0</v>
      </c>
      <c r="BK108" s="9"/>
      <c r="BL108" s="9"/>
      <c r="BW108" s="9">
        <v>21</v>
      </c>
    </row>
    <row r="109" spans="1:75" ht="13.5" customHeight="1">
      <c r="A109" s="16" t="s">
        <v>812</v>
      </c>
      <c r="B109" s="32" t="s">
        <v>5</v>
      </c>
      <c r="C109" s="32" t="s">
        <v>1295</v>
      </c>
      <c r="D109" s="69" t="s">
        <v>170</v>
      </c>
      <c r="E109" s="70"/>
      <c r="F109" s="32" t="s">
        <v>594</v>
      </c>
      <c r="G109" s="9">
        <v>0.505</v>
      </c>
      <c r="H109" s="68">
        <v>0</v>
      </c>
      <c r="I109" s="9">
        <f>G109*H109</f>
        <v>0</v>
      </c>
      <c r="K109" s="23"/>
      <c r="Z109" s="9">
        <f>IF(AQ109="5",BJ109,0)</f>
        <v>0</v>
      </c>
      <c r="AB109" s="9">
        <f>IF(AQ109="1",BH109,0)</f>
        <v>0</v>
      </c>
      <c r="AC109" s="9">
        <f>IF(AQ109="1",BI109,0)</f>
        <v>0</v>
      </c>
      <c r="AD109" s="9">
        <f>IF(AQ109="7",BH109,0)</f>
        <v>0</v>
      </c>
      <c r="AE109" s="9">
        <f>IF(AQ109="7",BI109,0)</f>
        <v>0</v>
      </c>
      <c r="AF109" s="9">
        <f>IF(AQ109="2",BH109,0)</f>
        <v>0</v>
      </c>
      <c r="AG109" s="9">
        <f>IF(AQ109="2",BI109,0)</f>
        <v>0</v>
      </c>
      <c r="AH109" s="9">
        <f>IF(AQ109="0",BJ109,0)</f>
        <v>0</v>
      </c>
      <c r="AI109" s="11" t="s">
        <v>5</v>
      </c>
      <c r="AJ109" s="9">
        <f>IF(AN109=0,I109,0)</f>
        <v>0</v>
      </c>
      <c r="AK109" s="9">
        <f>IF(AN109=12,I109,0)</f>
        <v>0</v>
      </c>
      <c r="AL109" s="9">
        <f>IF(AN109=21,I109,0)</f>
        <v>0</v>
      </c>
      <c r="AN109" s="9">
        <v>21</v>
      </c>
      <c r="AO109" s="9">
        <f>H109*0</f>
        <v>0</v>
      </c>
      <c r="AP109" s="9">
        <f>H109*(1-0)</f>
        <v>0</v>
      </c>
      <c r="AQ109" s="60" t="s">
        <v>659</v>
      </c>
      <c r="AV109" s="9">
        <f>AW109+AX109</f>
        <v>0</v>
      </c>
      <c r="AW109" s="9">
        <f>G109*AO109</f>
        <v>0</v>
      </c>
      <c r="AX109" s="9">
        <f>G109*AP109</f>
        <v>0</v>
      </c>
      <c r="AY109" s="60" t="s">
        <v>538</v>
      </c>
      <c r="AZ109" s="60" t="s">
        <v>1348</v>
      </c>
      <c r="BA109" s="11" t="s">
        <v>1092</v>
      </c>
      <c r="BC109" s="9">
        <f>AW109+AX109</f>
        <v>0</v>
      </c>
      <c r="BD109" s="9">
        <f>H109/(100-BE109)*100</f>
        <v>0</v>
      </c>
      <c r="BE109" s="9">
        <v>0</v>
      </c>
      <c r="BF109" s="9">
        <f>109</f>
        <v>109</v>
      </c>
      <c r="BH109" s="9">
        <f>G109*AO109</f>
        <v>0</v>
      </c>
      <c r="BI109" s="9">
        <f>G109*AP109</f>
        <v>0</v>
      </c>
      <c r="BJ109" s="9">
        <f>G109*H109</f>
        <v>0</v>
      </c>
      <c r="BK109" s="9"/>
      <c r="BL109" s="9"/>
      <c r="BW109" s="9">
        <v>21</v>
      </c>
    </row>
    <row r="110" spans="1:47" ht="15" customHeight="1">
      <c r="A110" s="39" t="s">
        <v>852</v>
      </c>
      <c r="B110" s="48" t="s">
        <v>5</v>
      </c>
      <c r="C110" s="48" t="s">
        <v>797</v>
      </c>
      <c r="D110" s="122" t="s">
        <v>753</v>
      </c>
      <c r="E110" s="123"/>
      <c r="F110" s="51" t="s">
        <v>1142</v>
      </c>
      <c r="G110" s="51" t="s">
        <v>1142</v>
      </c>
      <c r="H110" s="51" t="s">
        <v>1142</v>
      </c>
      <c r="I110" s="55">
        <f>SUM(I111:I111)</f>
        <v>0</v>
      </c>
      <c r="K110" s="23"/>
      <c r="AI110" s="11" t="s">
        <v>5</v>
      </c>
      <c r="AS110" s="55">
        <f>SUM(AJ111:AJ111)</f>
        <v>0</v>
      </c>
      <c r="AT110" s="55">
        <f>SUM(AK111:AK111)</f>
        <v>0</v>
      </c>
      <c r="AU110" s="55">
        <f>SUM(AL111:AL111)</f>
        <v>0</v>
      </c>
    </row>
    <row r="111" spans="1:75" ht="13.5" customHeight="1">
      <c r="A111" s="16" t="s">
        <v>779</v>
      </c>
      <c r="B111" s="32" t="s">
        <v>5</v>
      </c>
      <c r="C111" s="32" t="s">
        <v>341</v>
      </c>
      <c r="D111" s="69" t="s">
        <v>228</v>
      </c>
      <c r="E111" s="70"/>
      <c r="F111" s="32" t="s">
        <v>594</v>
      </c>
      <c r="G111" s="9">
        <v>67.033</v>
      </c>
      <c r="H111" s="68">
        <v>0</v>
      </c>
      <c r="I111" s="9">
        <f>G111*H111</f>
        <v>0</v>
      </c>
      <c r="K111" s="23"/>
      <c r="Z111" s="9">
        <f>IF(AQ111="5",BJ111,0)</f>
        <v>0</v>
      </c>
      <c r="AB111" s="9">
        <f>IF(AQ111="1",BH111,0)</f>
        <v>0</v>
      </c>
      <c r="AC111" s="9">
        <f>IF(AQ111="1",BI111,0)</f>
        <v>0</v>
      </c>
      <c r="AD111" s="9">
        <f>IF(AQ111="7",BH111,0)</f>
        <v>0</v>
      </c>
      <c r="AE111" s="9">
        <f>IF(AQ111="7",BI111,0)</f>
        <v>0</v>
      </c>
      <c r="AF111" s="9">
        <f>IF(AQ111="2",BH111,0)</f>
        <v>0</v>
      </c>
      <c r="AG111" s="9">
        <f>IF(AQ111="2",BI111,0)</f>
        <v>0</v>
      </c>
      <c r="AH111" s="9">
        <f>IF(AQ111="0",BJ111,0)</f>
        <v>0</v>
      </c>
      <c r="AI111" s="11" t="s">
        <v>5</v>
      </c>
      <c r="AJ111" s="9">
        <f>IF(AN111=0,I111,0)</f>
        <v>0</v>
      </c>
      <c r="AK111" s="9">
        <f>IF(AN111=12,I111,0)</f>
        <v>0</v>
      </c>
      <c r="AL111" s="9">
        <f>IF(AN111=21,I111,0)</f>
        <v>0</v>
      </c>
      <c r="AN111" s="9">
        <v>21</v>
      </c>
      <c r="AO111" s="9">
        <f>H111*0</f>
        <v>0</v>
      </c>
      <c r="AP111" s="9">
        <f>H111*(1-0)</f>
        <v>0</v>
      </c>
      <c r="AQ111" s="60" t="s">
        <v>659</v>
      </c>
      <c r="AV111" s="9">
        <f>AW111+AX111</f>
        <v>0</v>
      </c>
      <c r="AW111" s="9">
        <f>G111*AO111</f>
        <v>0</v>
      </c>
      <c r="AX111" s="9">
        <f>G111*AP111</f>
        <v>0</v>
      </c>
      <c r="AY111" s="60" t="s">
        <v>1263</v>
      </c>
      <c r="AZ111" s="60" t="s">
        <v>1348</v>
      </c>
      <c r="BA111" s="11" t="s">
        <v>1092</v>
      </c>
      <c r="BC111" s="9">
        <f>AW111+AX111</f>
        <v>0</v>
      </c>
      <c r="BD111" s="9">
        <f>H111/(100-BE111)*100</f>
        <v>0</v>
      </c>
      <c r="BE111" s="9">
        <v>0</v>
      </c>
      <c r="BF111" s="9">
        <f>111</f>
        <v>111</v>
      </c>
      <c r="BH111" s="9">
        <f>G111*AO111</f>
        <v>0</v>
      </c>
      <c r="BI111" s="9">
        <f>G111*AP111</f>
        <v>0</v>
      </c>
      <c r="BJ111" s="9">
        <f>G111*H111</f>
        <v>0</v>
      </c>
      <c r="BK111" s="9"/>
      <c r="BL111" s="9"/>
      <c r="BW111" s="9">
        <v>21</v>
      </c>
    </row>
    <row r="112" spans="1:47" ht="15" customHeight="1">
      <c r="A112" s="39" t="s">
        <v>852</v>
      </c>
      <c r="B112" s="48" t="s">
        <v>5</v>
      </c>
      <c r="C112" s="48" t="s">
        <v>76</v>
      </c>
      <c r="D112" s="122" t="s">
        <v>1412</v>
      </c>
      <c r="E112" s="123"/>
      <c r="F112" s="51" t="s">
        <v>1142</v>
      </c>
      <c r="G112" s="51" t="s">
        <v>1142</v>
      </c>
      <c r="H112" s="51" t="s">
        <v>1142</v>
      </c>
      <c r="I112" s="55">
        <f>SUM(I113:I118)</f>
        <v>0</v>
      </c>
      <c r="K112" s="23"/>
      <c r="AI112" s="11" t="s">
        <v>5</v>
      </c>
      <c r="AS112" s="55">
        <f>SUM(AJ113:AJ118)</f>
        <v>0</v>
      </c>
      <c r="AT112" s="55">
        <f>SUM(AK113:AK118)</f>
        <v>0</v>
      </c>
      <c r="AU112" s="55">
        <f>SUM(AL113:AL118)</f>
        <v>0</v>
      </c>
    </row>
    <row r="113" spans="1:75" ht="13.5" customHeight="1">
      <c r="A113" s="16" t="s">
        <v>1165</v>
      </c>
      <c r="B113" s="32" t="s">
        <v>5</v>
      </c>
      <c r="C113" s="32" t="s">
        <v>585</v>
      </c>
      <c r="D113" s="69" t="s">
        <v>375</v>
      </c>
      <c r="E113" s="70"/>
      <c r="F113" s="32" t="s">
        <v>1213</v>
      </c>
      <c r="G113" s="9">
        <v>99.01</v>
      </c>
      <c r="H113" s="68">
        <v>0</v>
      </c>
      <c r="I113" s="9">
        <f aca="true" t="shared" si="22" ref="I113:I118">G113*H113</f>
        <v>0</v>
      </c>
      <c r="K113" s="23"/>
      <c r="Z113" s="9">
        <f aca="true" t="shared" si="23" ref="Z113:Z118">IF(AQ113="5",BJ113,0)</f>
        <v>0</v>
      </c>
      <c r="AB113" s="9">
        <f aca="true" t="shared" si="24" ref="AB113:AB118">IF(AQ113="1",BH113,0)</f>
        <v>0</v>
      </c>
      <c r="AC113" s="9">
        <f aca="true" t="shared" si="25" ref="AC113:AC118">IF(AQ113="1",BI113,0)</f>
        <v>0</v>
      </c>
      <c r="AD113" s="9">
        <f aca="true" t="shared" si="26" ref="AD113:AD118">IF(AQ113="7",BH113,0)</f>
        <v>0</v>
      </c>
      <c r="AE113" s="9">
        <f aca="true" t="shared" si="27" ref="AE113:AE118">IF(AQ113="7",BI113,0)</f>
        <v>0</v>
      </c>
      <c r="AF113" s="9">
        <f aca="true" t="shared" si="28" ref="AF113:AF118">IF(AQ113="2",BH113,0)</f>
        <v>0</v>
      </c>
      <c r="AG113" s="9">
        <f aca="true" t="shared" si="29" ref="AG113:AG118">IF(AQ113="2",BI113,0)</f>
        <v>0</v>
      </c>
      <c r="AH113" s="9">
        <f aca="true" t="shared" si="30" ref="AH113:AH118">IF(AQ113="0",BJ113,0)</f>
        <v>0</v>
      </c>
      <c r="AI113" s="11" t="s">
        <v>5</v>
      </c>
      <c r="AJ113" s="9">
        <f aca="true" t="shared" si="31" ref="AJ113:AJ118">IF(AN113=0,I113,0)</f>
        <v>0</v>
      </c>
      <c r="AK113" s="9">
        <f aca="true" t="shared" si="32" ref="AK113:AK118">IF(AN113=12,I113,0)</f>
        <v>0</v>
      </c>
      <c r="AL113" s="9">
        <f aca="true" t="shared" si="33" ref="AL113:AL118">IF(AN113=21,I113,0)</f>
        <v>0</v>
      </c>
      <c r="AN113" s="9">
        <v>21</v>
      </c>
      <c r="AO113" s="9">
        <f>H113*0</f>
        <v>0</v>
      </c>
      <c r="AP113" s="9">
        <f>H113*(1-0)</f>
        <v>0</v>
      </c>
      <c r="AQ113" s="60" t="s">
        <v>1238</v>
      </c>
      <c r="AV113" s="9">
        <f aca="true" t="shared" si="34" ref="AV113:AV118">AW113+AX113</f>
        <v>0</v>
      </c>
      <c r="AW113" s="9">
        <f aca="true" t="shared" si="35" ref="AW113:AW118">G113*AO113</f>
        <v>0</v>
      </c>
      <c r="AX113" s="9">
        <f aca="true" t="shared" si="36" ref="AX113:AX118">G113*AP113</f>
        <v>0</v>
      </c>
      <c r="AY113" s="60" t="s">
        <v>1072</v>
      </c>
      <c r="AZ113" s="60" t="s">
        <v>24</v>
      </c>
      <c r="BA113" s="11" t="s">
        <v>1092</v>
      </c>
      <c r="BC113" s="9">
        <f aca="true" t="shared" si="37" ref="BC113:BC118">AW113+AX113</f>
        <v>0</v>
      </c>
      <c r="BD113" s="9">
        <f aca="true" t="shared" si="38" ref="BD113:BD118">H113/(100-BE113)*100</f>
        <v>0</v>
      </c>
      <c r="BE113" s="9">
        <v>0</v>
      </c>
      <c r="BF113" s="9">
        <f>113</f>
        <v>113</v>
      </c>
      <c r="BH113" s="9">
        <f aca="true" t="shared" si="39" ref="BH113:BH118">G113*AO113</f>
        <v>0</v>
      </c>
      <c r="BI113" s="9">
        <f aca="true" t="shared" si="40" ref="BI113:BI118">G113*AP113</f>
        <v>0</v>
      </c>
      <c r="BJ113" s="9">
        <f aca="true" t="shared" si="41" ref="BJ113:BJ118">G113*H113</f>
        <v>0</v>
      </c>
      <c r="BK113" s="9"/>
      <c r="BL113" s="9">
        <v>711</v>
      </c>
      <c r="BW113" s="9">
        <v>21</v>
      </c>
    </row>
    <row r="114" spans="1:75" ht="13.5" customHeight="1">
      <c r="A114" s="16" t="s">
        <v>721</v>
      </c>
      <c r="B114" s="32" t="s">
        <v>5</v>
      </c>
      <c r="C114" s="32" t="s">
        <v>1184</v>
      </c>
      <c r="D114" s="69" t="s">
        <v>105</v>
      </c>
      <c r="E114" s="70"/>
      <c r="F114" s="32" t="s">
        <v>1159</v>
      </c>
      <c r="G114" s="9">
        <v>29.703</v>
      </c>
      <c r="H114" s="68">
        <v>0</v>
      </c>
      <c r="I114" s="9">
        <f t="shared" si="22"/>
        <v>0</v>
      </c>
      <c r="K114" s="23"/>
      <c r="Z114" s="9">
        <f t="shared" si="23"/>
        <v>0</v>
      </c>
      <c r="AB114" s="9">
        <f t="shared" si="24"/>
        <v>0</v>
      </c>
      <c r="AC114" s="9">
        <f t="shared" si="25"/>
        <v>0</v>
      </c>
      <c r="AD114" s="9">
        <f t="shared" si="26"/>
        <v>0</v>
      </c>
      <c r="AE114" s="9">
        <f t="shared" si="27"/>
        <v>0</v>
      </c>
      <c r="AF114" s="9">
        <f t="shared" si="28"/>
        <v>0</v>
      </c>
      <c r="AG114" s="9">
        <f t="shared" si="29"/>
        <v>0</v>
      </c>
      <c r="AH114" s="9">
        <f t="shared" si="30"/>
        <v>0</v>
      </c>
      <c r="AI114" s="11" t="s">
        <v>5</v>
      </c>
      <c r="AJ114" s="9">
        <f t="shared" si="31"/>
        <v>0</v>
      </c>
      <c r="AK114" s="9">
        <f t="shared" si="32"/>
        <v>0</v>
      </c>
      <c r="AL114" s="9">
        <f t="shared" si="33"/>
        <v>0</v>
      </c>
      <c r="AN114" s="9">
        <v>21</v>
      </c>
      <c r="AO114" s="9">
        <f>H114*1</f>
        <v>0</v>
      </c>
      <c r="AP114" s="9">
        <f>H114*(1-1)</f>
        <v>0</v>
      </c>
      <c r="AQ114" s="60" t="s">
        <v>1238</v>
      </c>
      <c r="AV114" s="9">
        <f t="shared" si="34"/>
        <v>0</v>
      </c>
      <c r="AW114" s="9">
        <f t="shared" si="35"/>
        <v>0</v>
      </c>
      <c r="AX114" s="9">
        <f t="shared" si="36"/>
        <v>0</v>
      </c>
      <c r="AY114" s="60" t="s">
        <v>1072</v>
      </c>
      <c r="AZ114" s="60" t="s">
        <v>24</v>
      </c>
      <c r="BA114" s="11" t="s">
        <v>1092</v>
      </c>
      <c r="BC114" s="9">
        <f t="shared" si="37"/>
        <v>0</v>
      </c>
      <c r="BD114" s="9">
        <f t="shared" si="38"/>
        <v>0</v>
      </c>
      <c r="BE114" s="9">
        <v>0</v>
      </c>
      <c r="BF114" s="9">
        <f>114</f>
        <v>114</v>
      </c>
      <c r="BH114" s="9">
        <f t="shared" si="39"/>
        <v>0</v>
      </c>
      <c r="BI114" s="9">
        <f t="shared" si="40"/>
        <v>0</v>
      </c>
      <c r="BJ114" s="9">
        <f t="shared" si="41"/>
        <v>0</v>
      </c>
      <c r="BK114" s="9"/>
      <c r="BL114" s="9">
        <v>711</v>
      </c>
      <c r="BW114" s="9">
        <v>21</v>
      </c>
    </row>
    <row r="115" spans="1:75" ht="13.5" customHeight="1">
      <c r="A115" s="16" t="s">
        <v>589</v>
      </c>
      <c r="B115" s="32" t="s">
        <v>5</v>
      </c>
      <c r="C115" s="32" t="s">
        <v>128</v>
      </c>
      <c r="D115" s="69" t="s">
        <v>730</v>
      </c>
      <c r="E115" s="70"/>
      <c r="F115" s="32" t="s">
        <v>1213</v>
      </c>
      <c r="G115" s="9">
        <v>103.69</v>
      </c>
      <c r="H115" s="68">
        <v>0</v>
      </c>
      <c r="I115" s="9">
        <f t="shared" si="22"/>
        <v>0</v>
      </c>
      <c r="K115" s="23"/>
      <c r="Z115" s="9">
        <f t="shared" si="23"/>
        <v>0</v>
      </c>
      <c r="AB115" s="9">
        <f t="shared" si="24"/>
        <v>0</v>
      </c>
      <c r="AC115" s="9">
        <f t="shared" si="25"/>
        <v>0</v>
      </c>
      <c r="AD115" s="9">
        <f t="shared" si="26"/>
        <v>0</v>
      </c>
      <c r="AE115" s="9">
        <f t="shared" si="27"/>
        <v>0</v>
      </c>
      <c r="AF115" s="9">
        <f t="shared" si="28"/>
        <v>0</v>
      </c>
      <c r="AG115" s="9">
        <f t="shared" si="29"/>
        <v>0</v>
      </c>
      <c r="AH115" s="9">
        <f t="shared" si="30"/>
        <v>0</v>
      </c>
      <c r="AI115" s="11" t="s">
        <v>5</v>
      </c>
      <c r="AJ115" s="9">
        <f t="shared" si="31"/>
        <v>0</v>
      </c>
      <c r="AK115" s="9">
        <f t="shared" si="32"/>
        <v>0</v>
      </c>
      <c r="AL115" s="9">
        <f t="shared" si="33"/>
        <v>0</v>
      </c>
      <c r="AN115" s="9">
        <v>21</v>
      </c>
      <c r="AO115" s="9">
        <f>H115*0</f>
        <v>0</v>
      </c>
      <c r="AP115" s="9">
        <f>H115*(1-0)</f>
        <v>0</v>
      </c>
      <c r="AQ115" s="60" t="s">
        <v>1238</v>
      </c>
      <c r="AV115" s="9">
        <f t="shared" si="34"/>
        <v>0</v>
      </c>
      <c r="AW115" s="9">
        <f t="shared" si="35"/>
        <v>0</v>
      </c>
      <c r="AX115" s="9">
        <f t="shared" si="36"/>
        <v>0</v>
      </c>
      <c r="AY115" s="60" t="s">
        <v>1072</v>
      </c>
      <c r="AZ115" s="60" t="s">
        <v>24</v>
      </c>
      <c r="BA115" s="11" t="s">
        <v>1092</v>
      </c>
      <c r="BC115" s="9">
        <f t="shared" si="37"/>
        <v>0</v>
      </c>
      <c r="BD115" s="9">
        <f t="shared" si="38"/>
        <v>0</v>
      </c>
      <c r="BE115" s="9">
        <v>0</v>
      </c>
      <c r="BF115" s="9">
        <f>115</f>
        <v>115</v>
      </c>
      <c r="BH115" s="9">
        <f t="shared" si="39"/>
        <v>0</v>
      </c>
      <c r="BI115" s="9">
        <f t="shared" si="40"/>
        <v>0</v>
      </c>
      <c r="BJ115" s="9">
        <f t="shared" si="41"/>
        <v>0</v>
      </c>
      <c r="BK115" s="9"/>
      <c r="BL115" s="9">
        <v>711</v>
      </c>
      <c r="BW115" s="9">
        <v>21</v>
      </c>
    </row>
    <row r="116" spans="1:75" ht="13.5" customHeight="1">
      <c r="A116" s="16" t="s">
        <v>150</v>
      </c>
      <c r="B116" s="32" t="s">
        <v>5</v>
      </c>
      <c r="C116" s="32" t="s">
        <v>8</v>
      </c>
      <c r="D116" s="69" t="s">
        <v>17</v>
      </c>
      <c r="E116" s="70"/>
      <c r="F116" s="32" t="s">
        <v>1213</v>
      </c>
      <c r="G116" s="9">
        <v>99.01</v>
      </c>
      <c r="H116" s="68">
        <v>0</v>
      </c>
      <c r="I116" s="9">
        <f t="shared" si="22"/>
        <v>0</v>
      </c>
      <c r="K116" s="23"/>
      <c r="Z116" s="9">
        <f t="shared" si="23"/>
        <v>0</v>
      </c>
      <c r="AB116" s="9">
        <f t="shared" si="24"/>
        <v>0</v>
      </c>
      <c r="AC116" s="9">
        <f t="shared" si="25"/>
        <v>0</v>
      </c>
      <c r="AD116" s="9">
        <f t="shared" si="26"/>
        <v>0</v>
      </c>
      <c r="AE116" s="9">
        <f t="shared" si="27"/>
        <v>0</v>
      </c>
      <c r="AF116" s="9">
        <f t="shared" si="28"/>
        <v>0</v>
      </c>
      <c r="AG116" s="9">
        <f t="shared" si="29"/>
        <v>0</v>
      </c>
      <c r="AH116" s="9">
        <f t="shared" si="30"/>
        <v>0</v>
      </c>
      <c r="AI116" s="11" t="s">
        <v>5</v>
      </c>
      <c r="AJ116" s="9">
        <f t="shared" si="31"/>
        <v>0</v>
      </c>
      <c r="AK116" s="9">
        <f t="shared" si="32"/>
        <v>0</v>
      </c>
      <c r="AL116" s="9">
        <f t="shared" si="33"/>
        <v>0</v>
      </c>
      <c r="AN116" s="9">
        <v>21</v>
      </c>
      <c r="AO116" s="9">
        <f>H116*0.081081049462634</f>
        <v>0</v>
      </c>
      <c r="AP116" s="9">
        <f>H116*(1-0.081081049462634)</f>
        <v>0</v>
      </c>
      <c r="AQ116" s="60" t="s">
        <v>1238</v>
      </c>
      <c r="AV116" s="9">
        <f t="shared" si="34"/>
        <v>0</v>
      </c>
      <c r="AW116" s="9">
        <f t="shared" si="35"/>
        <v>0</v>
      </c>
      <c r="AX116" s="9">
        <f t="shared" si="36"/>
        <v>0</v>
      </c>
      <c r="AY116" s="60" t="s">
        <v>1072</v>
      </c>
      <c r="AZ116" s="60" t="s">
        <v>24</v>
      </c>
      <c r="BA116" s="11" t="s">
        <v>1092</v>
      </c>
      <c r="BC116" s="9">
        <f t="shared" si="37"/>
        <v>0</v>
      </c>
      <c r="BD116" s="9">
        <f t="shared" si="38"/>
        <v>0</v>
      </c>
      <c r="BE116" s="9">
        <v>0</v>
      </c>
      <c r="BF116" s="9">
        <f>116</f>
        <v>116</v>
      </c>
      <c r="BH116" s="9">
        <f t="shared" si="39"/>
        <v>0</v>
      </c>
      <c r="BI116" s="9">
        <f t="shared" si="40"/>
        <v>0</v>
      </c>
      <c r="BJ116" s="9">
        <f t="shared" si="41"/>
        <v>0</v>
      </c>
      <c r="BK116" s="9"/>
      <c r="BL116" s="9">
        <v>711</v>
      </c>
      <c r="BW116" s="9">
        <v>21</v>
      </c>
    </row>
    <row r="117" spans="1:75" ht="13.5" customHeight="1">
      <c r="A117" s="16" t="s">
        <v>883</v>
      </c>
      <c r="B117" s="32" t="s">
        <v>5</v>
      </c>
      <c r="C117" s="32" t="s">
        <v>378</v>
      </c>
      <c r="D117" s="69" t="s">
        <v>286</v>
      </c>
      <c r="E117" s="70"/>
      <c r="F117" s="32" t="s">
        <v>1213</v>
      </c>
      <c r="G117" s="9">
        <v>108.911</v>
      </c>
      <c r="H117" s="68">
        <v>0</v>
      </c>
      <c r="I117" s="9">
        <f t="shared" si="22"/>
        <v>0</v>
      </c>
      <c r="K117" s="23"/>
      <c r="Z117" s="9">
        <f t="shared" si="23"/>
        <v>0</v>
      </c>
      <c r="AB117" s="9">
        <f t="shared" si="24"/>
        <v>0</v>
      </c>
      <c r="AC117" s="9">
        <f t="shared" si="25"/>
        <v>0</v>
      </c>
      <c r="AD117" s="9">
        <f t="shared" si="26"/>
        <v>0</v>
      </c>
      <c r="AE117" s="9">
        <f t="shared" si="27"/>
        <v>0</v>
      </c>
      <c r="AF117" s="9">
        <f t="shared" si="28"/>
        <v>0</v>
      </c>
      <c r="AG117" s="9">
        <f t="shared" si="29"/>
        <v>0</v>
      </c>
      <c r="AH117" s="9">
        <f t="shared" si="30"/>
        <v>0</v>
      </c>
      <c r="AI117" s="11" t="s">
        <v>5</v>
      </c>
      <c r="AJ117" s="9">
        <f t="shared" si="31"/>
        <v>0</v>
      </c>
      <c r="AK117" s="9">
        <f t="shared" si="32"/>
        <v>0</v>
      </c>
      <c r="AL117" s="9">
        <f t="shared" si="33"/>
        <v>0</v>
      </c>
      <c r="AN117" s="9">
        <v>21</v>
      </c>
      <c r="AO117" s="9">
        <f>H117*1</f>
        <v>0</v>
      </c>
      <c r="AP117" s="9">
        <f>H117*(1-1)</f>
        <v>0</v>
      </c>
      <c r="AQ117" s="60" t="s">
        <v>1238</v>
      </c>
      <c r="AV117" s="9">
        <f t="shared" si="34"/>
        <v>0</v>
      </c>
      <c r="AW117" s="9">
        <f t="shared" si="35"/>
        <v>0</v>
      </c>
      <c r="AX117" s="9">
        <f t="shared" si="36"/>
        <v>0</v>
      </c>
      <c r="AY117" s="60" t="s">
        <v>1072</v>
      </c>
      <c r="AZ117" s="60" t="s">
        <v>24</v>
      </c>
      <c r="BA117" s="11" t="s">
        <v>1092</v>
      </c>
      <c r="BC117" s="9">
        <f t="shared" si="37"/>
        <v>0</v>
      </c>
      <c r="BD117" s="9">
        <f t="shared" si="38"/>
        <v>0</v>
      </c>
      <c r="BE117" s="9">
        <v>0</v>
      </c>
      <c r="BF117" s="9">
        <f>117</f>
        <v>117</v>
      </c>
      <c r="BH117" s="9">
        <f t="shared" si="39"/>
        <v>0</v>
      </c>
      <c r="BI117" s="9">
        <f t="shared" si="40"/>
        <v>0</v>
      </c>
      <c r="BJ117" s="9">
        <f t="shared" si="41"/>
        <v>0</v>
      </c>
      <c r="BK117" s="9"/>
      <c r="BL117" s="9">
        <v>711</v>
      </c>
      <c r="BW117" s="9">
        <v>21</v>
      </c>
    </row>
    <row r="118" spans="1:75" ht="13.5" customHeight="1">
      <c r="A118" s="16" t="s">
        <v>1400</v>
      </c>
      <c r="B118" s="32" t="s">
        <v>5</v>
      </c>
      <c r="C118" s="32" t="s">
        <v>1170</v>
      </c>
      <c r="D118" s="69" t="s">
        <v>975</v>
      </c>
      <c r="E118" s="70"/>
      <c r="F118" s="32" t="s">
        <v>594</v>
      </c>
      <c r="G118" s="9">
        <v>0.56</v>
      </c>
      <c r="H118" s="68">
        <v>0</v>
      </c>
      <c r="I118" s="9">
        <f t="shared" si="22"/>
        <v>0</v>
      </c>
      <c r="K118" s="23"/>
      <c r="Z118" s="9">
        <f t="shared" si="23"/>
        <v>0</v>
      </c>
      <c r="AB118" s="9">
        <f t="shared" si="24"/>
        <v>0</v>
      </c>
      <c r="AC118" s="9">
        <f t="shared" si="25"/>
        <v>0</v>
      </c>
      <c r="AD118" s="9">
        <f t="shared" si="26"/>
        <v>0</v>
      </c>
      <c r="AE118" s="9">
        <f t="shared" si="27"/>
        <v>0</v>
      </c>
      <c r="AF118" s="9">
        <f t="shared" si="28"/>
        <v>0</v>
      </c>
      <c r="AG118" s="9">
        <f t="shared" si="29"/>
        <v>0</v>
      </c>
      <c r="AH118" s="9">
        <f t="shared" si="30"/>
        <v>0</v>
      </c>
      <c r="AI118" s="11" t="s">
        <v>5</v>
      </c>
      <c r="AJ118" s="9">
        <f t="shared" si="31"/>
        <v>0</v>
      </c>
      <c r="AK118" s="9">
        <f t="shared" si="32"/>
        <v>0</v>
      </c>
      <c r="AL118" s="9">
        <f t="shared" si="33"/>
        <v>0</v>
      </c>
      <c r="AN118" s="9">
        <v>21</v>
      </c>
      <c r="AO118" s="9">
        <f>H118*0</f>
        <v>0</v>
      </c>
      <c r="AP118" s="9">
        <f>H118*(1-0)</f>
        <v>0</v>
      </c>
      <c r="AQ118" s="60" t="s">
        <v>659</v>
      </c>
      <c r="AV118" s="9">
        <f t="shared" si="34"/>
        <v>0</v>
      </c>
      <c r="AW118" s="9">
        <f t="shared" si="35"/>
        <v>0</v>
      </c>
      <c r="AX118" s="9">
        <f t="shared" si="36"/>
        <v>0</v>
      </c>
      <c r="AY118" s="60" t="s">
        <v>1072</v>
      </c>
      <c r="AZ118" s="60" t="s">
        <v>24</v>
      </c>
      <c r="BA118" s="11" t="s">
        <v>1092</v>
      </c>
      <c r="BC118" s="9">
        <f t="shared" si="37"/>
        <v>0</v>
      </c>
      <c r="BD118" s="9">
        <f t="shared" si="38"/>
        <v>0</v>
      </c>
      <c r="BE118" s="9">
        <v>0</v>
      </c>
      <c r="BF118" s="9">
        <f>118</f>
        <v>118</v>
      </c>
      <c r="BH118" s="9">
        <f t="shared" si="39"/>
        <v>0</v>
      </c>
      <c r="BI118" s="9">
        <f t="shared" si="40"/>
        <v>0</v>
      </c>
      <c r="BJ118" s="9">
        <f t="shared" si="41"/>
        <v>0</v>
      </c>
      <c r="BK118" s="9"/>
      <c r="BL118" s="9">
        <v>711</v>
      </c>
      <c r="BW118" s="9">
        <v>21</v>
      </c>
    </row>
    <row r="119" spans="1:47" ht="15" customHeight="1">
      <c r="A119" s="39" t="s">
        <v>852</v>
      </c>
      <c r="B119" s="48" t="s">
        <v>5</v>
      </c>
      <c r="C119" s="48" t="s">
        <v>788</v>
      </c>
      <c r="D119" s="122" t="s">
        <v>673</v>
      </c>
      <c r="E119" s="123"/>
      <c r="F119" s="51" t="s">
        <v>1142</v>
      </c>
      <c r="G119" s="51" t="s">
        <v>1142</v>
      </c>
      <c r="H119" s="51" t="s">
        <v>1142</v>
      </c>
      <c r="I119" s="55">
        <f>SUM(I120:I164)</f>
        <v>0</v>
      </c>
      <c r="K119" s="23"/>
      <c r="AI119" s="11" t="s">
        <v>5</v>
      </c>
      <c r="AS119" s="55">
        <f>SUM(AJ120:AJ164)</f>
        <v>0</v>
      </c>
      <c r="AT119" s="55">
        <f>SUM(AK120:AK164)</f>
        <v>0</v>
      </c>
      <c r="AU119" s="55">
        <f>SUM(AL120:AL164)</f>
        <v>0</v>
      </c>
    </row>
    <row r="120" spans="1:75" ht="27" customHeight="1">
      <c r="A120" s="16" t="s">
        <v>296</v>
      </c>
      <c r="B120" s="32" t="s">
        <v>5</v>
      </c>
      <c r="C120" s="32" t="s">
        <v>1011</v>
      </c>
      <c r="D120" s="69" t="s">
        <v>630</v>
      </c>
      <c r="E120" s="70"/>
      <c r="F120" s="32" t="s">
        <v>1026</v>
      </c>
      <c r="G120" s="9">
        <v>6.2</v>
      </c>
      <c r="H120" s="68">
        <v>0</v>
      </c>
      <c r="I120" s="9">
        <f aca="true" t="shared" si="42" ref="I120:I164">G120*H120</f>
        <v>0</v>
      </c>
      <c r="K120" s="23"/>
      <c r="Z120" s="9">
        <f aca="true" t="shared" si="43" ref="Z120:Z164">IF(AQ120="5",BJ120,0)</f>
        <v>0</v>
      </c>
      <c r="AB120" s="9">
        <f aca="true" t="shared" si="44" ref="AB120:AB164">IF(AQ120="1",BH120,0)</f>
        <v>0</v>
      </c>
      <c r="AC120" s="9">
        <f aca="true" t="shared" si="45" ref="AC120:AC164">IF(AQ120="1",BI120,0)</f>
        <v>0</v>
      </c>
      <c r="AD120" s="9">
        <f aca="true" t="shared" si="46" ref="AD120:AD164">IF(AQ120="7",BH120,0)</f>
        <v>0</v>
      </c>
      <c r="AE120" s="9">
        <f aca="true" t="shared" si="47" ref="AE120:AE164">IF(AQ120="7",BI120,0)</f>
        <v>0</v>
      </c>
      <c r="AF120" s="9">
        <f aca="true" t="shared" si="48" ref="AF120:AF164">IF(AQ120="2",BH120,0)</f>
        <v>0</v>
      </c>
      <c r="AG120" s="9">
        <f aca="true" t="shared" si="49" ref="AG120:AG164">IF(AQ120="2",BI120,0)</f>
        <v>0</v>
      </c>
      <c r="AH120" s="9">
        <f aca="true" t="shared" si="50" ref="AH120:AH164">IF(AQ120="0",BJ120,0)</f>
        <v>0</v>
      </c>
      <c r="AI120" s="11" t="s">
        <v>5</v>
      </c>
      <c r="AJ120" s="9">
        <f aca="true" t="shared" si="51" ref="AJ120:AJ164">IF(AN120=0,I120,0)</f>
        <v>0</v>
      </c>
      <c r="AK120" s="9">
        <f aca="true" t="shared" si="52" ref="AK120:AK164">IF(AN120=12,I120,0)</f>
        <v>0</v>
      </c>
      <c r="AL120" s="9">
        <f aca="true" t="shared" si="53" ref="AL120:AL164">IF(AN120=21,I120,0)</f>
        <v>0</v>
      </c>
      <c r="AN120" s="9">
        <v>21</v>
      </c>
      <c r="AO120" s="9">
        <f aca="true" t="shared" si="54" ref="AO120:AO126">H120*0</f>
        <v>0</v>
      </c>
      <c r="AP120" s="9">
        <f aca="true" t="shared" si="55" ref="AP120:AP126">H120*(1-0)</f>
        <v>0</v>
      </c>
      <c r="AQ120" s="60" t="s">
        <v>1238</v>
      </c>
      <c r="AV120" s="9">
        <f aca="true" t="shared" si="56" ref="AV120:AV164">AW120+AX120</f>
        <v>0</v>
      </c>
      <c r="AW120" s="9">
        <f aca="true" t="shared" si="57" ref="AW120:AW164">G120*AO120</f>
        <v>0</v>
      </c>
      <c r="AX120" s="9">
        <f aca="true" t="shared" si="58" ref="AX120:AX164">G120*AP120</f>
        <v>0</v>
      </c>
      <c r="AY120" s="60" t="s">
        <v>190</v>
      </c>
      <c r="AZ120" s="60" t="s">
        <v>853</v>
      </c>
      <c r="BA120" s="11" t="s">
        <v>1092</v>
      </c>
      <c r="BC120" s="9">
        <f aca="true" t="shared" si="59" ref="BC120:BC164">AW120+AX120</f>
        <v>0</v>
      </c>
      <c r="BD120" s="9">
        <f aca="true" t="shared" si="60" ref="BD120:BD164">H120/(100-BE120)*100</f>
        <v>0</v>
      </c>
      <c r="BE120" s="9">
        <v>0</v>
      </c>
      <c r="BF120" s="9">
        <f>120</f>
        <v>120</v>
      </c>
      <c r="BH120" s="9">
        <f aca="true" t="shared" si="61" ref="BH120:BH164">G120*AO120</f>
        <v>0</v>
      </c>
      <c r="BI120" s="9">
        <f aca="true" t="shared" si="62" ref="BI120:BI164">G120*AP120</f>
        <v>0</v>
      </c>
      <c r="BJ120" s="9">
        <f aca="true" t="shared" si="63" ref="BJ120:BJ164">G120*H120</f>
        <v>0</v>
      </c>
      <c r="BK120" s="9"/>
      <c r="BL120" s="9">
        <v>721</v>
      </c>
      <c r="BW120" s="9">
        <v>21</v>
      </c>
    </row>
    <row r="121" spans="1:75" ht="13.5" customHeight="1">
      <c r="A121" s="16" t="s">
        <v>623</v>
      </c>
      <c r="B121" s="32" t="s">
        <v>5</v>
      </c>
      <c r="C121" s="32" t="s">
        <v>1117</v>
      </c>
      <c r="D121" s="69" t="s">
        <v>921</v>
      </c>
      <c r="E121" s="70"/>
      <c r="F121" s="32" t="s">
        <v>1026</v>
      </c>
      <c r="G121" s="9">
        <v>112.5</v>
      </c>
      <c r="H121" s="68">
        <v>0</v>
      </c>
      <c r="I121" s="9">
        <f t="shared" si="42"/>
        <v>0</v>
      </c>
      <c r="K121" s="23"/>
      <c r="Z121" s="9">
        <f t="shared" si="43"/>
        <v>0</v>
      </c>
      <c r="AB121" s="9">
        <f t="shared" si="44"/>
        <v>0</v>
      </c>
      <c r="AC121" s="9">
        <f t="shared" si="45"/>
        <v>0</v>
      </c>
      <c r="AD121" s="9">
        <f t="shared" si="46"/>
        <v>0</v>
      </c>
      <c r="AE121" s="9">
        <f t="shared" si="47"/>
        <v>0</v>
      </c>
      <c r="AF121" s="9">
        <f t="shared" si="48"/>
        <v>0</v>
      </c>
      <c r="AG121" s="9">
        <f t="shared" si="49"/>
        <v>0</v>
      </c>
      <c r="AH121" s="9">
        <f t="shared" si="50"/>
        <v>0</v>
      </c>
      <c r="AI121" s="11" t="s">
        <v>5</v>
      </c>
      <c r="AJ121" s="9">
        <f t="shared" si="51"/>
        <v>0</v>
      </c>
      <c r="AK121" s="9">
        <f t="shared" si="52"/>
        <v>0</v>
      </c>
      <c r="AL121" s="9">
        <f t="shared" si="53"/>
        <v>0</v>
      </c>
      <c r="AN121" s="9">
        <v>21</v>
      </c>
      <c r="AO121" s="9">
        <f t="shared" si="54"/>
        <v>0</v>
      </c>
      <c r="AP121" s="9">
        <f t="shared" si="55"/>
        <v>0</v>
      </c>
      <c r="AQ121" s="60" t="s">
        <v>1238</v>
      </c>
      <c r="AV121" s="9">
        <f t="shared" si="56"/>
        <v>0</v>
      </c>
      <c r="AW121" s="9">
        <f t="shared" si="57"/>
        <v>0</v>
      </c>
      <c r="AX121" s="9">
        <f t="shared" si="58"/>
        <v>0</v>
      </c>
      <c r="AY121" s="60" t="s">
        <v>190</v>
      </c>
      <c r="AZ121" s="60" t="s">
        <v>853</v>
      </c>
      <c r="BA121" s="11" t="s">
        <v>1092</v>
      </c>
      <c r="BC121" s="9">
        <f t="shared" si="59"/>
        <v>0</v>
      </c>
      <c r="BD121" s="9">
        <f t="shared" si="60"/>
        <v>0</v>
      </c>
      <c r="BE121" s="9">
        <v>0</v>
      </c>
      <c r="BF121" s="9">
        <f>121</f>
        <v>121</v>
      </c>
      <c r="BH121" s="9">
        <f t="shared" si="61"/>
        <v>0</v>
      </c>
      <c r="BI121" s="9">
        <f t="shared" si="62"/>
        <v>0</v>
      </c>
      <c r="BJ121" s="9">
        <f t="shared" si="63"/>
        <v>0</v>
      </c>
      <c r="BK121" s="9"/>
      <c r="BL121" s="9">
        <v>721</v>
      </c>
      <c r="BW121" s="9">
        <v>21</v>
      </c>
    </row>
    <row r="122" spans="1:75" ht="13.5" customHeight="1">
      <c r="A122" s="16" t="s">
        <v>1390</v>
      </c>
      <c r="B122" s="32" t="s">
        <v>5</v>
      </c>
      <c r="C122" s="32" t="s">
        <v>431</v>
      </c>
      <c r="D122" s="69" t="s">
        <v>1005</v>
      </c>
      <c r="E122" s="70"/>
      <c r="F122" s="32" t="s">
        <v>861</v>
      </c>
      <c r="G122" s="9">
        <v>18</v>
      </c>
      <c r="H122" s="68">
        <v>0</v>
      </c>
      <c r="I122" s="9">
        <f t="shared" si="42"/>
        <v>0</v>
      </c>
      <c r="K122" s="23"/>
      <c r="Z122" s="9">
        <f t="shared" si="43"/>
        <v>0</v>
      </c>
      <c r="AB122" s="9">
        <f t="shared" si="44"/>
        <v>0</v>
      </c>
      <c r="AC122" s="9">
        <f t="shared" si="45"/>
        <v>0</v>
      </c>
      <c r="AD122" s="9">
        <f t="shared" si="46"/>
        <v>0</v>
      </c>
      <c r="AE122" s="9">
        <f t="shared" si="47"/>
        <v>0</v>
      </c>
      <c r="AF122" s="9">
        <f t="shared" si="48"/>
        <v>0</v>
      </c>
      <c r="AG122" s="9">
        <f t="shared" si="49"/>
        <v>0</v>
      </c>
      <c r="AH122" s="9">
        <f t="shared" si="50"/>
        <v>0</v>
      </c>
      <c r="AI122" s="11" t="s">
        <v>5</v>
      </c>
      <c r="AJ122" s="9">
        <f t="shared" si="51"/>
        <v>0</v>
      </c>
      <c r="AK122" s="9">
        <f t="shared" si="52"/>
        <v>0</v>
      </c>
      <c r="AL122" s="9">
        <f t="shared" si="53"/>
        <v>0</v>
      </c>
      <c r="AN122" s="9">
        <v>21</v>
      </c>
      <c r="AO122" s="9">
        <f t="shared" si="54"/>
        <v>0</v>
      </c>
      <c r="AP122" s="9">
        <f t="shared" si="55"/>
        <v>0</v>
      </c>
      <c r="AQ122" s="60" t="s">
        <v>1238</v>
      </c>
      <c r="AV122" s="9">
        <f t="shared" si="56"/>
        <v>0</v>
      </c>
      <c r="AW122" s="9">
        <f t="shared" si="57"/>
        <v>0</v>
      </c>
      <c r="AX122" s="9">
        <f t="shared" si="58"/>
        <v>0</v>
      </c>
      <c r="AY122" s="60" t="s">
        <v>190</v>
      </c>
      <c r="AZ122" s="60" t="s">
        <v>853</v>
      </c>
      <c r="BA122" s="11" t="s">
        <v>1092</v>
      </c>
      <c r="BC122" s="9">
        <f t="shared" si="59"/>
        <v>0</v>
      </c>
      <c r="BD122" s="9">
        <f t="shared" si="60"/>
        <v>0</v>
      </c>
      <c r="BE122" s="9">
        <v>0</v>
      </c>
      <c r="BF122" s="9">
        <f>122</f>
        <v>122</v>
      </c>
      <c r="BH122" s="9">
        <f t="shared" si="61"/>
        <v>0</v>
      </c>
      <c r="BI122" s="9">
        <f t="shared" si="62"/>
        <v>0</v>
      </c>
      <c r="BJ122" s="9">
        <f t="shared" si="63"/>
        <v>0</v>
      </c>
      <c r="BK122" s="9"/>
      <c r="BL122" s="9">
        <v>721</v>
      </c>
      <c r="BW122" s="9">
        <v>21</v>
      </c>
    </row>
    <row r="123" spans="1:75" ht="13.5" customHeight="1">
      <c r="A123" s="16" t="s">
        <v>1300</v>
      </c>
      <c r="B123" s="32" t="s">
        <v>5</v>
      </c>
      <c r="C123" s="32" t="s">
        <v>837</v>
      </c>
      <c r="D123" s="69" t="s">
        <v>482</v>
      </c>
      <c r="E123" s="70"/>
      <c r="F123" s="32" t="s">
        <v>861</v>
      </c>
      <c r="G123" s="9">
        <v>14</v>
      </c>
      <c r="H123" s="68">
        <v>0</v>
      </c>
      <c r="I123" s="9">
        <f t="shared" si="42"/>
        <v>0</v>
      </c>
      <c r="K123" s="23"/>
      <c r="Z123" s="9">
        <f t="shared" si="43"/>
        <v>0</v>
      </c>
      <c r="AB123" s="9">
        <f t="shared" si="44"/>
        <v>0</v>
      </c>
      <c r="AC123" s="9">
        <f t="shared" si="45"/>
        <v>0</v>
      </c>
      <c r="AD123" s="9">
        <f t="shared" si="46"/>
        <v>0</v>
      </c>
      <c r="AE123" s="9">
        <f t="shared" si="47"/>
        <v>0</v>
      </c>
      <c r="AF123" s="9">
        <f t="shared" si="48"/>
        <v>0</v>
      </c>
      <c r="AG123" s="9">
        <f t="shared" si="49"/>
        <v>0</v>
      </c>
      <c r="AH123" s="9">
        <f t="shared" si="50"/>
        <v>0</v>
      </c>
      <c r="AI123" s="11" t="s">
        <v>5</v>
      </c>
      <c r="AJ123" s="9">
        <f t="shared" si="51"/>
        <v>0</v>
      </c>
      <c r="AK123" s="9">
        <f t="shared" si="52"/>
        <v>0</v>
      </c>
      <c r="AL123" s="9">
        <f t="shared" si="53"/>
        <v>0</v>
      </c>
      <c r="AN123" s="9">
        <v>21</v>
      </c>
      <c r="AO123" s="9">
        <f t="shared" si="54"/>
        <v>0</v>
      </c>
      <c r="AP123" s="9">
        <f t="shared" si="55"/>
        <v>0</v>
      </c>
      <c r="AQ123" s="60" t="s">
        <v>1238</v>
      </c>
      <c r="AV123" s="9">
        <f t="shared" si="56"/>
        <v>0</v>
      </c>
      <c r="AW123" s="9">
        <f t="shared" si="57"/>
        <v>0</v>
      </c>
      <c r="AX123" s="9">
        <f t="shared" si="58"/>
        <v>0</v>
      </c>
      <c r="AY123" s="60" t="s">
        <v>190</v>
      </c>
      <c r="AZ123" s="60" t="s">
        <v>853</v>
      </c>
      <c r="BA123" s="11" t="s">
        <v>1092</v>
      </c>
      <c r="BC123" s="9">
        <f t="shared" si="59"/>
        <v>0</v>
      </c>
      <c r="BD123" s="9">
        <f t="shared" si="60"/>
        <v>0</v>
      </c>
      <c r="BE123" s="9">
        <v>0</v>
      </c>
      <c r="BF123" s="9">
        <f>123</f>
        <v>123</v>
      </c>
      <c r="BH123" s="9">
        <f t="shared" si="61"/>
        <v>0</v>
      </c>
      <c r="BI123" s="9">
        <f t="shared" si="62"/>
        <v>0</v>
      </c>
      <c r="BJ123" s="9">
        <f t="shared" si="63"/>
        <v>0</v>
      </c>
      <c r="BK123" s="9"/>
      <c r="BL123" s="9">
        <v>721</v>
      </c>
      <c r="BW123" s="9">
        <v>21</v>
      </c>
    </row>
    <row r="124" spans="1:75" ht="13.5" customHeight="1">
      <c r="A124" s="16" t="s">
        <v>23</v>
      </c>
      <c r="B124" s="32" t="s">
        <v>5</v>
      </c>
      <c r="C124" s="32" t="s">
        <v>442</v>
      </c>
      <c r="D124" s="69" t="s">
        <v>312</v>
      </c>
      <c r="E124" s="70"/>
      <c r="F124" s="32" t="s">
        <v>861</v>
      </c>
      <c r="G124" s="9">
        <v>2</v>
      </c>
      <c r="H124" s="68">
        <v>0</v>
      </c>
      <c r="I124" s="9">
        <f t="shared" si="42"/>
        <v>0</v>
      </c>
      <c r="K124" s="23"/>
      <c r="Z124" s="9">
        <f t="shared" si="43"/>
        <v>0</v>
      </c>
      <c r="AB124" s="9">
        <f t="shared" si="44"/>
        <v>0</v>
      </c>
      <c r="AC124" s="9">
        <f t="shared" si="45"/>
        <v>0</v>
      </c>
      <c r="AD124" s="9">
        <f t="shared" si="46"/>
        <v>0</v>
      </c>
      <c r="AE124" s="9">
        <f t="shared" si="47"/>
        <v>0</v>
      </c>
      <c r="AF124" s="9">
        <f t="shared" si="48"/>
        <v>0</v>
      </c>
      <c r="AG124" s="9">
        <f t="shared" si="49"/>
        <v>0</v>
      </c>
      <c r="AH124" s="9">
        <f t="shared" si="50"/>
        <v>0</v>
      </c>
      <c r="AI124" s="11" t="s">
        <v>5</v>
      </c>
      <c r="AJ124" s="9">
        <f t="shared" si="51"/>
        <v>0</v>
      </c>
      <c r="AK124" s="9">
        <f t="shared" si="52"/>
        <v>0</v>
      </c>
      <c r="AL124" s="9">
        <f t="shared" si="53"/>
        <v>0</v>
      </c>
      <c r="AN124" s="9">
        <v>21</v>
      </c>
      <c r="AO124" s="9">
        <f t="shared" si="54"/>
        <v>0</v>
      </c>
      <c r="AP124" s="9">
        <f t="shared" si="55"/>
        <v>0</v>
      </c>
      <c r="AQ124" s="60" t="s">
        <v>1238</v>
      </c>
      <c r="AV124" s="9">
        <f t="shared" si="56"/>
        <v>0</v>
      </c>
      <c r="AW124" s="9">
        <f t="shared" si="57"/>
        <v>0</v>
      </c>
      <c r="AX124" s="9">
        <f t="shared" si="58"/>
        <v>0</v>
      </c>
      <c r="AY124" s="60" t="s">
        <v>190</v>
      </c>
      <c r="AZ124" s="60" t="s">
        <v>853</v>
      </c>
      <c r="BA124" s="11" t="s">
        <v>1092</v>
      </c>
      <c r="BC124" s="9">
        <f t="shared" si="59"/>
        <v>0</v>
      </c>
      <c r="BD124" s="9">
        <f t="shared" si="60"/>
        <v>0</v>
      </c>
      <c r="BE124" s="9">
        <v>0</v>
      </c>
      <c r="BF124" s="9">
        <f>124</f>
        <v>124</v>
      </c>
      <c r="BH124" s="9">
        <f t="shared" si="61"/>
        <v>0</v>
      </c>
      <c r="BI124" s="9">
        <f t="shared" si="62"/>
        <v>0</v>
      </c>
      <c r="BJ124" s="9">
        <f t="shared" si="63"/>
        <v>0</v>
      </c>
      <c r="BK124" s="9"/>
      <c r="BL124" s="9">
        <v>721</v>
      </c>
      <c r="BW124" s="9">
        <v>21</v>
      </c>
    </row>
    <row r="125" spans="1:75" ht="13.5" customHeight="1">
      <c r="A125" s="16" t="s">
        <v>208</v>
      </c>
      <c r="B125" s="32" t="s">
        <v>5</v>
      </c>
      <c r="C125" s="32" t="s">
        <v>578</v>
      </c>
      <c r="D125" s="69" t="s">
        <v>1365</v>
      </c>
      <c r="E125" s="70"/>
      <c r="F125" s="32" t="s">
        <v>861</v>
      </c>
      <c r="G125" s="9">
        <v>8</v>
      </c>
      <c r="H125" s="68">
        <v>0</v>
      </c>
      <c r="I125" s="9">
        <f t="shared" si="42"/>
        <v>0</v>
      </c>
      <c r="K125" s="23"/>
      <c r="Z125" s="9">
        <f t="shared" si="43"/>
        <v>0</v>
      </c>
      <c r="AB125" s="9">
        <f t="shared" si="44"/>
        <v>0</v>
      </c>
      <c r="AC125" s="9">
        <f t="shared" si="45"/>
        <v>0</v>
      </c>
      <c r="AD125" s="9">
        <f t="shared" si="46"/>
        <v>0</v>
      </c>
      <c r="AE125" s="9">
        <f t="shared" si="47"/>
        <v>0</v>
      </c>
      <c r="AF125" s="9">
        <f t="shared" si="48"/>
        <v>0</v>
      </c>
      <c r="AG125" s="9">
        <f t="shared" si="49"/>
        <v>0</v>
      </c>
      <c r="AH125" s="9">
        <f t="shared" si="50"/>
        <v>0</v>
      </c>
      <c r="AI125" s="11" t="s">
        <v>5</v>
      </c>
      <c r="AJ125" s="9">
        <f t="shared" si="51"/>
        <v>0</v>
      </c>
      <c r="AK125" s="9">
        <f t="shared" si="52"/>
        <v>0</v>
      </c>
      <c r="AL125" s="9">
        <f t="shared" si="53"/>
        <v>0</v>
      </c>
      <c r="AN125" s="9">
        <v>21</v>
      </c>
      <c r="AO125" s="9">
        <f t="shared" si="54"/>
        <v>0</v>
      </c>
      <c r="AP125" s="9">
        <f t="shared" si="55"/>
        <v>0</v>
      </c>
      <c r="AQ125" s="60" t="s">
        <v>1238</v>
      </c>
      <c r="AV125" s="9">
        <f t="shared" si="56"/>
        <v>0</v>
      </c>
      <c r="AW125" s="9">
        <f t="shared" si="57"/>
        <v>0</v>
      </c>
      <c r="AX125" s="9">
        <f t="shared" si="58"/>
        <v>0</v>
      </c>
      <c r="AY125" s="60" t="s">
        <v>190</v>
      </c>
      <c r="AZ125" s="60" t="s">
        <v>853</v>
      </c>
      <c r="BA125" s="11" t="s">
        <v>1092</v>
      </c>
      <c r="BC125" s="9">
        <f t="shared" si="59"/>
        <v>0</v>
      </c>
      <c r="BD125" s="9">
        <f t="shared" si="60"/>
        <v>0</v>
      </c>
      <c r="BE125" s="9">
        <v>0</v>
      </c>
      <c r="BF125" s="9">
        <f>125</f>
        <v>125</v>
      </c>
      <c r="BH125" s="9">
        <f t="shared" si="61"/>
        <v>0</v>
      </c>
      <c r="BI125" s="9">
        <f t="shared" si="62"/>
        <v>0</v>
      </c>
      <c r="BJ125" s="9">
        <f t="shared" si="63"/>
        <v>0</v>
      </c>
      <c r="BK125" s="9"/>
      <c r="BL125" s="9">
        <v>721</v>
      </c>
      <c r="BW125" s="9">
        <v>21</v>
      </c>
    </row>
    <row r="126" spans="1:75" ht="13.5" customHeight="1">
      <c r="A126" s="16" t="s">
        <v>271</v>
      </c>
      <c r="B126" s="32" t="s">
        <v>5</v>
      </c>
      <c r="C126" s="32" t="s">
        <v>77</v>
      </c>
      <c r="D126" s="69" t="s">
        <v>854</v>
      </c>
      <c r="E126" s="70"/>
      <c r="F126" s="32" t="s">
        <v>861</v>
      </c>
      <c r="G126" s="9">
        <v>2</v>
      </c>
      <c r="H126" s="68">
        <v>0</v>
      </c>
      <c r="I126" s="9">
        <f t="shared" si="42"/>
        <v>0</v>
      </c>
      <c r="K126" s="23"/>
      <c r="Z126" s="9">
        <f t="shared" si="43"/>
        <v>0</v>
      </c>
      <c r="AB126" s="9">
        <f t="shared" si="44"/>
        <v>0</v>
      </c>
      <c r="AC126" s="9">
        <f t="shared" si="45"/>
        <v>0</v>
      </c>
      <c r="AD126" s="9">
        <f t="shared" si="46"/>
        <v>0</v>
      </c>
      <c r="AE126" s="9">
        <f t="shared" si="47"/>
        <v>0</v>
      </c>
      <c r="AF126" s="9">
        <f t="shared" si="48"/>
        <v>0</v>
      </c>
      <c r="AG126" s="9">
        <f t="shared" si="49"/>
        <v>0</v>
      </c>
      <c r="AH126" s="9">
        <f t="shared" si="50"/>
        <v>0</v>
      </c>
      <c r="AI126" s="11" t="s">
        <v>5</v>
      </c>
      <c r="AJ126" s="9">
        <f t="shared" si="51"/>
        <v>0</v>
      </c>
      <c r="AK126" s="9">
        <f t="shared" si="52"/>
        <v>0</v>
      </c>
      <c r="AL126" s="9">
        <f t="shared" si="53"/>
        <v>0</v>
      </c>
      <c r="AN126" s="9">
        <v>21</v>
      </c>
      <c r="AO126" s="9">
        <f t="shared" si="54"/>
        <v>0</v>
      </c>
      <c r="AP126" s="9">
        <f t="shared" si="55"/>
        <v>0</v>
      </c>
      <c r="AQ126" s="60" t="s">
        <v>1238</v>
      </c>
      <c r="AV126" s="9">
        <f t="shared" si="56"/>
        <v>0</v>
      </c>
      <c r="AW126" s="9">
        <f t="shared" si="57"/>
        <v>0</v>
      </c>
      <c r="AX126" s="9">
        <f t="shared" si="58"/>
        <v>0</v>
      </c>
      <c r="AY126" s="60" t="s">
        <v>190</v>
      </c>
      <c r="AZ126" s="60" t="s">
        <v>853</v>
      </c>
      <c r="BA126" s="11" t="s">
        <v>1092</v>
      </c>
      <c r="BC126" s="9">
        <f t="shared" si="59"/>
        <v>0</v>
      </c>
      <c r="BD126" s="9">
        <f t="shared" si="60"/>
        <v>0</v>
      </c>
      <c r="BE126" s="9">
        <v>0</v>
      </c>
      <c r="BF126" s="9">
        <f>126</f>
        <v>126</v>
      </c>
      <c r="BH126" s="9">
        <f t="shared" si="61"/>
        <v>0</v>
      </c>
      <c r="BI126" s="9">
        <f t="shared" si="62"/>
        <v>0</v>
      </c>
      <c r="BJ126" s="9">
        <f t="shared" si="63"/>
        <v>0</v>
      </c>
      <c r="BK126" s="9"/>
      <c r="BL126" s="9">
        <v>721</v>
      </c>
      <c r="BW126" s="9">
        <v>21</v>
      </c>
    </row>
    <row r="127" spans="1:75" ht="13.5" customHeight="1">
      <c r="A127" s="16" t="s">
        <v>977</v>
      </c>
      <c r="B127" s="32" t="s">
        <v>5</v>
      </c>
      <c r="C127" s="32" t="s">
        <v>382</v>
      </c>
      <c r="D127" s="69" t="s">
        <v>665</v>
      </c>
      <c r="E127" s="70"/>
      <c r="F127" s="32" t="s">
        <v>1026</v>
      </c>
      <c r="G127" s="9">
        <v>5.5</v>
      </c>
      <c r="H127" s="68">
        <v>0</v>
      </c>
      <c r="I127" s="9">
        <f t="shared" si="42"/>
        <v>0</v>
      </c>
      <c r="K127" s="23"/>
      <c r="Z127" s="9">
        <f t="shared" si="43"/>
        <v>0</v>
      </c>
      <c r="AB127" s="9">
        <f t="shared" si="44"/>
        <v>0</v>
      </c>
      <c r="AC127" s="9">
        <f t="shared" si="45"/>
        <v>0</v>
      </c>
      <c r="AD127" s="9">
        <f t="shared" si="46"/>
        <v>0</v>
      </c>
      <c r="AE127" s="9">
        <f t="shared" si="47"/>
        <v>0</v>
      </c>
      <c r="AF127" s="9">
        <f t="shared" si="48"/>
        <v>0</v>
      </c>
      <c r="AG127" s="9">
        <f t="shared" si="49"/>
        <v>0</v>
      </c>
      <c r="AH127" s="9">
        <f t="shared" si="50"/>
        <v>0</v>
      </c>
      <c r="AI127" s="11" t="s">
        <v>5</v>
      </c>
      <c r="AJ127" s="9">
        <f t="shared" si="51"/>
        <v>0</v>
      </c>
      <c r="AK127" s="9">
        <f t="shared" si="52"/>
        <v>0</v>
      </c>
      <c r="AL127" s="9">
        <f t="shared" si="53"/>
        <v>0</v>
      </c>
      <c r="AN127" s="9">
        <v>21</v>
      </c>
      <c r="AO127" s="9">
        <f aca="true" t="shared" si="64" ref="AO127:AO152">H127*0.53</f>
        <v>0</v>
      </c>
      <c r="AP127" s="9">
        <f aca="true" t="shared" si="65" ref="AP127:AP152">H127*(1-0.53)</f>
        <v>0</v>
      </c>
      <c r="AQ127" s="60" t="s">
        <v>1238</v>
      </c>
      <c r="AV127" s="9">
        <f t="shared" si="56"/>
        <v>0</v>
      </c>
      <c r="AW127" s="9">
        <f t="shared" si="57"/>
        <v>0</v>
      </c>
      <c r="AX127" s="9">
        <f t="shared" si="58"/>
        <v>0</v>
      </c>
      <c r="AY127" s="60" t="s">
        <v>190</v>
      </c>
      <c r="AZ127" s="60" t="s">
        <v>853</v>
      </c>
      <c r="BA127" s="11" t="s">
        <v>1092</v>
      </c>
      <c r="BC127" s="9">
        <f t="shared" si="59"/>
        <v>0</v>
      </c>
      <c r="BD127" s="9">
        <f t="shared" si="60"/>
        <v>0</v>
      </c>
      <c r="BE127" s="9">
        <v>0</v>
      </c>
      <c r="BF127" s="9">
        <f>127</f>
        <v>127</v>
      </c>
      <c r="BH127" s="9">
        <f t="shared" si="61"/>
        <v>0</v>
      </c>
      <c r="BI127" s="9">
        <f t="shared" si="62"/>
        <v>0</v>
      </c>
      <c r="BJ127" s="9">
        <f t="shared" si="63"/>
        <v>0</v>
      </c>
      <c r="BK127" s="9"/>
      <c r="BL127" s="9">
        <v>721</v>
      </c>
      <c r="BW127" s="9">
        <v>21</v>
      </c>
    </row>
    <row r="128" spans="1:75" ht="13.5" customHeight="1">
      <c r="A128" s="16" t="s">
        <v>110</v>
      </c>
      <c r="B128" s="32" t="s">
        <v>5</v>
      </c>
      <c r="C128" s="32" t="s">
        <v>1413</v>
      </c>
      <c r="D128" s="69" t="s">
        <v>109</v>
      </c>
      <c r="E128" s="70"/>
      <c r="F128" s="32" t="s">
        <v>1026</v>
      </c>
      <c r="G128" s="9">
        <v>5.5</v>
      </c>
      <c r="H128" s="68">
        <v>0</v>
      </c>
      <c r="I128" s="9">
        <f t="shared" si="42"/>
        <v>0</v>
      </c>
      <c r="K128" s="23"/>
      <c r="Z128" s="9">
        <f t="shared" si="43"/>
        <v>0</v>
      </c>
      <c r="AB128" s="9">
        <f t="shared" si="44"/>
        <v>0</v>
      </c>
      <c r="AC128" s="9">
        <f t="shared" si="45"/>
        <v>0</v>
      </c>
      <c r="AD128" s="9">
        <f t="shared" si="46"/>
        <v>0</v>
      </c>
      <c r="AE128" s="9">
        <f t="shared" si="47"/>
        <v>0</v>
      </c>
      <c r="AF128" s="9">
        <f t="shared" si="48"/>
        <v>0</v>
      </c>
      <c r="AG128" s="9">
        <f t="shared" si="49"/>
        <v>0</v>
      </c>
      <c r="AH128" s="9">
        <f t="shared" si="50"/>
        <v>0</v>
      </c>
      <c r="AI128" s="11" t="s">
        <v>5</v>
      </c>
      <c r="AJ128" s="9">
        <f t="shared" si="51"/>
        <v>0</v>
      </c>
      <c r="AK128" s="9">
        <f t="shared" si="52"/>
        <v>0</v>
      </c>
      <c r="AL128" s="9">
        <f t="shared" si="53"/>
        <v>0</v>
      </c>
      <c r="AN128" s="9">
        <v>21</v>
      </c>
      <c r="AO128" s="9">
        <f t="shared" si="64"/>
        <v>0</v>
      </c>
      <c r="AP128" s="9">
        <f t="shared" si="65"/>
        <v>0</v>
      </c>
      <c r="AQ128" s="60" t="s">
        <v>1238</v>
      </c>
      <c r="AV128" s="9">
        <f t="shared" si="56"/>
        <v>0</v>
      </c>
      <c r="AW128" s="9">
        <f t="shared" si="57"/>
        <v>0</v>
      </c>
      <c r="AX128" s="9">
        <f t="shared" si="58"/>
        <v>0</v>
      </c>
      <c r="AY128" s="60" t="s">
        <v>190</v>
      </c>
      <c r="AZ128" s="60" t="s">
        <v>853</v>
      </c>
      <c r="BA128" s="11" t="s">
        <v>1092</v>
      </c>
      <c r="BC128" s="9">
        <f t="shared" si="59"/>
        <v>0</v>
      </c>
      <c r="BD128" s="9">
        <f t="shared" si="60"/>
        <v>0</v>
      </c>
      <c r="BE128" s="9">
        <v>0</v>
      </c>
      <c r="BF128" s="9">
        <f>128</f>
        <v>128</v>
      </c>
      <c r="BH128" s="9">
        <f t="shared" si="61"/>
        <v>0</v>
      </c>
      <c r="BI128" s="9">
        <f t="shared" si="62"/>
        <v>0</v>
      </c>
      <c r="BJ128" s="9">
        <f t="shared" si="63"/>
        <v>0</v>
      </c>
      <c r="BK128" s="9"/>
      <c r="BL128" s="9">
        <v>721</v>
      </c>
      <c r="BW128" s="9">
        <v>21</v>
      </c>
    </row>
    <row r="129" spans="1:75" ht="13.5" customHeight="1">
      <c r="A129" s="16" t="s">
        <v>965</v>
      </c>
      <c r="B129" s="32" t="s">
        <v>5</v>
      </c>
      <c r="C129" s="32" t="s">
        <v>440</v>
      </c>
      <c r="D129" s="69" t="s">
        <v>40</v>
      </c>
      <c r="E129" s="70"/>
      <c r="F129" s="32" t="s">
        <v>1026</v>
      </c>
      <c r="G129" s="9">
        <v>4.5</v>
      </c>
      <c r="H129" s="68">
        <v>0</v>
      </c>
      <c r="I129" s="9">
        <f t="shared" si="42"/>
        <v>0</v>
      </c>
      <c r="K129" s="23"/>
      <c r="Z129" s="9">
        <f t="shared" si="43"/>
        <v>0</v>
      </c>
      <c r="AB129" s="9">
        <f t="shared" si="44"/>
        <v>0</v>
      </c>
      <c r="AC129" s="9">
        <f t="shared" si="45"/>
        <v>0</v>
      </c>
      <c r="AD129" s="9">
        <f t="shared" si="46"/>
        <v>0</v>
      </c>
      <c r="AE129" s="9">
        <f t="shared" si="47"/>
        <v>0</v>
      </c>
      <c r="AF129" s="9">
        <f t="shared" si="48"/>
        <v>0</v>
      </c>
      <c r="AG129" s="9">
        <f t="shared" si="49"/>
        <v>0</v>
      </c>
      <c r="AH129" s="9">
        <f t="shared" si="50"/>
        <v>0</v>
      </c>
      <c r="AI129" s="11" t="s">
        <v>5</v>
      </c>
      <c r="AJ129" s="9">
        <f t="shared" si="51"/>
        <v>0</v>
      </c>
      <c r="AK129" s="9">
        <f t="shared" si="52"/>
        <v>0</v>
      </c>
      <c r="AL129" s="9">
        <f t="shared" si="53"/>
        <v>0</v>
      </c>
      <c r="AN129" s="9">
        <v>21</v>
      </c>
      <c r="AO129" s="9">
        <f t="shared" si="64"/>
        <v>0</v>
      </c>
      <c r="AP129" s="9">
        <f t="shared" si="65"/>
        <v>0</v>
      </c>
      <c r="AQ129" s="60" t="s">
        <v>1238</v>
      </c>
      <c r="AV129" s="9">
        <f t="shared" si="56"/>
        <v>0</v>
      </c>
      <c r="AW129" s="9">
        <f t="shared" si="57"/>
        <v>0</v>
      </c>
      <c r="AX129" s="9">
        <f t="shared" si="58"/>
        <v>0</v>
      </c>
      <c r="AY129" s="60" t="s">
        <v>190</v>
      </c>
      <c r="AZ129" s="60" t="s">
        <v>853</v>
      </c>
      <c r="BA129" s="11" t="s">
        <v>1092</v>
      </c>
      <c r="BC129" s="9">
        <f t="shared" si="59"/>
        <v>0</v>
      </c>
      <c r="BD129" s="9">
        <f t="shared" si="60"/>
        <v>0</v>
      </c>
      <c r="BE129" s="9">
        <v>0</v>
      </c>
      <c r="BF129" s="9">
        <f>129</f>
        <v>129</v>
      </c>
      <c r="BH129" s="9">
        <f t="shared" si="61"/>
        <v>0</v>
      </c>
      <c r="BI129" s="9">
        <f t="shared" si="62"/>
        <v>0</v>
      </c>
      <c r="BJ129" s="9">
        <f t="shared" si="63"/>
        <v>0</v>
      </c>
      <c r="BK129" s="9"/>
      <c r="BL129" s="9">
        <v>721</v>
      </c>
      <c r="BW129" s="9">
        <v>21</v>
      </c>
    </row>
    <row r="130" spans="1:75" ht="13.5" customHeight="1">
      <c r="A130" s="16" t="s">
        <v>763</v>
      </c>
      <c r="B130" s="32" t="s">
        <v>5</v>
      </c>
      <c r="C130" s="32" t="s">
        <v>444</v>
      </c>
      <c r="D130" s="69" t="s">
        <v>42</v>
      </c>
      <c r="E130" s="70"/>
      <c r="F130" s="32" t="s">
        <v>1026</v>
      </c>
      <c r="G130" s="9">
        <v>45.5</v>
      </c>
      <c r="H130" s="68">
        <v>0</v>
      </c>
      <c r="I130" s="9">
        <f t="shared" si="42"/>
        <v>0</v>
      </c>
      <c r="K130" s="23"/>
      <c r="Z130" s="9">
        <f t="shared" si="43"/>
        <v>0</v>
      </c>
      <c r="AB130" s="9">
        <f t="shared" si="44"/>
        <v>0</v>
      </c>
      <c r="AC130" s="9">
        <f t="shared" si="45"/>
        <v>0</v>
      </c>
      <c r="AD130" s="9">
        <f t="shared" si="46"/>
        <v>0</v>
      </c>
      <c r="AE130" s="9">
        <f t="shared" si="47"/>
        <v>0</v>
      </c>
      <c r="AF130" s="9">
        <f t="shared" si="48"/>
        <v>0</v>
      </c>
      <c r="AG130" s="9">
        <f t="shared" si="49"/>
        <v>0</v>
      </c>
      <c r="AH130" s="9">
        <f t="shared" si="50"/>
        <v>0</v>
      </c>
      <c r="AI130" s="11" t="s">
        <v>5</v>
      </c>
      <c r="AJ130" s="9">
        <f t="shared" si="51"/>
        <v>0</v>
      </c>
      <c r="AK130" s="9">
        <f t="shared" si="52"/>
        <v>0</v>
      </c>
      <c r="AL130" s="9">
        <f t="shared" si="53"/>
        <v>0</v>
      </c>
      <c r="AN130" s="9">
        <v>21</v>
      </c>
      <c r="AO130" s="9">
        <f t="shared" si="64"/>
        <v>0</v>
      </c>
      <c r="AP130" s="9">
        <f t="shared" si="65"/>
        <v>0</v>
      </c>
      <c r="AQ130" s="60" t="s">
        <v>1238</v>
      </c>
      <c r="AV130" s="9">
        <f t="shared" si="56"/>
        <v>0</v>
      </c>
      <c r="AW130" s="9">
        <f t="shared" si="57"/>
        <v>0</v>
      </c>
      <c r="AX130" s="9">
        <f t="shared" si="58"/>
        <v>0</v>
      </c>
      <c r="AY130" s="60" t="s">
        <v>190</v>
      </c>
      <c r="AZ130" s="60" t="s">
        <v>853</v>
      </c>
      <c r="BA130" s="11" t="s">
        <v>1092</v>
      </c>
      <c r="BC130" s="9">
        <f t="shared" si="59"/>
        <v>0</v>
      </c>
      <c r="BD130" s="9">
        <f t="shared" si="60"/>
        <v>0</v>
      </c>
      <c r="BE130" s="9">
        <v>0</v>
      </c>
      <c r="BF130" s="9">
        <f>130</f>
        <v>130</v>
      </c>
      <c r="BH130" s="9">
        <f t="shared" si="61"/>
        <v>0</v>
      </c>
      <c r="BI130" s="9">
        <f t="shared" si="62"/>
        <v>0</v>
      </c>
      <c r="BJ130" s="9">
        <f t="shared" si="63"/>
        <v>0</v>
      </c>
      <c r="BK130" s="9"/>
      <c r="BL130" s="9">
        <v>721</v>
      </c>
      <c r="BW130" s="9">
        <v>21</v>
      </c>
    </row>
    <row r="131" spans="1:75" ht="13.5" customHeight="1">
      <c r="A131" s="16" t="s">
        <v>1248</v>
      </c>
      <c r="B131" s="32" t="s">
        <v>5</v>
      </c>
      <c r="C131" s="32" t="s">
        <v>1229</v>
      </c>
      <c r="D131" s="69" t="s">
        <v>1376</v>
      </c>
      <c r="E131" s="70"/>
      <c r="F131" s="32" t="s">
        <v>1026</v>
      </c>
      <c r="G131" s="9">
        <v>21.5</v>
      </c>
      <c r="H131" s="68">
        <v>0</v>
      </c>
      <c r="I131" s="9">
        <f t="shared" si="42"/>
        <v>0</v>
      </c>
      <c r="K131" s="23"/>
      <c r="Z131" s="9">
        <f t="shared" si="43"/>
        <v>0</v>
      </c>
      <c r="AB131" s="9">
        <f t="shared" si="44"/>
        <v>0</v>
      </c>
      <c r="AC131" s="9">
        <f t="shared" si="45"/>
        <v>0</v>
      </c>
      <c r="AD131" s="9">
        <f t="shared" si="46"/>
        <v>0</v>
      </c>
      <c r="AE131" s="9">
        <f t="shared" si="47"/>
        <v>0</v>
      </c>
      <c r="AF131" s="9">
        <f t="shared" si="48"/>
        <v>0</v>
      </c>
      <c r="AG131" s="9">
        <f t="shared" si="49"/>
        <v>0</v>
      </c>
      <c r="AH131" s="9">
        <f t="shared" si="50"/>
        <v>0</v>
      </c>
      <c r="AI131" s="11" t="s">
        <v>5</v>
      </c>
      <c r="AJ131" s="9">
        <f t="shared" si="51"/>
        <v>0</v>
      </c>
      <c r="AK131" s="9">
        <f t="shared" si="52"/>
        <v>0</v>
      </c>
      <c r="AL131" s="9">
        <f t="shared" si="53"/>
        <v>0</v>
      </c>
      <c r="AN131" s="9">
        <v>21</v>
      </c>
      <c r="AO131" s="9">
        <f t="shared" si="64"/>
        <v>0</v>
      </c>
      <c r="AP131" s="9">
        <f t="shared" si="65"/>
        <v>0</v>
      </c>
      <c r="AQ131" s="60" t="s">
        <v>1238</v>
      </c>
      <c r="AV131" s="9">
        <f t="shared" si="56"/>
        <v>0</v>
      </c>
      <c r="AW131" s="9">
        <f t="shared" si="57"/>
        <v>0</v>
      </c>
      <c r="AX131" s="9">
        <f t="shared" si="58"/>
        <v>0</v>
      </c>
      <c r="AY131" s="60" t="s">
        <v>190</v>
      </c>
      <c r="AZ131" s="60" t="s">
        <v>853</v>
      </c>
      <c r="BA131" s="11" t="s">
        <v>1092</v>
      </c>
      <c r="BC131" s="9">
        <f t="shared" si="59"/>
        <v>0</v>
      </c>
      <c r="BD131" s="9">
        <f t="shared" si="60"/>
        <v>0</v>
      </c>
      <c r="BE131" s="9">
        <v>0</v>
      </c>
      <c r="BF131" s="9">
        <f>131</f>
        <v>131</v>
      </c>
      <c r="BH131" s="9">
        <f t="shared" si="61"/>
        <v>0</v>
      </c>
      <c r="BI131" s="9">
        <f t="shared" si="62"/>
        <v>0</v>
      </c>
      <c r="BJ131" s="9">
        <f t="shared" si="63"/>
        <v>0</v>
      </c>
      <c r="BK131" s="9"/>
      <c r="BL131" s="9">
        <v>721</v>
      </c>
      <c r="BW131" s="9">
        <v>21</v>
      </c>
    </row>
    <row r="132" spans="1:75" ht="13.5" customHeight="1">
      <c r="A132" s="16" t="s">
        <v>1137</v>
      </c>
      <c r="B132" s="32" t="s">
        <v>5</v>
      </c>
      <c r="C132" s="32" t="s">
        <v>880</v>
      </c>
      <c r="D132" s="69" t="s">
        <v>738</v>
      </c>
      <c r="E132" s="70"/>
      <c r="F132" s="32" t="s">
        <v>1026</v>
      </c>
      <c r="G132" s="9">
        <v>94.5</v>
      </c>
      <c r="H132" s="68">
        <v>0</v>
      </c>
      <c r="I132" s="9">
        <f t="shared" si="42"/>
        <v>0</v>
      </c>
      <c r="K132" s="23"/>
      <c r="Z132" s="9">
        <f t="shared" si="43"/>
        <v>0</v>
      </c>
      <c r="AB132" s="9">
        <f t="shared" si="44"/>
        <v>0</v>
      </c>
      <c r="AC132" s="9">
        <f t="shared" si="45"/>
        <v>0</v>
      </c>
      <c r="AD132" s="9">
        <f t="shared" si="46"/>
        <v>0</v>
      </c>
      <c r="AE132" s="9">
        <f t="shared" si="47"/>
        <v>0</v>
      </c>
      <c r="AF132" s="9">
        <f t="shared" si="48"/>
        <v>0</v>
      </c>
      <c r="AG132" s="9">
        <f t="shared" si="49"/>
        <v>0</v>
      </c>
      <c r="AH132" s="9">
        <f t="shared" si="50"/>
        <v>0</v>
      </c>
      <c r="AI132" s="11" t="s">
        <v>5</v>
      </c>
      <c r="AJ132" s="9">
        <f t="shared" si="51"/>
        <v>0</v>
      </c>
      <c r="AK132" s="9">
        <f t="shared" si="52"/>
        <v>0</v>
      </c>
      <c r="AL132" s="9">
        <f t="shared" si="53"/>
        <v>0</v>
      </c>
      <c r="AN132" s="9">
        <v>21</v>
      </c>
      <c r="AO132" s="9">
        <f t="shared" si="64"/>
        <v>0</v>
      </c>
      <c r="AP132" s="9">
        <f t="shared" si="65"/>
        <v>0</v>
      </c>
      <c r="AQ132" s="60" t="s">
        <v>1238</v>
      </c>
      <c r="AV132" s="9">
        <f t="shared" si="56"/>
        <v>0</v>
      </c>
      <c r="AW132" s="9">
        <f t="shared" si="57"/>
        <v>0</v>
      </c>
      <c r="AX132" s="9">
        <f t="shared" si="58"/>
        <v>0</v>
      </c>
      <c r="AY132" s="60" t="s">
        <v>190</v>
      </c>
      <c r="AZ132" s="60" t="s">
        <v>853</v>
      </c>
      <c r="BA132" s="11" t="s">
        <v>1092</v>
      </c>
      <c r="BC132" s="9">
        <f t="shared" si="59"/>
        <v>0</v>
      </c>
      <c r="BD132" s="9">
        <f t="shared" si="60"/>
        <v>0</v>
      </c>
      <c r="BE132" s="9">
        <v>0</v>
      </c>
      <c r="BF132" s="9">
        <f>132</f>
        <v>132</v>
      </c>
      <c r="BH132" s="9">
        <f t="shared" si="61"/>
        <v>0</v>
      </c>
      <c r="BI132" s="9">
        <f t="shared" si="62"/>
        <v>0</v>
      </c>
      <c r="BJ132" s="9">
        <f t="shared" si="63"/>
        <v>0</v>
      </c>
      <c r="BK132" s="9"/>
      <c r="BL132" s="9">
        <v>721</v>
      </c>
      <c r="BW132" s="9">
        <v>21</v>
      </c>
    </row>
    <row r="133" spans="1:75" ht="13.5" customHeight="1">
      <c r="A133" s="16" t="s">
        <v>825</v>
      </c>
      <c r="B133" s="32" t="s">
        <v>5</v>
      </c>
      <c r="C133" s="32" t="s">
        <v>469</v>
      </c>
      <c r="D133" s="69" t="s">
        <v>1193</v>
      </c>
      <c r="E133" s="70"/>
      <c r="F133" s="32" t="s">
        <v>1026</v>
      </c>
      <c r="G133" s="9">
        <v>4</v>
      </c>
      <c r="H133" s="68">
        <v>0</v>
      </c>
      <c r="I133" s="9">
        <f t="shared" si="42"/>
        <v>0</v>
      </c>
      <c r="K133" s="23"/>
      <c r="Z133" s="9">
        <f t="shared" si="43"/>
        <v>0</v>
      </c>
      <c r="AB133" s="9">
        <f t="shared" si="44"/>
        <v>0</v>
      </c>
      <c r="AC133" s="9">
        <f t="shared" si="45"/>
        <v>0</v>
      </c>
      <c r="AD133" s="9">
        <f t="shared" si="46"/>
        <v>0</v>
      </c>
      <c r="AE133" s="9">
        <f t="shared" si="47"/>
        <v>0</v>
      </c>
      <c r="AF133" s="9">
        <f t="shared" si="48"/>
        <v>0</v>
      </c>
      <c r="AG133" s="9">
        <f t="shared" si="49"/>
        <v>0</v>
      </c>
      <c r="AH133" s="9">
        <f t="shared" si="50"/>
        <v>0</v>
      </c>
      <c r="AI133" s="11" t="s">
        <v>5</v>
      </c>
      <c r="AJ133" s="9">
        <f t="shared" si="51"/>
        <v>0</v>
      </c>
      <c r="AK133" s="9">
        <f t="shared" si="52"/>
        <v>0</v>
      </c>
      <c r="AL133" s="9">
        <f t="shared" si="53"/>
        <v>0</v>
      </c>
      <c r="AN133" s="9">
        <v>21</v>
      </c>
      <c r="AO133" s="9">
        <f t="shared" si="64"/>
        <v>0</v>
      </c>
      <c r="AP133" s="9">
        <f t="shared" si="65"/>
        <v>0</v>
      </c>
      <c r="AQ133" s="60" t="s">
        <v>1238</v>
      </c>
      <c r="AV133" s="9">
        <f t="shared" si="56"/>
        <v>0</v>
      </c>
      <c r="AW133" s="9">
        <f t="shared" si="57"/>
        <v>0</v>
      </c>
      <c r="AX133" s="9">
        <f t="shared" si="58"/>
        <v>0</v>
      </c>
      <c r="AY133" s="60" t="s">
        <v>190</v>
      </c>
      <c r="AZ133" s="60" t="s">
        <v>853</v>
      </c>
      <c r="BA133" s="11" t="s">
        <v>1092</v>
      </c>
      <c r="BC133" s="9">
        <f t="shared" si="59"/>
        <v>0</v>
      </c>
      <c r="BD133" s="9">
        <f t="shared" si="60"/>
        <v>0</v>
      </c>
      <c r="BE133" s="9">
        <v>0</v>
      </c>
      <c r="BF133" s="9">
        <f>133</f>
        <v>133</v>
      </c>
      <c r="BH133" s="9">
        <f t="shared" si="61"/>
        <v>0</v>
      </c>
      <c r="BI133" s="9">
        <f t="shared" si="62"/>
        <v>0</v>
      </c>
      <c r="BJ133" s="9">
        <f t="shared" si="63"/>
        <v>0</v>
      </c>
      <c r="BK133" s="9"/>
      <c r="BL133" s="9">
        <v>721</v>
      </c>
      <c r="BW133" s="9">
        <v>21</v>
      </c>
    </row>
    <row r="134" spans="1:75" ht="13.5" customHeight="1">
      <c r="A134" s="16" t="s">
        <v>644</v>
      </c>
      <c r="B134" s="32" t="s">
        <v>5</v>
      </c>
      <c r="C134" s="32" t="s">
        <v>834</v>
      </c>
      <c r="D134" s="69" t="s">
        <v>539</v>
      </c>
      <c r="E134" s="70"/>
      <c r="F134" s="32" t="s">
        <v>861</v>
      </c>
      <c r="G134" s="9">
        <v>58</v>
      </c>
      <c r="H134" s="68">
        <v>0</v>
      </c>
      <c r="I134" s="9">
        <f t="shared" si="42"/>
        <v>0</v>
      </c>
      <c r="K134" s="23"/>
      <c r="Z134" s="9">
        <f t="shared" si="43"/>
        <v>0</v>
      </c>
      <c r="AB134" s="9">
        <f t="shared" si="44"/>
        <v>0</v>
      </c>
      <c r="AC134" s="9">
        <f t="shared" si="45"/>
        <v>0</v>
      </c>
      <c r="AD134" s="9">
        <f t="shared" si="46"/>
        <v>0</v>
      </c>
      <c r="AE134" s="9">
        <f t="shared" si="47"/>
        <v>0</v>
      </c>
      <c r="AF134" s="9">
        <f t="shared" si="48"/>
        <v>0</v>
      </c>
      <c r="AG134" s="9">
        <f t="shared" si="49"/>
        <v>0</v>
      </c>
      <c r="AH134" s="9">
        <f t="shared" si="50"/>
        <v>0</v>
      </c>
      <c r="AI134" s="11" t="s">
        <v>5</v>
      </c>
      <c r="AJ134" s="9">
        <f t="shared" si="51"/>
        <v>0</v>
      </c>
      <c r="AK134" s="9">
        <f t="shared" si="52"/>
        <v>0</v>
      </c>
      <c r="AL134" s="9">
        <f t="shared" si="53"/>
        <v>0</v>
      </c>
      <c r="AN134" s="9">
        <v>21</v>
      </c>
      <c r="AO134" s="9">
        <f t="shared" si="64"/>
        <v>0</v>
      </c>
      <c r="AP134" s="9">
        <f t="shared" si="65"/>
        <v>0</v>
      </c>
      <c r="AQ134" s="60" t="s">
        <v>1238</v>
      </c>
      <c r="AV134" s="9">
        <f t="shared" si="56"/>
        <v>0</v>
      </c>
      <c r="AW134" s="9">
        <f t="shared" si="57"/>
        <v>0</v>
      </c>
      <c r="AX134" s="9">
        <f t="shared" si="58"/>
        <v>0</v>
      </c>
      <c r="AY134" s="60" t="s">
        <v>190</v>
      </c>
      <c r="AZ134" s="60" t="s">
        <v>853</v>
      </c>
      <c r="BA134" s="11" t="s">
        <v>1092</v>
      </c>
      <c r="BC134" s="9">
        <f t="shared" si="59"/>
        <v>0</v>
      </c>
      <c r="BD134" s="9">
        <f t="shared" si="60"/>
        <v>0</v>
      </c>
      <c r="BE134" s="9">
        <v>0</v>
      </c>
      <c r="BF134" s="9">
        <f>134</f>
        <v>134</v>
      </c>
      <c r="BH134" s="9">
        <f t="shared" si="61"/>
        <v>0</v>
      </c>
      <c r="BI134" s="9">
        <f t="shared" si="62"/>
        <v>0</v>
      </c>
      <c r="BJ134" s="9">
        <f t="shared" si="63"/>
        <v>0</v>
      </c>
      <c r="BK134" s="9"/>
      <c r="BL134" s="9">
        <v>721</v>
      </c>
      <c r="BW134" s="9">
        <v>21</v>
      </c>
    </row>
    <row r="135" spans="1:75" ht="13.5" customHeight="1">
      <c r="A135" s="16" t="s">
        <v>290</v>
      </c>
      <c r="B135" s="32" t="s">
        <v>5</v>
      </c>
      <c r="C135" s="32" t="s">
        <v>1237</v>
      </c>
      <c r="D135" s="69" t="s">
        <v>509</v>
      </c>
      <c r="E135" s="70"/>
      <c r="F135" s="32" t="s">
        <v>861</v>
      </c>
      <c r="G135" s="9">
        <v>2</v>
      </c>
      <c r="H135" s="68">
        <v>0</v>
      </c>
      <c r="I135" s="9">
        <f t="shared" si="42"/>
        <v>0</v>
      </c>
      <c r="K135" s="23"/>
      <c r="Z135" s="9">
        <f t="shared" si="43"/>
        <v>0</v>
      </c>
      <c r="AB135" s="9">
        <f t="shared" si="44"/>
        <v>0</v>
      </c>
      <c r="AC135" s="9">
        <f t="shared" si="45"/>
        <v>0</v>
      </c>
      <c r="AD135" s="9">
        <f t="shared" si="46"/>
        <v>0</v>
      </c>
      <c r="AE135" s="9">
        <f t="shared" si="47"/>
        <v>0</v>
      </c>
      <c r="AF135" s="9">
        <f t="shared" si="48"/>
        <v>0</v>
      </c>
      <c r="AG135" s="9">
        <f t="shared" si="49"/>
        <v>0</v>
      </c>
      <c r="AH135" s="9">
        <f t="shared" si="50"/>
        <v>0</v>
      </c>
      <c r="AI135" s="11" t="s">
        <v>5</v>
      </c>
      <c r="AJ135" s="9">
        <f t="shared" si="51"/>
        <v>0</v>
      </c>
      <c r="AK135" s="9">
        <f t="shared" si="52"/>
        <v>0</v>
      </c>
      <c r="AL135" s="9">
        <f t="shared" si="53"/>
        <v>0</v>
      </c>
      <c r="AN135" s="9">
        <v>21</v>
      </c>
      <c r="AO135" s="9">
        <f t="shared" si="64"/>
        <v>0</v>
      </c>
      <c r="AP135" s="9">
        <f t="shared" si="65"/>
        <v>0</v>
      </c>
      <c r="AQ135" s="60" t="s">
        <v>1238</v>
      </c>
      <c r="AV135" s="9">
        <f t="shared" si="56"/>
        <v>0</v>
      </c>
      <c r="AW135" s="9">
        <f t="shared" si="57"/>
        <v>0</v>
      </c>
      <c r="AX135" s="9">
        <f t="shared" si="58"/>
        <v>0</v>
      </c>
      <c r="AY135" s="60" t="s">
        <v>190</v>
      </c>
      <c r="AZ135" s="60" t="s">
        <v>853</v>
      </c>
      <c r="BA135" s="11" t="s">
        <v>1092</v>
      </c>
      <c r="BC135" s="9">
        <f t="shared" si="59"/>
        <v>0</v>
      </c>
      <c r="BD135" s="9">
        <f t="shared" si="60"/>
        <v>0</v>
      </c>
      <c r="BE135" s="9">
        <v>0</v>
      </c>
      <c r="BF135" s="9">
        <f>135</f>
        <v>135</v>
      </c>
      <c r="BH135" s="9">
        <f t="shared" si="61"/>
        <v>0</v>
      </c>
      <c r="BI135" s="9">
        <f t="shared" si="62"/>
        <v>0</v>
      </c>
      <c r="BJ135" s="9">
        <f t="shared" si="63"/>
        <v>0</v>
      </c>
      <c r="BK135" s="9"/>
      <c r="BL135" s="9">
        <v>721</v>
      </c>
      <c r="BW135" s="9">
        <v>21</v>
      </c>
    </row>
    <row r="136" spans="1:75" ht="13.5" customHeight="1">
      <c r="A136" s="16" t="s">
        <v>108</v>
      </c>
      <c r="B136" s="32" t="s">
        <v>5</v>
      </c>
      <c r="C136" s="32" t="s">
        <v>1273</v>
      </c>
      <c r="D136" s="69" t="s">
        <v>135</v>
      </c>
      <c r="E136" s="70"/>
      <c r="F136" s="32" t="s">
        <v>861</v>
      </c>
      <c r="G136" s="9">
        <v>9</v>
      </c>
      <c r="H136" s="68">
        <v>0</v>
      </c>
      <c r="I136" s="9">
        <f t="shared" si="42"/>
        <v>0</v>
      </c>
      <c r="K136" s="23"/>
      <c r="Z136" s="9">
        <f t="shared" si="43"/>
        <v>0</v>
      </c>
      <c r="AB136" s="9">
        <f t="shared" si="44"/>
        <v>0</v>
      </c>
      <c r="AC136" s="9">
        <f t="shared" si="45"/>
        <v>0</v>
      </c>
      <c r="AD136" s="9">
        <f t="shared" si="46"/>
        <v>0</v>
      </c>
      <c r="AE136" s="9">
        <f t="shared" si="47"/>
        <v>0</v>
      </c>
      <c r="AF136" s="9">
        <f t="shared" si="48"/>
        <v>0</v>
      </c>
      <c r="AG136" s="9">
        <f t="shared" si="49"/>
        <v>0</v>
      </c>
      <c r="AH136" s="9">
        <f t="shared" si="50"/>
        <v>0</v>
      </c>
      <c r="AI136" s="11" t="s">
        <v>5</v>
      </c>
      <c r="AJ136" s="9">
        <f t="shared" si="51"/>
        <v>0</v>
      </c>
      <c r="AK136" s="9">
        <f t="shared" si="52"/>
        <v>0</v>
      </c>
      <c r="AL136" s="9">
        <f t="shared" si="53"/>
        <v>0</v>
      </c>
      <c r="AN136" s="9">
        <v>21</v>
      </c>
      <c r="AO136" s="9">
        <f t="shared" si="64"/>
        <v>0</v>
      </c>
      <c r="AP136" s="9">
        <f t="shared" si="65"/>
        <v>0</v>
      </c>
      <c r="AQ136" s="60" t="s">
        <v>1238</v>
      </c>
      <c r="AV136" s="9">
        <f t="shared" si="56"/>
        <v>0</v>
      </c>
      <c r="AW136" s="9">
        <f t="shared" si="57"/>
        <v>0</v>
      </c>
      <c r="AX136" s="9">
        <f t="shared" si="58"/>
        <v>0</v>
      </c>
      <c r="AY136" s="60" t="s">
        <v>190</v>
      </c>
      <c r="AZ136" s="60" t="s">
        <v>853</v>
      </c>
      <c r="BA136" s="11" t="s">
        <v>1092</v>
      </c>
      <c r="BC136" s="9">
        <f t="shared" si="59"/>
        <v>0</v>
      </c>
      <c r="BD136" s="9">
        <f t="shared" si="60"/>
        <v>0</v>
      </c>
      <c r="BE136" s="9">
        <v>0</v>
      </c>
      <c r="BF136" s="9">
        <f>136</f>
        <v>136</v>
      </c>
      <c r="BH136" s="9">
        <f t="shared" si="61"/>
        <v>0</v>
      </c>
      <c r="BI136" s="9">
        <f t="shared" si="62"/>
        <v>0</v>
      </c>
      <c r="BJ136" s="9">
        <f t="shared" si="63"/>
        <v>0</v>
      </c>
      <c r="BK136" s="9"/>
      <c r="BL136" s="9">
        <v>721</v>
      </c>
      <c r="BW136" s="9">
        <v>21</v>
      </c>
    </row>
    <row r="137" spans="1:75" ht="13.5" customHeight="1">
      <c r="A137" s="16" t="s">
        <v>1212</v>
      </c>
      <c r="B137" s="32" t="s">
        <v>5</v>
      </c>
      <c r="C137" s="32" t="s">
        <v>236</v>
      </c>
      <c r="D137" s="69" t="s">
        <v>563</v>
      </c>
      <c r="E137" s="70"/>
      <c r="F137" s="32" t="s">
        <v>861</v>
      </c>
      <c r="G137" s="9">
        <v>11</v>
      </c>
      <c r="H137" s="68">
        <v>0</v>
      </c>
      <c r="I137" s="9">
        <f t="shared" si="42"/>
        <v>0</v>
      </c>
      <c r="K137" s="23"/>
      <c r="Z137" s="9">
        <f t="shared" si="43"/>
        <v>0</v>
      </c>
      <c r="AB137" s="9">
        <f t="shared" si="44"/>
        <v>0</v>
      </c>
      <c r="AC137" s="9">
        <f t="shared" si="45"/>
        <v>0</v>
      </c>
      <c r="AD137" s="9">
        <f t="shared" si="46"/>
        <v>0</v>
      </c>
      <c r="AE137" s="9">
        <f t="shared" si="47"/>
        <v>0</v>
      </c>
      <c r="AF137" s="9">
        <f t="shared" si="48"/>
        <v>0</v>
      </c>
      <c r="AG137" s="9">
        <f t="shared" si="49"/>
        <v>0</v>
      </c>
      <c r="AH137" s="9">
        <f t="shared" si="50"/>
        <v>0</v>
      </c>
      <c r="AI137" s="11" t="s">
        <v>5</v>
      </c>
      <c r="AJ137" s="9">
        <f t="shared" si="51"/>
        <v>0</v>
      </c>
      <c r="AK137" s="9">
        <f t="shared" si="52"/>
        <v>0</v>
      </c>
      <c r="AL137" s="9">
        <f t="shared" si="53"/>
        <v>0</v>
      </c>
      <c r="AN137" s="9">
        <v>21</v>
      </c>
      <c r="AO137" s="9">
        <f t="shared" si="64"/>
        <v>0</v>
      </c>
      <c r="AP137" s="9">
        <f t="shared" si="65"/>
        <v>0</v>
      </c>
      <c r="AQ137" s="60" t="s">
        <v>1238</v>
      </c>
      <c r="AV137" s="9">
        <f t="shared" si="56"/>
        <v>0</v>
      </c>
      <c r="AW137" s="9">
        <f t="shared" si="57"/>
        <v>0</v>
      </c>
      <c r="AX137" s="9">
        <f t="shared" si="58"/>
        <v>0</v>
      </c>
      <c r="AY137" s="60" t="s">
        <v>190</v>
      </c>
      <c r="AZ137" s="60" t="s">
        <v>853</v>
      </c>
      <c r="BA137" s="11" t="s">
        <v>1092</v>
      </c>
      <c r="BC137" s="9">
        <f t="shared" si="59"/>
        <v>0</v>
      </c>
      <c r="BD137" s="9">
        <f t="shared" si="60"/>
        <v>0</v>
      </c>
      <c r="BE137" s="9">
        <v>0</v>
      </c>
      <c r="BF137" s="9">
        <f>137</f>
        <v>137</v>
      </c>
      <c r="BH137" s="9">
        <f t="shared" si="61"/>
        <v>0</v>
      </c>
      <c r="BI137" s="9">
        <f t="shared" si="62"/>
        <v>0</v>
      </c>
      <c r="BJ137" s="9">
        <f t="shared" si="63"/>
        <v>0</v>
      </c>
      <c r="BK137" s="9"/>
      <c r="BL137" s="9">
        <v>721</v>
      </c>
      <c r="BW137" s="9">
        <v>21</v>
      </c>
    </row>
    <row r="138" spans="1:75" ht="13.5" customHeight="1">
      <c r="A138" s="16" t="s">
        <v>214</v>
      </c>
      <c r="B138" s="32" t="s">
        <v>5</v>
      </c>
      <c r="C138" s="32" t="s">
        <v>1309</v>
      </c>
      <c r="D138" s="69" t="s">
        <v>1111</v>
      </c>
      <c r="E138" s="70"/>
      <c r="F138" s="32" t="s">
        <v>861</v>
      </c>
      <c r="G138" s="9">
        <v>22</v>
      </c>
      <c r="H138" s="68">
        <v>0</v>
      </c>
      <c r="I138" s="9">
        <f t="shared" si="42"/>
        <v>0</v>
      </c>
      <c r="K138" s="23"/>
      <c r="Z138" s="9">
        <f t="shared" si="43"/>
        <v>0</v>
      </c>
      <c r="AB138" s="9">
        <f t="shared" si="44"/>
        <v>0</v>
      </c>
      <c r="AC138" s="9">
        <f t="shared" si="45"/>
        <v>0</v>
      </c>
      <c r="AD138" s="9">
        <f t="shared" si="46"/>
        <v>0</v>
      </c>
      <c r="AE138" s="9">
        <f t="shared" si="47"/>
        <v>0</v>
      </c>
      <c r="AF138" s="9">
        <f t="shared" si="48"/>
        <v>0</v>
      </c>
      <c r="AG138" s="9">
        <f t="shared" si="49"/>
        <v>0</v>
      </c>
      <c r="AH138" s="9">
        <f t="shared" si="50"/>
        <v>0</v>
      </c>
      <c r="AI138" s="11" t="s">
        <v>5</v>
      </c>
      <c r="AJ138" s="9">
        <f t="shared" si="51"/>
        <v>0</v>
      </c>
      <c r="AK138" s="9">
        <f t="shared" si="52"/>
        <v>0</v>
      </c>
      <c r="AL138" s="9">
        <f t="shared" si="53"/>
        <v>0</v>
      </c>
      <c r="AN138" s="9">
        <v>21</v>
      </c>
      <c r="AO138" s="9">
        <f t="shared" si="64"/>
        <v>0</v>
      </c>
      <c r="AP138" s="9">
        <f t="shared" si="65"/>
        <v>0</v>
      </c>
      <c r="AQ138" s="60" t="s">
        <v>1238</v>
      </c>
      <c r="AV138" s="9">
        <f t="shared" si="56"/>
        <v>0</v>
      </c>
      <c r="AW138" s="9">
        <f t="shared" si="57"/>
        <v>0</v>
      </c>
      <c r="AX138" s="9">
        <f t="shared" si="58"/>
        <v>0</v>
      </c>
      <c r="AY138" s="60" t="s">
        <v>190</v>
      </c>
      <c r="AZ138" s="60" t="s">
        <v>853</v>
      </c>
      <c r="BA138" s="11" t="s">
        <v>1092</v>
      </c>
      <c r="BC138" s="9">
        <f t="shared" si="59"/>
        <v>0</v>
      </c>
      <c r="BD138" s="9">
        <f t="shared" si="60"/>
        <v>0</v>
      </c>
      <c r="BE138" s="9">
        <v>0</v>
      </c>
      <c r="BF138" s="9">
        <f>138</f>
        <v>138</v>
      </c>
      <c r="BH138" s="9">
        <f t="shared" si="61"/>
        <v>0</v>
      </c>
      <c r="BI138" s="9">
        <f t="shared" si="62"/>
        <v>0</v>
      </c>
      <c r="BJ138" s="9">
        <f t="shared" si="63"/>
        <v>0</v>
      </c>
      <c r="BK138" s="9"/>
      <c r="BL138" s="9">
        <v>721</v>
      </c>
      <c r="BW138" s="9">
        <v>21</v>
      </c>
    </row>
    <row r="139" spans="1:75" ht="27" customHeight="1">
      <c r="A139" s="16" t="s">
        <v>233</v>
      </c>
      <c r="B139" s="32" t="s">
        <v>5</v>
      </c>
      <c r="C139" s="32" t="s">
        <v>1424</v>
      </c>
      <c r="D139" s="69" t="s">
        <v>972</v>
      </c>
      <c r="E139" s="70"/>
      <c r="F139" s="32" t="s">
        <v>861</v>
      </c>
      <c r="G139" s="9">
        <v>2</v>
      </c>
      <c r="H139" s="68">
        <v>0</v>
      </c>
      <c r="I139" s="9">
        <f t="shared" si="42"/>
        <v>0</v>
      </c>
      <c r="K139" s="23"/>
      <c r="Z139" s="9">
        <f t="shared" si="43"/>
        <v>0</v>
      </c>
      <c r="AB139" s="9">
        <f t="shared" si="44"/>
        <v>0</v>
      </c>
      <c r="AC139" s="9">
        <f t="shared" si="45"/>
        <v>0</v>
      </c>
      <c r="AD139" s="9">
        <f t="shared" si="46"/>
        <v>0</v>
      </c>
      <c r="AE139" s="9">
        <f t="shared" si="47"/>
        <v>0</v>
      </c>
      <c r="AF139" s="9">
        <f t="shared" si="48"/>
        <v>0</v>
      </c>
      <c r="AG139" s="9">
        <f t="shared" si="49"/>
        <v>0</v>
      </c>
      <c r="AH139" s="9">
        <f t="shared" si="50"/>
        <v>0</v>
      </c>
      <c r="AI139" s="11" t="s">
        <v>5</v>
      </c>
      <c r="AJ139" s="9">
        <f t="shared" si="51"/>
        <v>0</v>
      </c>
      <c r="AK139" s="9">
        <f t="shared" si="52"/>
        <v>0</v>
      </c>
      <c r="AL139" s="9">
        <f t="shared" si="53"/>
        <v>0</v>
      </c>
      <c r="AN139" s="9">
        <v>21</v>
      </c>
      <c r="AO139" s="9">
        <f t="shared" si="64"/>
        <v>0</v>
      </c>
      <c r="AP139" s="9">
        <f t="shared" si="65"/>
        <v>0</v>
      </c>
      <c r="AQ139" s="60" t="s">
        <v>1238</v>
      </c>
      <c r="AV139" s="9">
        <f t="shared" si="56"/>
        <v>0</v>
      </c>
      <c r="AW139" s="9">
        <f t="shared" si="57"/>
        <v>0</v>
      </c>
      <c r="AX139" s="9">
        <f t="shared" si="58"/>
        <v>0</v>
      </c>
      <c r="AY139" s="60" t="s">
        <v>190</v>
      </c>
      <c r="AZ139" s="60" t="s">
        <v>853</v>
      </c>
      <c r="BA139" s="11" t="s">
        <v>1092</v>
      </c>
      <c r="BC139" s="9">
        <f t="shared" si="59"/>
        <v>0</v>
      </c>
      <c r="BD139" s="9">
        <f t="shared" si="60"/>
        <v>0</v>
      </c>
      <c r="BE139" s="9">
        <v>0</v>
      </c>
      <c r="BF139" s="9">
        <f>139</f>
        <v>139</v>
      </c>
      <c r="BH139" s="9">
        <f t="shared" si="61"/>
        <v>0</v>
      </c>
      <c r="BI139" s="9">
        <f t="shared" si="62"/>
        <v>0</v>
      </c>
      <c r="BJ139" s="9">
        <f t="shared" si="63"/>
        <v>0</v>
      </c>
      <c r="BK139" s="9"/>
      <c r="BL139" s="9">
        <v>721</v>
      </c>
      <c r="BW139" s="9">
        <v>21</v>
      </c>
    </row>
    <row r="140" spans="1:75" ht="13.5" customHeight="1">
      <c r="A140" s="16" t="s">
        <v>1266</v>
      </c>
      <c r="B140" s="32" t="s">
        <v>5</v>
      </c>
      <c r="C140" s="32" t="s">
        <v>201</v>
      </c>
      <c r="D140" s="69" t="s">
        <v>131</v>
      </c>
      <c r="E140" s="70"/>
      <c r="F140" s="32" t="s">
        <v>861</v>
      </c>
      <c r="G140" s="9">
        <v>12</v>
      </c>
      <c r="H140" s="68">
        <v>0</v>
      </c>
      <c r="I140" s="9">
        <f t="shared" si="42"/>
        <v>0</v>
      </c>
      <c r="K140" s="23"/>
      <c r="Z140" s="9">
        <f t="shared" si="43"/>
        <v>0</v>
      </c>
      <c r="AB140" s="9">
        <f t="shared" si="44"/>
        <v>0</v>
      </c>
      <c r="AC140" s="9">
        <f t="shared" si="45"/>
        <v>0</v>
      </c>
      <c r="AD140" s="9">
        <f t="shared" si="46"/>
        <v>0</v>
      </c>
      <c r="AE140" s="9">
        <f t="shared" si="47"/>
        <v>0</v>
      </c>
      <c r="AF140" s="9">
        <f t="shared" si="48"/>
        <v>0</v>
      </c>
      <c r="AG140" s="9">
        <f t="shared" si="49"/>
        <v>0</v>
      </c>
      <c r="AH140" s="9">
        <f t="shared" si="50"/>
        <v>0</v>
      </c>
      <c r="AI140" s="11" t="s">
        <v>5</v>
      </c>
      <c r="AJ140" s="9">
        <f t="shared" si="51"/>
        <v>0</v>
      </c>
      <c r="AK140" s="9">
        <f t="shared" si="52"/>
        <v>0</v>
      </c>
      <c r="AL140" s="9">
        <f t="shared" si="53"/>
        <v>0</v>
      </c>
      <c r="AN140" s="9">
        <v>21</v>
      </c>
      <c r="AO140" s="9">
        <f t="shared" si="64"/>
        <v>0</v>
      </c>
      <c r="AP140" s="9">
        <f t="shared" si="65"/>
        <v>0</v>
      </c>
      <c r="AQ140" s="60" t="s">
        <v>1238</v>
      </c>
      <c r="AV140" s="9">
        <f t="shared" si="56"/>
        <v>0</v>
      </c>
      <c r="AW140" s="9">
        <f t="shared" si="57"/>
        <v>0</v>
      </c>
      <c r="AX140" s="9">
        <f t="shared" si="58"/>
        <v>0</v>
      </c>
      <c r="AY140" s="60" t="s">
        <v>190</v>
      </c>
      <c r="AZ140" s="60" t="s">
        <v>853</v>
      </c>
      <c r="BA140" s="11" t="s">
        <v>1092</v>
      </c>
      <c r="BC140" s="9">
        <f t="shared" si="59"/>
        <v>0</v>
      </c>
      <c r="BD140" s="9">
        <f t="shared" si="60"/>
        <v>0</v>
      </c>
      <c r="BE140" s="9">
        <v>0</v>
      </c>
      <c r="BF140" s="9">
        <f>140</f>
        <v>140</v>
      </c>
      <c r="BH140" s="9">
        <f t="shared" si="61"/>
        <v>0</v>
      </c>
      <c r="BI140" s="9">
        <f t="shared" si="62"/>
        <v>0</v>
      </c>
      <c r="BJ140" s="9">
        <f t="shared" si="63"/>
        <v>0</v>
      </c>
      <c r="BK140" s="9"/>
      <c r="BL140" s="9">
        <v>721</v>
      </c>
      <c r="BW140" s="9">
        <v>21</v>
      </c>
    </row>
    <row r="141" spans="1:75" ht="13.5" customHeight="1">
      <c r="A141" s="16" t="s">
        <v>729</v>
      </c>
      <c r="B141" s="32" t="s">
        <v>5</v>
      </c>
      <c r="C141" s="32" t="s">
        <v>803</v>
      </c>
      <c r="D141" s="69" t="s">
        <v>1029</v>
      </c>
      <c r="E141" s="70"/>
      <c r="F141" s="32" t="s">
        <v>861</v>
      </c>
      <c r="G141" s="9">
        <v>2</v>
      </c>
      <c r="H141" s="68">
        <v>0</v>
      </c>
      <c r="I141" s="9">
        <f t="shared" si="42"/>
        <v>0</v>
      </c>
      <c r="K141" s="23"/>
      <c r="Z141" s="9">
        <f t="shared" si="43"/>
        <v>0</v>
      </c>
      <c r="AB141" s="9">
        <f t="shared" si="44"/>
        <v>0</v>
      </c>
      <c r="AC141" s="9">
        <f t="shared" si="45"/>
        <v>0</v>
      </c>
      <c r="AD141" s="9">
        <f t="shared" si="46"/>
        <v>0</v>
      </c>
      <c r="AE141" s="9">
        <f t="shared" si="47"/>
        <v>0</v>
      </c>
      <c r="AF141" s="9">
        <f t="shared" si="48"/>
        <v>0</v>
      </c>
      <c r="AG141" s="9">
        <f t="shared" si="49"/>
        <v>0</v>
      </c>
      <c r="AH141" s="9">
        <f t="shared" si="50"/>
        <v>0</v>
      </c>
      <c r="AI141" s="11" t="s">
        <v>5</v>
      </c>
      <c r="AJ141" s="9">
        <f t="shared" si="51"/>
        <v>0</v>
      </c>
      <c r="AK141" s="9">
        <f t="shared" si="52"/>
        <v>0</v>
      </c>
      <c r="AL141" s="9">
        <f t="shared" si="53"/>
        <v>0</v>
      </c>
      <c r="AN141" s="9">
        <v>21</v>
      </c>
      <c r="AO141" s="9">
        <f t="shared" si="64"/>
        <v>0</v>
      </c>
      <c r="AP141" s="9">
        <f t="shared" si="65"/>
        <v>0</v>
      </c>
      <c r="AQ141" s="60" t="s">
        <v>1238</v>
      </c>
      <c r="AV141" s="9">
        <f t="shared" si="56"/>
        <v>0</v>
      </c>
      <c r="AW141" s="9">
        <f t="shared" si="57"/>
        <v>0</v>
      </c>
      <c r="AX141" s="9">
        <f t="shared" si="58"/>
        <v>0</v>
      </c>
      <c r="AY141" s="60" t="s">
        <v>190</v>
      </c>
      <c r="AZ141" s="60" t="s">
        <v>853</v>
      </c>
      <c r="BA141" s="11" t="s">
        <v>1092</v>
      </c>
      <c r="BC141" s="9">
        <f t="shared" si="59"/>
        <v>0</v>
      </c>
      <c r="BD141" s="9">
        <f t="shared" si="60"/>
        <v>0</v>
      </c>
      <c r="BE141" s="9">
        <v>0</v>
      </c>
      <c r="BF141" s="9">
        <f>141</f>
        <v>141</v>
      </c>
      <c r="BH141" s="9">
        <f t="shared" si="61"/>
        <v>0</v>
      </c>
      <c r="BI141" s="9">
        <f t="shared" si="62"/>
        <v>0</v>
      </c>
      <c r="BJ141" s="9">
        <f t="shared" si="63"/>
        <v>0</v>
      </c>
      <c r="BK141" s="9"/>
      <c r="BL141" s="9">
        <v>721</v>
      </c>
      <c r="BW141" s="9">
        <v>21</v>
      </c>
    </row>
    <row r="142" spans="1:75" ht="13.5" customHeight="1">
      <c r="A142" s="16" t="s">
        <v>621</v>
      </c>
      <c r="B142" s="32" t="s">
        <v>5</v>
      </c>
      <c r="C142" s="32" t="s">
        <v>422</v>
      </c>
      <c r="D142" s="69" t="s">
        <v>1080</v>
      </c>
      <c r="E142" s="70"/>
      <c r="F142" s="32" t="s">
        <v>861</v>
      </c>
      <c r="G142" s="9">
        <v>8</v>
      </c>
      <c r="H142" s="68">
        <v>0</v>
      </c>
      <c r="I142" s="9">
        <f t="shared" si="42"/>
        <v>0</v>
      </c>
      <c r="K142" s="23"/>
      <c r="Z142" s="9">
        <f t="shared" si="43"/>
        <v>0</v>
      </c>
      <c r="AB142" s="9">
        <f t="shared" si="44"/>
        <v>0</v>
      </c>
      <c r="AC142" s="9">
        <f t="shared" si="45"/>
        <v>0</v>
      </c>
      <c r="AD142" s="9">
        <f t="shared" si="46"/>
        <v>0</v>
      </c>
      <c r="AE142" s="9">
        <f t="shared" si="47"/>
        <v>0</v>
      </c>
      <c r="AF142" s="9">
        <f t="shared" si="48"/>
        <v>0</v>
      </c>
      <c r="AG142" s="9">
        <f t="shared" si="49"/>
        <v>0</v>
      </c>
      <c r="AH142" s="9">
        <f t="shared" si="50"/>
        <v>0</v>
      </c>
      <c r="AI142" s="11" t="s">
        <v>5</v>
      </c>
      <c r="AJ142" s="9">
        <f t="shared" si="51"/>
        <v>0</v>
      </c>
      <c r="AK142" s="9">
        <f t="shared" si="52"/>
        <v>0</v>
      </c>
      <c r="AL142" s="9">
        <f t="shared" si="53"/>
        <v>0</v>
      </c>
      <c r="AN142" s="9">
        <v>21</v>
      </c>
      <c r="AO142" s="9">
        <f t="shared" si="64"/>
        <v>0</v>
      </c>
      <c r="AP142" s="9">
        <f t="shared" si="65"/>
        <v>0</v>
      </c>
      <c r="AQ142" s="60" t="s">
        <v>1238</v>
      </c>
      <c r="AV142" s="9">
        <f t="shared" si="56"/>
        <v>0</v>
      </c>
      <c r="AW142" s="9">
        <f t="shared" si="57"/>
        <v>0</v>
      </c>
      <c r="AX142" s="9">
        <f t="shared" si="58"/>
        <v>0</v>
      </c>
      <c r="AY142" s="60" t="s">
        <v>190</v>
      </c>
      <c r="AZ142" s="60" t="s">
        <v>853</v>
      </c>
      <c r="BA142" s="11" t="s">
        <v>1092</v>
      </c>
      <c r="BC142" s="9">
        <f t="shared" si="59"/>
        <v>0</v>
      </c>
      <c r="BD142" s="9">
        <f t="shared" si="60"/>
        <v>0</v>
      </c>
      <c r="BE142" s="9">
        <v>0</v>
      </c>
      <c r="BF142" s="9">
        <f>142</f>
        <v>142</v>
      </c>
      <c r="BH142" s="9">
        <f t="shared" si="61"/>
        <v>0</v>
      </c>
      <c r="BI142" s="9">
        <f t="shared" si="62"/>
        <v>0</v>
      </c>
      <c r="BJ142" s="9">
        <f t="shared" si="63"/>
        <v>0</v>
      </c>
      <c r="BK142" s="9"/>
      <c r="BL142" s="9">
        <v>721</v>
      </c>
      <c r="BW142" s="9">
        <v>21</v>
      </c>
    </row>
    <row r="143" spans="1:75" ht="13.5" customHeight="1">
      <c r="A143" s="16" t="s">
        <v>806</v>
      </c>
      <c r="B143" s="32" t="s">
        <v>5</v>
      </c>
      <c r="C143" s="32" t="s">
        <v>441</v>
      </c>
      <c r="D143" s="69" t="s">
        <v>1259</v>
      </c>
      <c r="E143" s="70"/>
      <c r="F143" s="32" t="s">
        <v>861</v>
      </c>
      <c r="G143" s="9">
        <v>2</v>
      </c>
      <c r="H143" s="68">
        <v>0</v>
      </c>
      <c r="I143" s="9">
        <f t="shared" si="42"/>
        <v>0</v>
      </c>
      <c r="K143" s="23"/>
      <c r="Z143" s="9">
        <f t="shared" si="43"/>
        <v>0</v>
      </c>
      <c r="AB143" s="9">
        <f t="shared" si="44"/>
        <v>0</v>
      </c>
      <c r="AC143" s="9">
        <f t="shared" si="45"/>
        <v>0</v>
      </c>
      <c r="AD143" s="9">
        <f t="shared" si="46"/>
        <v>0</v>
      </c>
      <c r="AE143" s="9">
        <f t="shared" si="47"/>
        <v>0</v>
      </c>
      <c r="AF143" s="9">
        <f t="shared" si="48"/>
        <v>0</v>
      </c>
      <c r="AG143" s="9">
        <f t="shared" si="49"/>
        <v>0</v>
      </c>
      <c r="AH143" s="9">
        <f t="shared" si="50"/>
        <v>0</v>
      </c>
      <c r="AI143" s="11" t="s">
        <v>5</v>
      </c>
      <c r="AJ143" s="9">
        <f t="shared" si="51"/>
        <v>0</v>
      </c>
      <c r="AK143" s="9">
        <f t="shared" si="52"/>
        <v>0</v>
      </c>
      <c r="AL143" s="9">
        <f t="shared" si="53"/>
        <v>0</v>
      </c>
      <c r="AN143" s="9">
        <v>21</v>
      </c>
      <c r="AO143" s="9">
        <f t="shared" si="64"/>
        <v>0</v>
      </c>
      <c r="AP143" s="9">
        <f t="shared" si="65"/>
        <v>0</v>
      </c>
      <c r="AQ143" s="60" t="s">
        <v>1238</v>
      </c>
      <c r="AV143" s="9">
        <f t="shared" si="56"/>
        <v>0</v>
      </c>
      <c r="AW143" s="9">
        <f t="shared" si="57"/>
        <v>0</v>
      </c>
      <c r="AX143" s="9">
        <f t="shared" si="58"/>
        <v>0</v>
      </c>
      <c r="AY143" s="60" t="s">
        <v>190</v>
      </c>
      <c r="AZ143" s="60" t="s">
        <v>853</v>
      </c>
      <c r="BA143" s="11" t="s">
        <v>1092</v>
      </c>
      <c r="BC143" s="9">
        <f t="shared" si="59"/>
        <v>0</v>
      </c>
      <c r="BD143" s="9">
        <f t="shared" si="60"/>
        <v>0</v>
      </c>
      <c r="BE143" s="9">
        <v>0</v>
      </c>
      <c r="BF143" s="9">
        <f>143</f>
        <v>143</v>
      </c>
      <c r="BH143" s="9">
        <f t="shared" si="61"/>
        <v>0</v>
      </c>
      <c r="BI143" s="9">
        <f t="shared" si="62"/>
        <v>0</v>
      </c>
      <c r="BJ143" s="9">
        <f t="shared" si="63"/>
        <v>0</v>
      </c>
      <c r="BK143" s="9"/>
      <c r="BL143" s="9">
        <v>721</v>
      </c>
      <c r="BW143" s="9">
        <v>21</v>
      </c>
    </row>
    <row r="144" spans="1:75" ht="13.5" customHeight="1">
      <c r="A144" s="16" t="s">
        <v>59</v>
      </c>
      <c r="B144" s="32" t="s">
        <v>5</v>
      </c>
      <c r="C144" s="32" t="s">
        <v>1338</v>
      </c>
      <c r="D144" s="69" t="s">
        <v>164</v>
      </c>
      <c r="E144" s="70"/>
      <c r="F144" s="32" t="s">
        <v>861</v>
      </c>
      <c r="G144" s="9">
        <v>4</v>
      </c>
      <c r="H144" s="68">
        <v>0</v>
      </c>
      <c r="I144" s="9">
        <f t="shared" si="42"/>
        <v>0</v>
      </c>
      <c r="K144" s="23"/>
      <c r="Z144" s="9">
        <f t="shared" si="43"/>
        <v>0</v>
      </c>
      <c r="AB144" s="9">
        <f t="shared" si="44"/>
        <v>0</v>
      </c>
      <c r="AC144" s="9">
        <f t="shared" si="45"/>
        <v>0</v>
      </c>
      <c r="AD144" s="9">
        <f t="shared" si="46"/>
        <v>0</v>
      </c>
      <c r="AE144" s="9">
        <f t="shared" si="47"/>
        <v>0</v>
      </c>
      <c r="AF144" s="9">
        <f t="shared" si="48"/>
        <v>0</v>
      </c>
      <c r="AG144" s="9">
        <f t="shared" si="49"/>
        <v>0</v>
      </c>
      <c r="AH144" s="9">
        <f t="shared" si="50"/>
        <v>0</v>
      </c>
      <c r="AI144" s="11" t="s">
        <v>5</v>
      </c>
      <c r="AJ144" s="9">
        <f t="shared" si="51"/>
        <v>0</v>
      </c>
      <c r="AK144" s="9">
        <f t="shared" si="52"/>
        <v>0</v>
      </c>
      <c r="AL144" s="9">
        <f t="shared" si="53"/>
        <v>0</v>
      </c>
      <c r="AN144" s="9">
        <v>21</v>
      </c>
      <c r="AO144" s="9">
        <f t="shared" si="64"/>
        <v>0</v>
      </c>
      <c r="AP144" s="9">
        <f t="shared" si="65"/>
        <v>0</v>
      </c>
      <c r="AQ144" s="60" t="s">
        <v>1238</v>
      </c>
      <c r="AV144" s="9">
        <f t="shared" si="56"/>
        <v>0</v>
      </c>
      <c r="AW144" s="9">
        <f t="shared" si="57"/>
        <v>0</v>
      </c>
      <c r="AX144" s="9">
        <f t="shared" si="58"/>
        <v>0</v>
      </c>
      <c r="AY144" s="60" t="s">
        <v>190</v>
      </c>
      <c r="AZ144" s="60" t="s">
        <v>853</v>
      </c>
      <c r="BA144" s="11" t="s">
        <v>1092</v>
      </c>
      <c r="BC144" s="9">
        <f t="shared" si="59"/>
        <v>0</v>
      </c>
      <c r="BD144" s="9">
        <f t="shared" si="60"/>
        <v>0</v>
      </c>
      <c r="BE144" s="9">
        <v>0</v>
      </c>
      <c r="BF144" s="9">
        <f>144</f>
        <v>144</v>
      </c>
      <c r="BH144" s="9">
        <f t="shared" si="61"/>
        <v>0</v>
      </c>
      <c r="BI144" s="9">
        <f t="shared" si="62"/>
        <v>0</v>
      </c>
      <c r="BJ144" s="9">
        <f t="shared" si="63"/>
        <v>0</v>
      </c>
      <c r="BK144" s="9"/>
      <c r="BL144" s="9">
        <v>721</v>
      </c>
      <c r="BW144" s="9">
        <v>21</v>
      </c>
    </row>
    <row r="145" spans="1:75" ht="13.5" customHeight="1">
      <c r="A145" s="16" t="s">
        <v>1346</v>
      </c>
      <c r="B145" s="32" t="s">
        <v>5</v>
      </c>
      <c r="C145" s="32" t="s">
        <v>1281</v>
      </c>
      <c r="D145" s="69" t="s">
        <v>1316</v>
      </c>
      <c r="E145" s="70"/>
      <c r="F145" s="32" t="s">
        <v>861</v>
      </c>
      <c r="G145" s="9">
        <v>3</v>
      </c>
      <c r="H145" s="68">
        <v>0</v>
      </c>
      <c r="I145" s="9">
        <f t="shared" si="42"/>
        <v>0</v>
      </c>
      <c r="K145" s="23"/>
      <c r="Z145" s="9">
        <f t="shared" si="43"/>
        <v>0</v>
      </c>
      <c r="AB145" s="9">
        <f t="shared" si="44"/>
        <v>0</v>
      </c>
      <c r="AC145" s="9">
        <f t="shared" si="45"/>
        <v>0</v>
      </c>
      <c r="AD145" s="9">
        <f t="shared" si="46"/>
        <v>0</v>
      </c>
      <c r="AE145" s="9">
        <f t="shared" si="47"/>
        <v>0</v>
      </c>
      <c r="AF145" s="9">
        <f t="shared" si="48"/>
        <v>0</v>
      </c>
      <c r="AG145" s="9">
        <f t="shared" si="49"/>
        <v>0</v>
      </c>
      <c r="AH145" s="9">
        <f t="shared" si="50"/>
        <v>0</v>
      </c>
      <c r="AI145" s="11" t="s">
        <v>5</v>
      </c>
      <c r="AJ145" s="9">
        <f t="shared" si="51"/>
        <v>0</v>
      </c>
      <c r="AK145" s="9">
        <f t="shared" si="52"/>
        <v>0</v>
      </c>
      <c r="AL145" s="9">
        <f t="shared" si="53"/>
        <v>0</v>
      </c>
      <c r="AN145" s="9">
        <v>21</v>
      </c>
      <c r="AO145" s="9">
        <f t="shared" si="64"/>
        <v>0</v>
      </c>
      <c r="AP145" s="9">
        <f t="shared" si="65"/>
        <v>0</v>
      </c>
      <c r="AQ145" s="60" t="s">
        <v>1238</v>
      </c>
      <c r="AV145" s="9">
        <f t="shared" si="56"/>
        <v>0</v>
      </c>
      <c r="AW145" s="9">
        <f t="shared" si="57"/>
        <v>0</v>
      </c>
      <c r="AX145" s="9">
        <f t="shared" si="58"/>
        <v>0</v>
      </c>
      <c r="AY145" s="60" t="s">
        <v>190</v>
      </c>
      <c r="AZ145" s="60" t="s">
        <v>853</v>
      </c>
      <c r="BA145" s="11" t="s">
        <v>1092</v>
      </c>
      <c r="BC145" s="9">
        <f t="shared" si="59"/>
        <v>0</v>
      </c>
      <c r="BD145" s="9">
        <f t="shared" si="60"/>
        <v>0</v>
      </c>
      <c r="BE145" s="9">
        <v>0</v>
      </c>
      <c r="BF145" s="9">
        <f>145</f>
        <v>145</v>
      </c>
      <c r="BH145" s="9">
        <f t="shared" si="61"/>
        <v>0</v>
      </c>
      <c r="BI145" s="9">
        <f t="shared" si="62"/>
        <v>0</v>
      </c>
      <c r="BJ145" s="9">
        <f t="shared" si="63"/>
        <v>0</v>
      </c>
      <c r="BK145" s="9"/>
      <c r="BL145" s="9">
        <v>721</v>
      </c>
      <c r="BW145" s="9">
        <v>21</v>
      </c>
    </row>
    <row r="146" spans="1:75" ht="13.5" customHeight="1">
      <c r="A146" s="16" t="s">
        <v>1329</v>
      </c>
      <c r="B146" s="32" t="s">
        <v>5</v>
      </c>
      <c r="C146" s="32" t="s">
        <v>1053</v>
      </c>
      <c r="D146" s="69" t="s">
        <v>132</v>
      </c>
      <c r="E146" s="70"/>
      <c r="F146" s="32" t="s">
        <v>861</v>
      </c>
      <c r="G146" s="9">
        <v>3</v>
      </c>
      <c r="H146" s="68">
        <v>0</v>
      </c>
      <c r="I146" s="9">
        <f t="shared" si="42"/>
        <v>0</v>
      </c>
      <c r="K146" s="23"/>
      <c r="Z146" s="9">
        <f t="shared" si="43"/>
        <v>0</v>
      </c>
      <c r="AB146" s="9">
        <f t="shared" si="44"/>
        <v>0</v>
      </c>
      <c r="AC146" s="9">
        <f t="shared" si="45"/>
        <v>0</v>
      </c>
      <c r="AD146" s="9">
        <f t="shared" si="46"/>
        <v>0</v>
      </c>
      <c r="AE146" s="9">
        <f t="shared" si="47"/>
        <v>0</v>
      </c>
      <c r="AF146" s="9">
        <f t="shared" si="48"/>
        <v>0</v>
      </c>
      <c r="AG146" s="9">
        <f t="shared" si="49"/>
        <v>0</v>
      </c>
      <c r="AH146" s="9">
        <f t="shared" si="50"/>
        <v>0</v>
      </c>
      <c r="AI146" s="11" t="s">
        <v>5</v>
      </c>
      <c r="AJ146" s="9">
        <f t="shared" si="51"/>
        <v>0</v>
      </c>
      <c r="AK146" s="9">
        <f t="shared" si="52"/>
        <v>0</v>
      </c>
      <c r="AL146" s="9">
        <f t="shared" si="53"/>
        <v>0</v>
      </c>
      <c r="AN146" s="9">
        <v>21</v>
      </c>
      <c r="AO146" s="9">
        <f t="shared" si="64"/>
        <v>0</v>
      </c>
      <c r="AP146" s="9">
        <f t="shared" si="65"/>
        <v>0</v>
      </c>
      <c r="AQ146" s="60" t="s">
        <v>1238</v>
      </c>
      <c r="AV146" s="9">
        <f t="shared" si="56"/>
        <v>0</v>
      </c>
      <c r="AW146" s="9">
        <f t="shared" si="57"/>
        <v>0</v>
      </c>
      <c r="AX146" s="9">
        <f t="shared" si="58"/>
        <v>0</v>
      </c>
      <c r="AY146" s="60" t="s">
        <v>190</v>
      </c>
      <c r="AZ146" s="60" t="s">
        <v>853</v>
      </c>
      <c r="BA146" s="11" t="s">
        <v>1092</v>
      </c>
      <c r="BC146" s="9">
        <f t="shared" si="59"/>
        <v>0</v>
      </c>
      <c r="BD146" s="9">
        <f t="shared" si="60"/>
        <v>0</v>
      </c>
      <c r="BE146" s="9">
        <v>0</v>
      </c>
      <c r="BF146" s="9">
        <f>146</f>
        <v>146</v>
      </c>
      <c r="BH146" s="9">
        <f t="shared" si="61"/>
        <v>0</v>
      </c>
      <c r="BI146" s="9">
        <f t="shared" si="62"/>
        <v>0</v>
      </c>
      <c r="BJ146" s="9">
        <f t="shared" si="63"/>
        <v>0</v>
      </c>
      <c r="BK146" s="9"/>
      <c r="BL146" s="9">
        <v>721</v>
      </c>
      <c r="BW146" s="9">
        <v>21</v>
      </c>
    </row>
    <row r="147" spans="1:75" ht="13.5" customHeight="1">
      <c r="A147" s="16" t="s">
        <v>1326</v>
      </c>
      <c r="B147" s="32" t="s">
        <v>5</v>
      </c>
      <c r="C147" s="32" t="s">
        <v>849</v>
      </c>
      <c r="D147" s="69" t="s">
        <v>1066</v>
      </c>
      <c r="E147" s="70"/>
      <c r="F147" s="32" t="s">
        <v>861</v>
      </c>
      <c r="G147" s="9">
        <v>4</v>
      </c>
      <c r="H147" s="68">
        <v>0</v>
      </c>
      <c r="I147" s="9">
        <f t="shared" si="42"/>
        <v>0</v>
      </c>
      <c r="K147" s="23"/>
      <c r="Z147" s="9">
        <f t="shared" si="43"/>
        <v>0</v>
      </c>
      <c r="AB147" s="9">
        <f t="shared" si="44"/>
        <v>0</v>
      </c>
      <c r="AC147" s="9">
        <f t="shared" si="45"/>
        <v>0</v>
      </c>
      <c r="AD147" s="9">
        <f t="shared" si="46"/>
        <v>0</v>
      </c>
      <c r="AE147" s="9">
        <f t="shared" si="47"/>
        <v>0</v>
      </c>
      <c r="AF147" s="9">
        <f t="shared" si="48"/>
        <v>0</v>
      </c>
      <c r="AG147" s="9">
        <f t="shared" si="49"/>
        <v>0</v>
      </c>
      <c r="AH147" s="9">
        <f t="shared" si="50"/>
        <v>0</v>
      </c>
      <c r="AI147" s="11" t="s">
        <v>5</v>
      </c>
      <c r="AJ147" s="9">
        <f t="shared" si="51"/>
        <v>0</v>
      </c>
      <c r="AK147" s="9">
        <f t="shared" si="52"/>
        <v>0</v>
      </c>
      <c r="AL147" s="9">
        <f t="shared" si="53"/>
        <v>0</v>
      </c>
      <c r="AN147" s="9">
        <v>21</v>
      </c>
      <c r="AO147" s="9">
        <f t="shared" si="64"/>
        <v>0</v>
      </c>
      <c r="AP147" s="9">
        <f t="shared" si="65"/>
        <v>0</v>
      </c>
      <c r="AQ147" s="60" t="s">
        <v>1238</v>
      </c>
      <c r="AV147" s="9">
        <f t="shared" si="56"/>
        <v>0</v>
      </c>
      <c r="AW147" s="9">
        <f t="shared" si="57"/>
        <v>0</v>
      </c>
      <c r="AX147" s="9">
        <f t="shared" si="58"/>
        <v>0</v>
      </c>
      <c r="AY147" s="60" t="s">
        <v>190</v>
      </c>
      <c r="AZ147" s="60" t="s">
        <v>853</v>
      </c>
      <c r="BA147" s="11" t="s">
        <v>1092</v>
      </c>
      <c r="BC147" s="9">
        <f t="shared" si="59"/>
        <v>0</v>
      </c>
      <c r="BD147" s="9">
        <f t="shared" si="60"/>
        <v>0</v>
      </c>
      <c r="BE147" s="9">
        <v>0</v>
      </c>
      <c r="BF147" s="9">
        <f>147</f>
        <v>147</v>
      </c>
      <c r="BH147" s="9">
        <f t="shared" si="61"/>
        <v>0</v>
      </c>
      <c r="BI147" s="9">
        <f t="shared" si="62"/>
        <v>0</v>
      </c>
      <c r="BJ147" s="9">
        <f t="shared" si="63"/>
        <v>0</v>
      </c>
      <c r="BK147" s="9"/>
      <c r="BL147" s="9">
        <v>721</v>
      </c>
      <c r="BW147" s="9">
        <v>21</v>
      </c>
    </row>
    <row r="148" spans="1:75" ht="13.5" customHeight="1">
      <c r="A148" s="16" t="s">
        <v>56</v>
      </c>
      <c r="B148" s="32" t="s">
        <v>5</v>
      </c>
      <c r="C148" s="32" t="s">
        <v>521</v>
      </c>
      <c r="D148" s="69" t="s">
        <v>33</v>
      </c>
      <c r="E148" s="70"/>
      <c r="F148" s="32" t="s">
        <v>861</v>
      </c>
      <c r="G148" s="9">
        <v>2</v>
      </c>
      <c r="H148" s="68">
        <v>0</v>
      </c>
      <c r="I148" s="9">
        <f t="shared" si="42"/>
        <v>0</v>
      </c>
      <c r="K148" s="23"/>
      <c r="Z148" s="9">
        <f t="shared" si="43"/>
        <v>0</v>
      </c>
      <c r="AB148" s="9">
        <f t="shared" si="44"/>
        <v>0</v>
      </c>
      <c r="AC148" s="9">
        <f t="shared" si="45"/>
        <v>0</v>
      </c>
      <c r="AD148" s="9">
        <f t="shared" si="46"/>
        <v>0</v>
      </c>
      <c r="AE148" s="9">
        <f t="shared" si="47"/>
        <v>0</v>
      </c>
      <c r="AF148" s="9">
        <f t="shared" si="48"/>
        <v>0</v>
      </c>
      <c r="AG148" s="9">
        <f t="shared" si="49"/>
        <v>0</v>
      </c>
      <c r="AH148" s="9">
        <f t="shared" si="50"/>
        <v>0</v>
      </c>
      <c r="AI148" s="11" t="s">
        <v>5</v>
      </c>
      <c r="AJ148" s="9">
        <f t="shared" si="51"/>
        <v>0</v>
      </c>
      <c r="AK148" s="9">
        <f t="shared" si="52"/>
        <v>0</v>
      </c>
      <c r="AL148" s="9">
        <f t="shared" si="53"/>
        <v>0</v>
      </c>
      <c r="AN148" s="9">
        <v>21</v>
      </c>
      <c r="AO148" s="9">
        <f t="shared" si="64"/>
        <v>0</v>
      </c>
      <c r="AP148" s="9">
        <f t="shared" si="65"/>
        <v>0</v>
      </c>
      <c r="AQ148" s="60" t="s">
        <v>1238</v>
      </c>
      <c r="AV148" s="9">
        <f t="shared" si="56"/>
        <v>0</v>
      </c>
      <c r="AW148" s="9">
        <f t="shared" si="57"/>
        <v>0</v>
      </c>
      <c r="AX148" s="9">
        <f t="shared" si="58"/>
        <v>0</v>
      </c>
      <c r="AY148" s="60" t="s">
        <v>190</v>
      </c>
      <c r="AZ148" s="60" t="s">
        <v>853</v>
      </c>
      <c r="BA148" s="11" t="s">
        <v>1092</v>
      </c>
      <c r="BC148" s="9">
        <f t="shared" si="59"/>
        <v>0</v>
      </c>
      <c r="BD148" s="9">
        <f t="shared" si="60"/>
        <v>0</v>
      </c>
      <c r="BE148" s="9">
        <v>0</v>
      </c>
      <c r="BF148" s="9">
        <f>148</f>
        <v>148</v>
      </c>
      <c r="BH148" s="9">
        <f t="shared" si="61"/>
        <v>0</v>
      </c>
      <c r="BI148" s="9">
        <f t="shared" si="62"/>
        <v>0</v>
      </c>
      <c r="BJ148" s="9">
        <f t="shared" si="63"/>
        <v>0</v>
      </c>
      <c r="BK148" s="9"/>
      <c r="BL148" s="9">
        <v>721</v>
      </c>
      <c r="BW148" s="9">
        <v>21</v>
      </c>
    </row>
    <row r="149" spans="1:75" ht="13.5" customHeight="1">
      <c r="A149" s="16" t="s">
        <v>3</v>
      </c>
      <c r="B149" s="32" t="s">
        <v>5</v>
      </c>
      <c r="C149" s="32" t="s">
        <v>1402</v>
      </c>
      <c r="D149" s="69" t="s">
        <v>616</v>
      </c>
      <c r="E149" s="70"/>
      <c r="F149" s="32" t="s">
        <v>861</v>
      </c>
      <c r="G149" s="9">
        <v>2</v>
      </c>
      <c r="H149" s="68">
        <v>0</v>
      </c>
      <c r="I149" s="9">
        <f t="shared" si="42"/>
        <v>0</v>
      </c>
      <c r="K149" s="23"/>
      <c r="Z149" s="9">
        <f t="shared" si="43"/>
        <v>0</v>
      </c>
      <c r="AB149" s="9">
        <f t="shared" si="44"/>
        <v>0</v>
      </c>
      <c r="AC149" s="9">
        <f t="shared" si="45"/>
        <v>0</v>
      </c>
      <c r="AD149" s="9">
        <f t="shared" si="46"/>
        <v>0</v>
      </c>
      <c r="AE149" s="9">
        <f t="shared" si="47"/>
        <v>0</v>
      </c>
      <c r="AF149" s="9">
        <f t="shared" si="48"/>
        <v>0</v>
      </c>
      <c r="AG149" s="9">
        <f t="shared" si="49"/>
        <v>0</v>
      </c>
      <c r="AH149" s="9">
        <f t="shared" si="50"/>
        <v>0</v>
      </c>
      <c r="AI149" s="11" t="s">
        <v>5</v>
      </c>
      <c r="AJ149" s="9">
        <f t="shared" si="51"/>
        <v>0</v>
      </c>
      <c r="AK149" s="9">
        <f t="shared" si="52"/>
        <v>0</v>
      </c>
      <c r="AL149" s="9">
        <f t="shared" si="53"/>
        <v>0</v>
      </c>
      <c r="AN149" s="9">
        <v>21</v>
      </c>
      <c r="AO149" s="9">
        <f t="shared" si="64"/>
        <v>0</v>
      </c>
      <c r="AP149" s="9">
        <f t="shared" si="65"/>
        <v>0</v>
      </c>
      <c r="AQ149" s="60" t="s">
        <v>1238</v>
      </c>
      <c r="AV149" s="9">
        <f t="shared" si="56"/>
        <v>0</v>
      </c>
      <c r="AW149" s="9">
        <f t="shared" si="57"/>
        <v>0</v>
      </c>
      <c r="AX149" s="9">
        <f t="shared" si="58"/>
        <v>0</v>
      </c>
      <c r="AY149" s="60" t="s">
        <v>190</v>
      </c>
      <c r="AZ149" s="60" t="s">
        <v>853</v>
      </c>
      <c r="BA149" s="11" t="s">
        <v>1092</v>
      </c>
      <c r="BC149" s="9">
        <f t="shared" si="59"/>
        <v>0</v>
      </c>
      <c r="BD149" s="9">
        <f t="shared" si="60"/>
        <v>0</v>
      </c>
      <c r="BE149" s="9">
        <v>0</v>
      </c>
      <c r="BF149" s="9">
        <f>149</f>
        <v>149</v>
      </c>
      <c r="BH149" s="9">
        <f t="shared" si="61"/>
        <v>0</v>
      </c>
      <c r="BI149" s="9">
        <f t="shared" si="62"/>
        <v>0</v>
      </c>
      <c r="BJ149" s="9">
        <f t="shared" si="63"/>
        <v>0</v>
      </c>
      <c r="BK149" s="9"/>
      <c r="BL149" s="9">
        <v>721</v>
      </c>
      <c r="BW149" s="9">
        <v>21</v>
      </c>
    </row>
    <row r="150" spans="1:75" ht="13.5" customHeight="1">
      <c r="A150" s="16" t="s">
        <v>1121</v>
      </c>
      <c r="B150" s="32" t="s">
        <v>5</v>
      </c>
      <c r="C150" s="32" t="s">
        <v>498</v>
      </c>
      <c r="D150" s="69" t="s">
        <v>1174</v>
      </c>
      <c r="E150" s="70"/>
      <c r="F150" s="32" t="s">
        <v>861</v>
      </c>
      <c r="G150" s="9">
        <v>2</v>
      </c>
      <c r="H150" s="68">
        <v>0</v>
      </c>
      <c r="I150" s="9">
        <f t="shared" si="42"/>
        <v>0</v>
      </c>
      <c r="K150" s="23"/>
      <c r="Z150" s="9">
        <f t="shared" si="43"/>
        <v>0</v>
      </c>
      <c r="AB150" s="9">
        <f t="shared" si="44"/>
        <v>0</v>
      </c>
      <c r="AC150" s="9">
        <f t="shared" si="45"/>
        <v>0</v>
      </c>
      <c r="AD150" s="9">
        <f t="shared" si="46"/>
        <v>0</v>
      </c>
      <c r="AE150" s="9">
        <f t="shared" si="47"/>
        <v>0</v>
      </c>
      <c r="AF150" s="9">
        <f t="shared" si="48"/>
        <v>0</v>
      </c>
      <c r="AG150" s="9">
        <f t="shared" si="49"/>
        <v>0</v>
      </c>
      <c r="AH150" s="9">
        <f t="shared" si="50"/>
        <v>0</v>
      </c>
      <c r="AI150" s="11" t="s">
        <v>5</v>
      </c>
      <c r="AJ150" s="9">
        <f t="shared" si="51"/>
        <v>0</v>
      </c>
      <c r="AK150" s="9">
        <f t="shared" si="52"/>
        <v>0</v>
      </c>
      <c r="AL150" s="9">
        <f t="shared" si="53"/>
        <v>0</v>
      </c>
      <c r="AN150" s="9">
        <v>21</v>
      </c>
      <c r="AO150" s="9">
        <f t="shared" si="64"/>
        <v>0</v>
      </c>
      <c r="AP150" s="9">
        <f t="shared" si="65"/>
        <v>0</v>
      </c>
      <c r="AQ150" s="60" t="s">
        <v>1238</v>
      </c>
      <c r="AV150" s="9">
        <f t="shared" si="56"/>
        <v>0</v>
      </c>
      <c r="AW150" s="9">
        <f t="shared" si="57"/>
        <v>0</v>
      </c>
      <c r="AX150" s="9">
        <f t="shared" si="58"/>
        <v>0</v>
      </c>
      <c r="AY150" s="60" t="s">
        <v>190</v>
      </c>
      <c r="AZ150" s="60" t="s">
        <v>853</v>
      </c>
      <c r="BA150" s="11" t="s">
        <v>1092</v>
      </c>
      <c r="BC150" s="9">
        <f t="shared" si="59"/>
        <v>0</v>
      </c>
      <c r="BD150" s="9">
        <f t="shared" si="60"/>
        <v>0</v>
      </c>
      <c r="BE150" s="9">
        <v>0</v>
      </c>
      <c r="BF150" s="9">
        <f>150</f>
        <v>150</v>
      </c>
      <c r="BH150" s="9">
        <f t="shared" si="61"/>
        <v>0</v>
      </c>
      <c r="BI150" s="9">
        <f t="shared" si="62"/>
        <v>0</v>
      </c>
      <c r="BJ150" s="9">
        <f t="shared" si="63"/>
        <v>0</v>
      </c>
      <c r="BK150" s="9"/>
      <c r="BL150" s="9">
        <v>721</v>
      </c>
      <c r="BW150" s="9">
        <v>21</v>
      </c>
    </row>
    <row r="151" spans="1:75" ht="13.5" customHeight="1">
      <c r="A151" s="16" t="s">
        <v>141</v>
      </c>
      <c r="B151" s="32" t="s">
        <v>5</v>
      </c>
      <c r="C151" s="32" t="s">
        <v>103</v>
      </c>
      <c r="D151" s="69" t="s">
        <v>1347</v>
      </c>
      <c r="E151" s="70"/>
      <c r="F151" s="32" t="s">
        <v>861</v>
      </c>
      <c r="G151" s="9">
        <v>2</v>
      </c>
      <c r="H151" s="68">
        <v>0</v>
      </c>
      <c r="I151" s="9">
        <f t="shared" si="42"/>
        <v>0</v>
      </c>
      <c r="K151" s="23"/>
      <c r="Z151" s="9">
        <f t="shared" si="43"/>
        <v>0</v>
      </c>
      <c r="AB151" s="9">
        <f t="shared" si="44"/>
        <v>0</v>
      </c>
      <c r="AC151" s="9">
        <f t="shared" si="45"/>
        <v>0</v>
      </c>
      <c r="AD151" s="9">
        <f t="shared" si="46"/>
        <v>0</v>
      </c>
      <c r="AE151" s="9">
        <f t="shared" si="47"/>
        <v>0</v>
      </c>
      <c r="AF151" s="9">
        <f t="shared" si="48"/>
        <v>0</v>
      </c>
      <c r="AG151" s="9">
        <f t="shared" si="49"/>
        <v>0</v>
      </c>
      <c r="AH151" s="9">
        <f t="shared" si="50"/>
        <v>0</v>
      </c>
      <c r="AI151" s="11" t="s">
        <v>5</v>
      </c>
      <c r="AJ151" s="9">
        <f t="shared" si="51"/>
        <v>0</v>
      </c>
      <c r="AK151" s="9">
        <f t="shared" si="52"/>
        <v>0</v>
      </c>
      <c r="AL151" s="9">
        <f t="shared" si="53"/>
        <v>0</v>
      </c>
      <c r="AN151" s="9">
        <v>21</v>
      </c>
      <c r="AO151" s="9">
        <f t="shared" si="64"/>
        <v>0</v>
      </c>
      <c r="AP151" s="9">
        <f t="shared" si="65"/>
        <v>0</v>
      </c>
      <c r="AQ151" s="60" t="s">
        <v>1238</v>
      </c>
      <c r="AV151" s="9">
        <f t="shared" si="56"/>
        <v>0</v>
      </c>
      <c r="AW151" s="9">
        <f t="shared" si="57"/>
        <v>0</v>
      </c>
      <c r="AX151" s="9">
        <f t="shared" si="58"/>
        <v>0</v>
      </c>
      <c r="AY151" s="60" t="s">
        <v>190</v>
      </c>
      <c r="AZ151" s="60" t="s">
        <v>853</v>
      </c>
      <c r="BA151" s="11" t="s">
        <v>1092</v>
      </c>
      <c r="BC151" s="9">
        <f t="shared" si="59"/>
        <v>0</v>
      </c>
      <c r="BD151" s="9">
        <f t="shared" si="60"/>
        <v>0</v>
      </c>
      <c r="BE151" s="9">
        <v>0</v>
      </c>
      <c r="BF151" s="9">
        <f>151</f>
        <v>151</v>
      </c>
      <c r="BH151" s="9">
        <f t="shared" si="61"/>
        <v>0</v>
      </c>
      <c r="BI151" s="9">
        <f t="shared" si="62"/>
        <v>0</v>
      </c>
      <c r="BJ151" s="9">
        <f t="shared" si="63"/>
        <v>0</v>
      </c>
      <c r="BK151" s="9"/>
      <c r="BL151" s="9">
        <v>721</v>
      </c>
      <c r="BW151" s="9">
        <v>21</v>
      </c>
    </row>
    <row r="152" spans="1:75" ht="13.5" customHeight="1">
      <c r="A152" s="16" t="s">
        <v>522</v>
      </c>
      <c r="B152" s="32" t="s">
        <v>5</v>
      </c>
      <c r="C152" s="32" t="s">
        <v>364</v>
      </c>
      <c r="D152" s="69" t="s">
        <v>980</v>
      </c>
      <c r="E152" s="70"/>
      <c r="F152" s="32" t="s">
        <v>861</v>
      </c>
      <c r="G152" s="9">
        <v>2</v>
      </c>
      <c r="H152" s="68">
        <v>0</v>
      </c>
      <c r="I152" s="9">
        <f t="shared" si="42"/>
        <v>0</v>
      </c>
      <c r="K152" s="23"/>
      <c r="Z152" s="9">
        <f t="shared" si="43"/>
        <v>0</v>
      </c>
      <c r="AB152" s="9">
        <f t="shared" si="44"/>
        <v>0</v>
      </c>
      <c r="AC152" s="9">
        <f t="shared" si="45"/>
        <v>0</v>
      </c>
      <c r="AD152" s="9">
        <f t="shared" si="46"/>
        <v>0</v>
      </c>
      <c r="AE152" s="9">
        <f t="shared" si="47"/>
        <v>0</v>
      </c>
      <c r="AF152" s="9">
        <f t="shared" si="48"/>
        <v>0</v>
      </c>
      <c r="AG152" s="9">
        <f t="shared" si="49"/>
        <v>0</v>
      </c>
      <c r="AH152" s="9">
        <f t="shared" si="50"/>
        <v>0</v>
      </c>
      <c r="AI152" s="11" t="s">
        <v>5</v>
      </c>
      <c r="AJ152" s="9">
        <f t="shared" si="51"/>
        <v>0</v>
      </c>
      <c r="AK152" s="9">
        <f t="shared" si="52"/>
        <v>0</v>
      </c>
      <c r="AL152" s="9">
        <f t="shared" si="53"/>
        <v>0</v>
      </c>
      <c r="AN152" s="9">
        <v>21</v>
      </c>
      <c r="AO152" s="9">
        <f t="shared" si="64"/>
        <v>0</v>
      </c>
      <c r="AP152" s="9">
        <f t="shared" si="65"/>
        <v>0</v>
      </c>
      <c r="AQ152" s="60" t="s">
        <v>1238</v>
      </c>
      <c r="AV152" s="9">
        <f t="shared" si="56"/>
        <v>0</v>
      </c>
      <c r="AW152" s="9">
        <f t="shared" si="57"/>
        <v>0</v>
      </c>
      <c r="AX152" s="9">
        <f t="shared" si="58"/>
        <v>0</v>
      </c>
      <c r="AY152" s="60" t="s">
        <v>190</v>
      </c>
      <c r="AZ152" s="60" t="s">
        <v>853</v>
      </c>
      <c r="BA152" s="11" t="s">
        <v>1092</v>
      </c>
      <c r="BC152" s="9">
        <f t="shared" si="59"/>
        <v>0</v>
      </c>
      <c r="BD152" s="9">
        <f t="shared" si="60"/>
        <v>0</v>
      </c>
      <c r="BE152" s="9">
        <v>0</v>
      </c>
      <c r="BF152" s="9">
        <f>152</f>
        <v>152</v>
      </c>
      <c r="BH152" s="9">
        <f t="shared" si="61"/>
        <v>0</v>
      </c>
      <c r="BI152" s="9">
        <f t="shared" si="62"/>
        <v>0</v>
      </c>
      <c r="BJ152" s="9">
        <f t="shared" si="63"/>
        <v>0</v>
      </c>
      <c r="BK152" s="9"/>
      <c r="BL152" s="9">
        <v>721</v>
      </c>
      <c r="BW152" s="9">
        <v>21</v>
      </c>
    </row>
    <row r="153" spans="1:75" ht="13.5" customHeight="1">
      <c r="A153" s="16" t="s">
        <v>686</v>
      </c>
      <c r="B153" s="32" t="s">
        <v>5</v>
      </c>
      <c r="C153" s="32" t="s">
        <v>1389</v>
      </c>
      <c r="D153" s="69" t="s">
        <v>25</v>
      </c>
      <c r="E153" s="70"/>
      <c r="F153" s="32" t="s">
        <v>1026</v>
      </c>
      <c r="G153" s="9">
        <v>50</v>
      </c>
      <c r="H153" s="68">
        <v>0</v>
      </c>
      <c r="I153" s="9">
        <f t="shared" si="42"/>
        <v>0</v>
      </c>
      <c r="K153" s="23"/>
      <c r="Z153" s="9">
        <f t="shared" si="43"/>
        <v>0</v>
      </c>
      <c r="AB153" s="9">
        <f t="shared" si="44"/>
        <v>0</v>
      </c>
      <c r="AC153" s="9">
        <f t="shared" si="45"/>
        <v>0</v>
      </c>
      <c r="AD153" s="9">
        <f t="shared" si="46"/>
        <v>0</v>
      </c>
      <c r="AE153" s="9">
        <f t="shared" si="47"/>
        <v>0</v>
      </c>
      <c r="AF153" s="9">
        <f t="shared" si="48"/>
        <v>0</v>
      </c>
      <c r="AG153" s="9">
        <f t="shared" si="49"/>
        <v>0</v>
      </c>
      <c r="AH153" s="9">
        <f t="shared" si="50"/>
        <v>0</v>
      </c>
      <c r="AI153" s="11" t="s">
        <v>5</v>
      </c>
      <c r="AJ153" s="9">
        <f t="shared" si="51"/>
        <v>0</v>
      </c>
      <c r="AK153" s="9">
        <f t="shared" si="52"/>
        <v>0</v>
      </c>
      <c r="AL153" s="9">
        <f t="shared" si="53"/>
        <v>0</v>
      </c>
      <c r="AN153" s="9">
        <v>21</v>
      </c>
      <c r="AO153" s="9">
        <f aca="true" t="shared" si="66" ref="AO153:AO164">H153*0</f>
        <v>0</v>
      </c>
      <c r="AP153" s="9">
        <f aca="true" t="shared" si="67" ref="AP153:AP164">H153*(1-0)</f>
        <v>0</v>
      </c>
      <c r="AQ153" s="60" t="s">
        <v>1238</v>
      </c>
      <c r="AV153" s="9">
        <f t="shared" si="56"/>
        <v>0</v>
      </c>
      <c r="AW153" s="9">
        <f t="shared" si="57"/>
        <v>0</v>
      </c>
      <c r="AX153" s="9">
        <f t="shared" si="58"/>
        <v>0</v>
      </c>
      <c r="AY153" s="60" t="s">
        <v>190</v>
      </c>
      <c r="AZ153" s="60" t="s">
        <v>853</v>
      </c>
      <c r="BA153" s="11" t="s">
        <v>1092</v>
      </c>
      <c r="BC153" s="9">
        <f t="shared" si="59"/>
        <v>0</v>
      </c>
      <c r="BD153" s="9">
        <f t="shared" si="60"/>
        <v>0</v>
      </c>
      <c r="BE153" s="9">
        <v>0</v>
      </c>
      <c r="BF153" s="9">
        <f>153</f>
        <v>153</v>
      </c>
      <c r="BH153" s="9">
        <f t="shared" si="61"/>
        <v>0</v>
      </c>
      <c r="BI153" s="9">
        <f t="shared" si="62"/>
        <v>0</v>
      </c>
      <c r="BJ153" s="9">
        <f t="shared" si="63"/>
        <v>0</v>
      </c>
      <c r="BK153" s="9"/>
      <c r="BL153" s="9">
        <v>721</v>
      </c>
      <c r="BW153" s="9">
        <v>21</v>
      </c>
    </row>
    <row r="154" spans="1:75" ht="13.5" customHeight="1">
      <c r="A154" s="16" t="s">
        <v>139</v>
      </c>
      <c r="B154" s="32" t="s">
        <v>5</v>
      </c>
      <c r="C154" s="32" t="s">
        <v>667</v>
      </c>
      <c r="D154" s="69" t="s">
        <v>1349</v>
      </c>
      <c r="E154" s="70"/>
      <c r="F154" s="32" t="s">
        <v>861</v>
      </c>
      <c r="G154" s="9">
        <v>9</v>
      </c>
      <c r="H154" s="68">
        <v>0</v>
      </c>
      <c r="I154" s="9">
        <f t="shared" si="42"/>
        <v>0</v>
      </c>
      <c r="K154" s="23"/>
      <c r="Z154" s="9">
        <f t="shared" si="43"/>
        <v>0</v>
      </c>
      <c r="AB154" s="9">
        <f t="shared" si="44"/>
        <v>0</v>
      </c>
      <c r="AC154" s="9">
        <f t="shared" si="45"/>
        <v>0</v>
      </c>
      <c r="AD154" s="9">
        <f t="shared" si="46"/>
        <v>0</v>
      </c>
      <c r="AE154" s="9">
        <f t="shared" si="47"/>
        <v>0</v>
      </c>
      <c r="AF154" s="9">
        <f t="shared" si="48"/>
        <v>0</v>
      </c>
      <c r="AG154" s="9">
        <f t="shared" si="49"/>
        <v>0</v>
      </c>
      <c r="AH154" s="9">
        <f t="shared" si="50"/>
        <v>0</v>
      </c>
      <c r="AI154" s="11" t="s">
        <v>5</v>
      </c>
      <c r="AJ154" s="9">
        <f t="shared" si="51"/>
        <v>0</v>
      </c>
      <c r="AK154" s="9">
        <f t="shared" si="52"/>
        <v>0</v>
      </c>
      <c r="AL154" s="9">
        <f t="shared" si="53"/>
        <v>0</v>
      </c>
      <c r="AN154" s="9">
        <v>21</v>
      </c>
      <c r="AO154" s="9">
        <f t="shared" si="66"/>
        <v>0</v>
      </c>
      <c r="AP154" s="9">
        <f t="shared" si="67"/>
        <v>0</v>
      </c>
      <c r="AQ154" s="60" t="s">
        <v>1238</v>
      </c>
      <c r="AV154" s="9">
        <f t="shared" si="56"/>
        <v>0</v>
      </c>
      <c r="AW154" s="9">
        <f t="shared" si="57"/>
        <v>0</v>
      </c>
      <c r="AX154" s="9">
        <f t="shared" si="58"/>
        <v>0</v>
      </c>
      <c r="AY154" s="60" t="s">
        <v>190</v>
      </c>
      <c r="AZ154" s="60" t="s">
        <v>853</v>
      </c>
      <c r="BA154" s="11" t="s">
        <v>1092</v>
      </c>
      <c r="BC154" s="9">
        <f t="shared" si="59"/>
        <v>0</v>
      </c>
      <c r="BD154" s="9">
        <f t="shared" si="60"/>
        <v>0</v>
      </c>
      <c r="BE154" s="9">
        <v>0</v>
      </c>
      <c r="BF154" s="9">
        <f>154</f>
        <v>154</v>
      </c>
      <c r="BH154" s="9">
        <f t="shared" si="61"/>
        <v>0</v>
      </c>
      <c r="BI154" s="9">
        <f t="shared" si="62"/>
        <v>0</v>
      </c>
      <c r="BJ154" s="9">
        <f t="shared" si="63"/>
        <v>0</v>
      </c>
      <c r="BK154" s="9"/>
      <c r="BL154" s="9">
        <v>721</v>
      </c>
      <c r="BW154" s="9">
        <v>21</v>
      </c>
    </row>
    <row r="155" spans="1:75" ht="13.5" customHeight="1">
      <c r="A155" s="16" t="s">
        <v>862</v>
      </c>
      <c r="B155" s="32" t="s">
        <v>5</v>
      </c>
      <c r="C155" s="32" t="s">
        <v>320</v>
      </c>
      <c r="D155" s="69" t="s">
        <v>744</v>
      </c>
      <c r="E155" s="70"/>
      <c r="F155" s="32" t="s">
        <v>861</v>
      </c>
      <c r="G155" s="9">
        <v>1</v>
      </c>
      <c r="H155" s="68">
        <v>0</v>
      </c>
      <c r="I155" s="9">
        <f t="shared" si="42"/>
        <v>0</v>
      </c>
      <c r="K155" s="23"/>
      <c r="Z155" s="9">
        <f t="shared" si="43"/>
        <v>0</v>
      </c>
      <c r="AB155" s="9">
        <f t="shared" si="44"/>
        <v>0</v>
      </c>
      <c r="AC155" s="9">
        <f t="shared" si="45"/>
        <v>0</v>
      </c>
      <c r="AD155" s="9">
        <f t="shared" si="46"/>
        <v>0</v>
      </c>
      <c r="AE155" s="9">
        <f t="shared" si="47"/>
        <v>0</v>
      </c>
      <c r="AF155" s="9">
        <f t="shared" si="48"/>
        <v>0</v>
      </c>
      <c r="AG155" s="9">
        <f t="shared" si="49"/>
        <v>0</v>
      </c>
      <c r="AH155" s="9">
        <f t="shared" si="50"/>
        <v>0</v>
      </c>
      <c r="AI155" s="11" t="s">
        <v>5</v>
      </c>
      <c r="AJ155" s="9">
        <f t="shared" si="51"/>
        <v>0</v>
      </c>
      <c r="AK155" s="9">
        <f t="shared" si="52"/>
        <v>0</v>
      </c>
      <c r="AL155" s="9">
        <f t="shared" si="53"/>
        <v>0</v>
      </c>
      <c r="AN155" s="9">
        <v>21</v>
      </c>
      <c r="AO155" s="9">
        <f t="shared" si="66"/>
        <v>0</v>
      </c>
      <c r="AP155" s="9">
        <f t="shared" si="67"/>
        <v>0</v>
      </c>
      <c r="AQ155" s="60" t="s">
        <v>1238</v>
      </c>
      <c r="AV155" s="9">
        <f t="shared" si="56"/>
        <v>0</v>
      </c>
      <c r="AW155" s="9">
        <f t="shared" si="57"/>
        <v>0</v>
      </c>
      <c r="AX155" s="9">
        <f t="shared" si="58"/>
        <v>0</v>
      </c>
      <c r="AY155" s="60" t="s">
        <v>190</v>
      </c>
      <c r="AZ155" s="60" t="s">
        <v>853</v>
      </c>
      <c r="BA155" s="11" t="s">
        <v>1092</v>
      </c>
      <c r="BC155" s="9">
        <f t="shared" si="59"/>
        <v>0</v>
      </c>
      <c r="BD155" s="9">
        <f t="shared" si="60"/>
        <v>0</v>
      </c>
      <c r="BE155" s="9">
        <v>0</v>
      </c>
      <c r="BF155" s="9">
        <f>155</f>
        <v>155</v>
      </c>
      <c r="BH155" s="9">
        <f t="shared" si="61"/>
        <v>0</v>
      </c>
      <c r="BI155" s="9">
        <f t="shared" si="62"/>
        <v>0</v>
      </c>
      <c r="BJ155" s="9">
        <f t="shared" si="63"/>
        <v>0</v>
      </c>
      <c r="BK155" s="9"/>
      <c r="BL155" s="9">
        <v>721</v>
      </c>
      <c r="BW155" s="9">
        <v>21</v>
      </c>
    </row>
    <row r="156" spans="1:75" ht="13.5" customHeight="1">
      <c r="A156" s="16" t="s">
        <v>607</v>
      </c>
      <c r="B156" s="32" t="s">
        <v>5</v>
      </c>
      <c r="C156" s="32" t="s">
        <v>332</v>
      </c>
      <c r="D156" s="69" t="s">
        <v>817</v>
      </c>
      <c r="E156" s="70"/>
      <c r="F156" s="32" t="s">
        <v>798</v>
      </c>
      <c r="G156" s="9">
        <v>50</v>
      </c>
      <c r="H156" s="68">
        <v>0</v>
      </c>
      <c r="I156" s="9">
        <f t="shared" si="42"/>
        <v>0</v>
      </c>
      <c r="K156" s="23"/>
      <c r="Z156" s="9">
        <f t="shared" si="43"/>
        <v>0</v>
      </c>
      <c r="AB156" s="9">
        <f t="shared" si="44"/>
        <v>0</v>
      </c>
      <c r="AC156" s="9">
        <f t="shared" si="45"/>
        <v>0</v>
      </c>
      <c r="AD156" s="9">
        <f t="shared" si="46"/>
        <v>0</v>
      </c>
      <c r="AE156" s="9">
        <f t="shared" si="47"/>
        <v>0</v>
      </c>
      <c r="AF156" s="9">
        <f t="shared" si="48"/>
        <v>0</v>
      </c>
      <c r="AG156" s="9">
        <f t="shared" si="49"/>
        <v>0</v>
      </c>
      <c r="AH156" s="9">
        <f t="shared" si="50"/>
        <v>0</v>
      </c>
      <c r="AI156" s="11" t="s">
        <v>5</v>
      </c>
      <c r="AJ156" s="9">
        <f t="shared" si="51"/>
        <v>0</v>
      </c>
      <c r="AK156" s="9">
        <f t="shared" si="52"/>
        <v>0</v>
      </c>
      <c r="AL156" s="9">
        <f t="shared" si="53"/>
        <v>0</v>
      </c>
      <c r="AN156" s="9">
        <v>21</v>
      </c>
      <c r="AO156" s="9">
        <f t="shared" si="66"/>
        <v>0</v>
      </c>
      <c r="AP156" s="9">
        <f t="shared" si="67"/>
        <v>0</v>
      </c>
      <c r="AQ156" s="60" t="s">
        <v>1238</v>
      </c>
      <c r="AV156" s="9">
        <f t="shared" si="56"/>
        <v>0</v>
      </c>
      <c r="AW156" s="9">
        <f t="shared" si="57"/>
        <v>0</v>
      </c>
      <c r="AX156" s="9">
        <f t="shared" si="58"/>
        <v>0</v>
      </c>
      <c r="AY156" s="60" t="s">
        <v>190</v>
      </c>
      <c r="AZ156" s="60" t="s">
        <v>853</v>
      </c>
      <c r="BA156" s="11" t="s">
        <v>1092</v>
      </c>
      <c r="BC156" s="9">
        <f t="shared" si="59"/>
        <v>0</v>
      </c>
      <c r="BD156" s="9">
        <f t="shared" si="60"/>
        <v>0</v>
      </c>
      <c r="BE156" s="9">
        <v>0</v>
      </c>
      <c r="BF156" s="9">
        <f>156</f>
        <v>156</v>
      </c>
      <c r="BH156" s="9">
        <f t="shared" si="61"/>
        <v>0</v>
      </c>
      <c r="BI156" s="9">
        <f t="shared" si="62"/>
        <v>0</v>
      </c>
      <c r="BJ156" s="9">
        <f t="shared" si="63"/>
        <v>0</v>
      </c>
      <c r="BK156" s="9"/>
      <c r="BL156" s="9">
        <v>721</v>
      </c>
      <c r="BW156" s="9">
        <v>21</v>
      </c>
    </row>
    <row r="157" spans="1:75" ht="13.5" customHeight="1">
      <c r="A157" s="16" t="s">
        <v>1015</v>
      </c>
      <c r="B157" s="32" t="s">
        <v>5</v>
      </c>
      <c r="C157" s="32" t="s">
        <v>505</v>
      </c>
      <c r="D157" s="69" t="s">
        <v>1288</v>
      </c>
      <c r="E157" s="70"/>
      <c r="F157" s="32" t="s">
        <v>1026</v>
      </c>
      <c r="G157" s="9">
        <v>181</v>
      </c>
      <c r="H157" s="68">
        <v>0</v>
      </c>
      <c r="I157" s="9">
        <f t="shared" si="42"/>
        <v>0</v>
      </c>
      <c r="K157" s="23"/>
      <c r="Z157" s="9">
        <f t="shared" si="43"/>
        <v>0</v>
      </c>
      <c r="AB157" s="9">
        <f t="shared" si="44"/>
        <v>0</v>
      </c>
      <c r="AC157" s="9">
        <f t="shared" si="45"/>
        <v>0</v>
      </c>
      <c r="AD157" s="9">
        <f t="shared" si="46"/>
        <v>0</v>
      </c>
      <c r="AE157" s="9">
        <f t="shared" si="47"/>
        <v>0</v>
      </c>
      <c r="AF157" s="9">
        <f t="shared" si="48"/>
        <v>0</v>
      </c>
      <c r="AG157" s="9">
        <f t="shared" si="49"/>
        <v>0</v>
      </c>
      <c r="AH157" s="9">
        <f t="shared" si="50"/>
        <v>0</v>
      </c>
      <c r="AI157" s="11" t="s">
        <v>5</v>
      </c>
      <c r="AJ157" s="9">
        <f t="shared" si="51"/>
        <v>0</v>
      </c>
      <c r="AK157" s="9">
        <f t="shared" si="52"/>
        <v>0</v>
      </c>
      <c r="AL157" s="9">
        <f t="shared" si="53"/>
        <v>0</v>
      </c>
      <c r="AN157" s="9">
        <v>21</v>
      </c>
      <c r="AO157" s="9">
        <f t="shared" si="66"/>
        <v>0</v>
      </c>
      <c r="AP157" s="9">
        <f t="shared" si="67"/>
        <v>0</v>
      </c>
      <c r="AQ157" s="60" t="s">
        <v>1238</v>
      </c>
      <c r="AV157" s="9">
        <f t="shared" si="56"/>
        <v>0</v>
      </c>
      <c r="AW157" s="9">
        <f t="shared" si="57"/>
        <v>0</v>
      </c>
      <c r="AX157" s="9">
        <f t="shared" si="58"/>
        <v>0</v>
      </c>
      <c r="AY157" s="60" t="s">
        <v>190</v>
      </c>
      <c r="AZ157" s="60" t="s">
        <v>853</v>
      </c>
      <c r="BA157" s="11" t="s">
        <v>1092</v>
      </c>
      <c r="BC157" s="9">
        <f t="shared" si="59"/>
        <v>0</v>
      </c>
      <c r="BD157" s="9">
        <f t="shared" si="60"/>
        <v>0</v>
      </c>
      <c r="BE157" s="9">
        <v>0</v>
      </c>
      <c r="BF157" s="9">
        <f>157</f>
        <v>157</v>
      </c>
      <c r="BH157" s="9">
        <f t="shared" si="61"/>
        <v>0</v>
      </c>
      <c r="BI157" s="9">
        <f t="shared" si="62"/>
        <v>0</v>
      </c>
      <c r="BJ157" s="9">
        <f t="shared" si="63"/>
        <v>0</v>
      </c>
      <c r="BK157" s="9"/>
      <c r="BL157" s="9">
        <v>721</v>
      </c>
      <c r="BW157" s="9">
        <v>21</v>
      </c>
    </row>
    <row r="158" spans="1:75" ht="13.5" customHeight="1">
      <c r="A158" s="16" t="s">
        <v>1136</v>
      </c>
      <c r="B158" s="32" t="s">
        <v>5</v>
      </c>
      <c r="C158" s="32" t="s">
        <v>576</v>
      </c>
      <c r="D158" s="69" t="s">
        <v>1176</v>
      </c>
      <c r="E158" s="70"/>
      <c r="F158" s="32" t="s">
        <v>1026</v>
      </c>
      <c r="G158" s="9">
        <v>181</v>
      </c>
      <c r="H158" s="68">
        <v>0</v>
      </c>
      <c r="I158" s="9">
        <f t="shared" si="42"/>
        <v>0</v>
      </c>
      <c r="K158" s="23"/>
      <c r="Z158" s="9">
        <f t="shared" si="43"/>
        <v>0</v>
      </c>
      <c r="AB158" s="9">
        <f t="shared" si="44"/>
        <v>0</v>
      </c>
      <c r="AC158" s="9">
        <f t="shared" si="45"/>
        <v>0</v>
      </c>
      <c r="AD158" s="9">
        <f t="shared" si="46"/>
        <v>0</v>
      </c>
      <c r="AE158" s="9">
        <f t="shared" si="47"/>
        <v>0</v>
      </c>
      <c r="AF158" s="9">
        <f t="shared" si="48"/>
        <v>0</v>
      </c>
      <c r="AG158" s="9">
        <f t="shared" si="49"/>
        <v>0</v>
      </c>
      <c r="AH158" s="9">
        <f t="shared" si="50"/>
        <v>0</v>
      </c>
      <c r="AI158" s="11" t="s">
        <v>5</v>
      </c>
      <c r="AJ158" s="9">
        <f t="shared" si="51"/>
        <v>0</v>
      </c>
      <c r="AK158" s="9">
        <f t="shared" si="52"/>
        <v>0</v>
      </c>
      <c r="AL158" s="9">
        <f t="shared" si="53"/>
        <v>0</v>
      </c>
      <c r="AN158" s="9">
        <v>21</v>
      </c>
      <c r="AO158" s="9">
        <f t="shared" si="66"/>
        <v>0</v>
      </c>
      <c r="AP158" s="9">
        <f t="shared" si="67"/>
        <v>0</v>
      </c>
      <c r="AQ158" s="60" t="s">
        <v>1238</v>
      </c>
      <c r="AV158" s="9">
        <f t="shared" si="56"/>
        <v>0</v>
      </c>
      <c r="AW158" s="9">
        <f t="shared" si="57"/>
        <v>0</v>
      </c>
      <c r="AX158" s="9">
        <f t="shared" si="58"/>
        <v>0</v>
      </c>
      <c r="AY158" s="60" t="s">
        <v>190</v>
      </c>
      <c r="AZ158" s="60" t="s">
        <v>853</v>
      </c>
      <c r="BA158" s="11" t="s">
        <v>1092</v>
      </c>
      <c r="BC158" s="9">
        <f t="shared" si="59"/>
        <v>0</v>
      </c>
      <c r="BD158" s="9">
        <f t="shared" si="60"/>
        <v>0</v>
      </c>
      <c r="BE158" s="9">
        <v>0</v>
      </c>
      <c r="BF158" s="9">
        <f>158</f>
        <v>158</v>
      </c>
      <c r="BH158" s="9">
        <f t="shared" si="61"/>
        <v>0</v>
      </c>
      <c r="BI158" s="9">
        <f t="shared" si="62"/>
        <v>0</v>
      </c>
      <c r="BJ158" s="9">
        <f t="shared" si="63"/>
        <v>0</v>
      </c>
      <c r="BK158" s="9"/>
      <c r="BL158" s="9">
        <v>721</v>
      </c>
      <c r="BW158" s="9">
        <v>21</v>
      </c>
    </row>
    <row r="159" spans="1:75" ht="13.5" customHeight="1">
      <c r="A159" s="16" t="s">
        <v>1076</v>
      </c>
      <c r="B159" s="32" t="s">
        <v>5</v>
      </c>
      <c r="C159" s="32" t="s">
        <v>625</v>
      </c>
      <c r="D159" s="69" t="s">
        <v>1277</v>
      </c>
      <c r="E159" s="70"/>
      <c r="F159" s="32" t="s">
        <v>1026</v>
      </c>
      <c r="G159" s="9">
        <v>181</v>
      </c>
      <c r="H159" s="68">
        <v>0</v>
      </c>
      <c r="I159" s="9">
        <f t="shared" si="42"/>
        <v>0</v>
      </c>
      <c r="K159" s="23"/>
      <c r="Z159" s="9">
        <f t="shared" si="43"/>
        <v>0</v>
      </c>
      <c r="AB159" s="9">
        <f t="shared" si="44"/>
        <v>0</v>
      </c>
      <c r="AC159" s="9">
        <f t="shared" si="45"/>
        <v>0</v>
      </c>
      <c r="AD159" s="9">
        <f t="shared" si="46"/>
        <v>0</v>
      </c>
      <c r="AE159" s="9">
        <f t="shared" si="47"/>
        <v>0</v>
      </c>
      <c r="AF159" s="9">
        <f t="shared" si="48"/>
        <v>0</v>
      </c>
      <c r="AG159" s="9">
        <f t="shared" si="49"/>
        <v>0</v>
      </c>
      <c r="AH159" s="9">
        <f t="shared" si="50"/>
        <v>0</v>
      </c>
      <c r="AI159" s="11" t="s">
        <v>5</v>
      </c>
      <c r="AJ159" s="9">
        <f t="shared" si="51"/>
        <v>0</v>
      </c>
      <c r="AK159" s="9">
        <f t="shared" si="52"/>
        <v>0</v>
      </c>
      <c r="AL159" s="9">
        <f t="shared" si="53"/>
        <v>0</v>
      </c>
      <c r="AN159" s="9">
        <v>21</v>
      </c>
      <c r="AO159" s="9">
        <f t="shared" si="66"/>
        <v>0</v>
      </c>
      <c r="AP159" s="9">
        <f t="shared" si="67"/>
        <v>0</v>
      </c>
      <c r="AQ159" s="60" t="s">
        <v>1238</v>
      </c>
      <c r="AV159" s="9">
        <f t="shared" si="56"/>
        <v>0</v>
      </c>
      <c r="AW159" s="9">
        <f t="shared" si="57"/>
        <v>0</v>
      </c>
      <c r="AX159" s="9">
        <f t="shared" si="58"/>
        <v>0</v>
      </c>
      <c r="AY159" s="60" t="s">
        <v>190</v>
      </c>
      <c r="AZ159" s="60" t="s">
        <v>853</v>
      </c>
      <c r="BA159" s="11" t="s">
        <v>1092</v>
      </c>
      <c r="BC159" s="9">
        <f t="shared" si="59"/>
        <v>0</v>
      </c>
      <c r="BD159" s="9">
        <f t="shared" si="60"/>
        <v>0</v>
      </c>
      <c r="BE159" s="9">
        <v>0</v>
      </c>
      <c r="BF159" s="9">
        <f>159</f>
        <v>159</v>
      </c>
      <c r="BH159" s="9">
        <f t="shared" si="61"/>
        <v>0</v>
      </c>
      <c r="BI159" s="9">
        <f t="shared" si="62"/>
        <v>0</v>
      </c>
      <c r="BJ159" s="9">
        <f t="shared" si="63"/>
        <v>0</v>
      </c>
      <c r="BK159" s="9"/>
      <c r="BL159" s="9">
        <v>721</v>
      </c>
      <c r="BW159" s="9">
        <v>21</v>
      </c>
    </row>
    <row r="160" spans="1:75" ht="13.5" customHeight="1">
      <c r="A160" s="16" t="s">
        <v>38</v>
      </c>
      <c r="B160" s="32" t="s">
        <v>5</v>
      </c>
      <c r="C160" s="32" t="s">
        <v>681</v>
      </c>
      <c r="D160" s="69" t="s">
        <v>1061</v>
      </c>
      <c r="E160" s="70"/>
      <c r="F160" s="32" t="s">
        <v>861</v>
      </c>
      <c r="G160" s="9">
        <v>8</v>
      </c>
      <c r="H160" s="68">
        <v>0</v>
      </c>
      <c r="I160" s="9">
        <f t="shared" si="42"/>
        <v>0</v>
      </c>
      <c r="K160" s="23"/>
      <c r="Z160" s="9">
        <f t="shared" si="43"/>
        <v>0</v>
      </c>
      <c r="AB160" s="9">
        <f t="shared" si="44"/>
        <v>0</v>
      </c>
      <c r="AC160" s="9">
        <f t="shared" si="45"/>
        <v>0</v>
      </c>
      <c r="AD160" s="9">
        <f t="shared" si="46"/>
        <v>0</v>
      </c>
      <c r="AE160" s="9">
        <f t="shared" si="47"/>
        <v>0</v>
      </c>
      <c r="AF160" s="9">
        <f t="shared" si="48"/>
        <v>0</v>
      </c>
      <c r="AG160" s="9">
        <f t="shared" si="49"/>
        <v>0</v>
      </c>
      <c r="AH160" s="9">
        <f t="shared" si="50"/>
        <v>0</v>
      </c>
      <c r="AI160" s="11" t="s">
        <v>5</v>
      </c>
      <c r="AJ160" s="9">
        <f t="shared" si="51"/>
        <v>0</v>
      </c>
      <c r="AK160" s="9">
        <f t="shared" si="52"/>
        <v>0</v>
      </c>
      <c r="AL160" s="9">
        <f t="shared" si="53"/>
        <v>0</v>
      </c>
      <c r="AN160" s="9">
        <v>21</v>
      </c>
      <c r="AO160" s="9">
        <f t="shared" si="66"/>
        <v>0</v>
      </c>
      <c r="AP160" s="9">
        <f t="shared" si="67"/>
        <v>0</v>
      </c>
      <c r="AQ160" s="60" t="s">
        <v>1238</v>
      </c>
      <c r="AV160" s="9">
        <f t="shared" si="56"/>
        <v>0</v>
      </c>
      <c r="AW160" s="9">
        <f t="shared" si="57"/>
        <v>0</v>
      </c>
      <c r="AX160" s="9">
        <f t="shared" si="58"/>
        <v>0</v>
      </c>
      <c r="AY160" s="60" t="s">
        <v>190</v>
      </c>
      <c r="AZ160" s="60" t="s">
        <v>853</v>
      </c>
      <c r="BA160" s="11" t="s">
        <v>1092</v>
      </c>
      <c r="BC160" s="9">
        <f t="shared" si="59"/>
        <v>0</v>
      </c>
      <c r="BD160" s="9">
        <f t="shared" si="60"/>
        <v>0</v>
      </c>
      <c r="BE160" s="9">
        <v>0</v>
      </c>
      <c r="BF160" s="9">
        <f>160</f>
        <v>160</v>
      </c>
      <c r="BH160" s="9">
        <f t="shared" si="61"/>
        <v>0</v>
      </c>
      <c r="BI160" s="9">
        <f t="shared" si="62"/>
        <v>0</v>
      </c>
      <c r="BJ160" s="9">
        <f t="shared" si="63"/>
        <v>0</v>
      </c>
      <c r="BK160" s="9"/>
      <c r="BL160" s="9">
        <v>721</v>
      </c>
      <c r="BW160" s="9">
        <v>21</v>
      </c>
    </row>
    <row r="161" spans="1:75" ht="13.5" customHeight="1">
      <c r="A161" s="16" t="s">
        <v>511</v>
      </c>
      <c r="B161" s="32" t="s">
        <v>5</v>
      </c>
      <c r="C161" s="32" t="s">
        <v>1308</v>
      </c>
      <c r="D161" s="69" t="s">
        <v>705</v>
      </c>
      <c r="E161" s="70"/>
      <c r="F161" s="32" t="s">
        <v>798</v>
      </c>
      <c r="G161" s="9">
        <v>25</v>
      </c>
      <c r="H161" s="68">
        <v>0</v>
      </c>
      <c r="I161" s="9">
        <f t="shared" si="42"/>
        <v>0</v>
      </c>
      <c r="K161" s="23"/>
      <c r="Z161" s="9">
        <f t="shared" si="43"/>
        <v>0</v>
      </c>
      <c r="AB161" s="9">
        <f t="shared" si="44"/>
        <v>0</v>
      </c>
      <c r="AC161" s="9">
        <f t="shared" si="45"/>
        <v>0</v>
      </c>
      <c r="AD161" s="9">
        <f t="shared" si="46"/>
        <v>0</v>
      </c>
      <c r="AE161" s="9">
        <f t="shared" si="47"/>
        <v>0</v>
      </c>
      <c r="AF161" s="9">
        <f t="shared" si="48"/>
        <v>0</v>
      </c>
      <c r="AG161" s="9">
        <f t="shared" si="49"/>
        <v>0</v>
      </c>
      <c r="AH161" s="9">
        <f t="shared" si="50"/>
        <v>0</v>
      </c>
      <c r="AI161" s="11" t="s">
        <v>5</v>
      </c>
      <c r="AJ161" s="9">
        <f t="shared" si="51"/>
        <v>0</v>
      </c>
      <c r="AK161" s="9">
        <f t="shared" si="52"/>
        <v>0</v>
      </c>
      <c r="AL161" s="9">
        <f t="shared" si="53"/>
        <v>0</v>
      </c>
      <c r="AN161" s="9">
        <v>21</v>
      </c>
      <c r="AO161" s="9">
        <f t="shared" si="66"/>
        <v>0</v>
      </c>
      <c r="AP161" s="9">
        <f t="shared" si="67"/>
        <v>0</v>
      </c>
      <c r="AQ161" s="60" t="s">
        <v>1238</v>
      </c>
      <c r="AV161" s="9">
        <f t="shared" si="56"/>
        <v>0</v>
      </c>
      <c r="AW161" s="9">
        <f t="shared" si="57"/>
        <v>0</v>
      </c>
      <c r="AX161" s="9">
        <f t="shared" si="58"/>
        <v>0</v>
      </c>
      <c r="AY161" s="60" t="s">
        <v>190</v>
      </c>
      <c r="AZ161" s="60" t="s">
        <v>853</v>
      </c>
      <c r="BA161" s="11" t="s">
        <v>1092</v>
      </c>
      <c r="BC161" s="9">
        <f t="shared" si="59"/>
        <v>0</v>
      </c>
      <c r="BD161" s="9">
        <f t="shared" si="60"/>
        <v>0</v>
      </c>
      <c r="BE161" s="9">
        <v>0</v>
      </c>
      <c r="BF161" s="9">
        <f>161</f>
        <v>161</v>
      </c>
      <c r="BH161" s="9">
        <f t="shared" si="61"/>
        <v>0</v>
      </c>
      <c r="BI161" s="9">
        <f t="shared" si="62"/>
        <v>0</v>
      </c>
      <c r="BJ161" s="9">
        <f t="shared" si="63"/>
        <v>0</v>
      </c>
      <c r="BK161" s="9"/>
      <c r="BL161" s="9">
        <v>721</v>
      </c>
      <c r="BW161" s="9">
        <v>21</v>
      </c>
    </row>
    <row r="162" spans="1:75" ht="13.5" customHeight="1">
      <c r="A162" s="16" t="s">
        <v>158</v>
      </c>
      <c r="B162" s="32" t="s">
        <v>5</v>
      </c>
      <c r="C162" s="32" t="s">
        <v>544</v>
      </c>
      <c r="D162" s="69" t="s">
        <v>495</v>
      </c>
      <c r="E162" s="70"/>
      <c r="F162" s="32" t="s">
        <v>861</v>
      </c>
      <c r="G162" s="9">
        <v>1</v>
      </c>
      <c r="H162" s="68">
        <v>0</v>
      </c>
      <c r="I162" s="9">
        <f t="shared" si="42"/>
        <v>0</v>
      </c>
      <c r="K162" s="23"/>
      <c r="Z162" s="9">
        <f t="shared" si="43"/>
        <v>0</v>
      </c>
      <c r="AB162" s="9">
        <f t="shared" si="44"/>
        <v>0</v>
      </c>
      <c r="AC162" s="9">
        <f t="shared" si="45"/>
        <v>0</v>
      </c>
      <c r="AD162" s="9">
        <f t="shared" si="46"/>
        <v>0</v>
      </c>
      <c r="AE162" s="9">
        <f t="shared" si="47"/>
        <v>0</v>
      </c>
      <c r="AF162" s="9">
        <f t="shared" si="48"/>
        <v>0</v>
      </c>
      <c r="AG162" s="9">
        <f t="shared" si="49"/>
        <v>0</v>
      </c>
      <c r="AH162" s="9">
        <f t="shared" si="50"/>
        <v>0</v>
      </c>
      <c r="AI162" s="11" t="s">
        <v>5</v>
      </c>
      <c r="AJ162" s="9">
        <f t="shared" si="51"/>
        <v>0</v>
      </c>
      <c r="AK162" s="9">
        <f t="shared" si="52"/>
        <v>0</v>
      </c>
      <c r="AL162" s="9">
        <f t="shared" si="53"/>
        <v>0</v>
      </c>
      <c r="AN162" s="9">
        <v>21</v>
      </c>
      <c r="AO162" s="9">
        <f t="shared" si="66"/>
        <v>0</v>
      </c>
      <c r="AP162" s="9">
        <f t="shared" si="67"/>
        <v>0</v>
      </c>
      <c r="AQ162" s="60" t="s">
        <v>1238</v>
      </c>
      <c r="AV162" s="9">
        <f t="shared" si="56"/>
        <v>0</v>
      </c>
      <c r="AW162" s="9">
        <f t="shared" si="57"/>
        <v>0</v>
      </c>
      <c r="AX162" s="9">
        <f t="shared" si="58"/>
        <v>0</v>
      </c>
      <c r="AY162" s="60" t="s">
        <v>190</v>
      </c>
      <c r="AZ162" s="60" t="s">
        <v>853</v>
      </c>
      <c r="BA162" s="11" t="s">
        <v>1092</v>
      </c>
      <c r="BC162" s="9">
        <f t="shared" si="59"/>
        <v>0</v>
      </c>
      <c r="BD162" s="9">
        <f t="shared" si="60"/>
        <v>0</v>
      </c>
      <c r="BE162" s="9">
        <v>0</v>
      </c>
      <c r="BF162" s="9">
        <f>162</f>
        <v>162</v>
      </c>
      <c r="BH162" s="9">
        <f t="shared" si="61"/>
        <v>0</v>
      </c>
      <c r="BI162" s="9">
        <f t="shared" si="62"/>
        <v>0</v>
      </c>
      <c r="BJ162" s="9">
        <f t="shared" si="63"/>
        <v>0</v>
      </c>
      <c r="BK162" s="9"/>
      <c r="BL162" s="9">
        <v>721</v>
      </c>
      <c r="BW162" s="9">
        <v>21</v>
      </c>
    </row>
    <row r="163" spans="1:75" ht="13.5" customHeight="1">
      <c r="A163" s="16" t="s">
        <v>1380</v>
      </c>
      <c r="B163" s="32" t="s">
        <v>5</v>
      </c>
      <c r="C163" s="32" t="s">
        <v>328</v>
      </c>
      <c r="D163" s="69" t="s">
        <v>1250</v>
      </c>
      <c r="E163" s="70"/>
      <c r="F163" s="32" t="s">
        <v>861</v>
      </c>
      <c r="G163" s="9">
        <v>1</v>
      </c>
      <c r="H163" s="68">
        <v>0</v>
      </c>
      <c r="I163" s="9">
        <f t="shared" si="42"/>
        <v>0</v>
      </c>
      <c r="K163" s="23"/>
      <c r="Z163" s="9">
        <f t="shared" si="43"/>
        <v>0</v>
      </c>
      <c r="AB163" s="9">
        <f t="shared" si="44"/>
        <v>0</v>
      </c>
      <c r="AC163" s="9">
        <f t="shared" si="45"/>
        <v>0</v>
      </c>
      <c r="AD163" s="9">
        <f t="shared" si="46"/>
        <v>0</v>
      </c>
      <c r="AE163" s="9">
        <f t="shared" si="47"/>
        <v>0</v>
      </c>
      <c r="AF163" s="9">
        <f t="shared" si="48"/>
        <v>0</v>
      </c>
      <c r="AG163" s="9">
        <f t="shared" si="49"/>
        <v>0</v>
      </c>
      <c r="AH163" s="9">
        <f t="shared" si="50"/>
        <v>0</v>
      </c>
      <c r="AI163" s="11" t="s">
        <v>5</v>
      </c>
      <c r="AJ163" s="9">
        <f t="shared" si="51"/>
        <v>0</v>
      </c>
      <c r="AK163" s="9">
        <f t="shared" si="52"/>
        <v>0</v>
      </c>
      <c r="AL163" s="9">
        <f t="shared" si="53"/>
        <v>0</v>
      </c>
      <c r="AN163" s="9">
        <v>21</v>
      </c>
      <c r="AO163" s="9">
        <f t="shared" si="66"/>
        <v>0</v>
      </c>
      <c r="AP163" s="9">
        <f t="shared" si="67"/>
        <v>0</v>
      </c>
      <c r="AQ163" s="60" t="s">
        <v>1238</v>
      </c>
      <c r="AV163" s="9">
        <f t="shared" si="56"/>
        <v>0</v>
      </c>
      <c r="AW163" s="9">
        <f t="shared" si="57"/>
        <v>0</v>
      </c>
      <c r="AX163" s="9">
        <f t="shared" si="58"/>
        <v>0</v>
      </c>
      <c r="AY163" s="60" t="s">
        <v>190</v>
      </c>
      <c r="AZ163" s="60" t="s">
        <v>853</v>
      </c>
      <c r="BA163" s="11" t="s">
        <v>1092</v>
      </c>
      <c r="BC163" s="9">
        <f t="shared" si="59"/>
        <v>0</v>
      </c>
      <c r="BD163" s="9">
        <f t="shared" si="60"/>
        <v>0</v>
      </c>
      <c r="BE163" s="9">
        <v>0</v>
      </c>
      <c r="BF163" s="9">
        <f>163</f>
        <v>163</v>
      </c>
      <c r="BH163" s="9">
        <f t="shared" si="61"/>
        <v>0</v>
      </c>
      <c r="BI163" s="9">
        <f t="shared" si="62"/>
        <v>0</v>
      </c>
      <c r="BJ163" s="9">
        <f t="shared" si="63"/>
        <v>0</v>
      </c>
      <c r="BK163" s="9"/>
      <c r="BL163" s="9">
        <v>721</v>
      </c>
      <c r="BW163" s="9">
        <v>21</v>
      </c>
    </row>
    <row r="164" spans="1:75" ht="13.5" customHeight="1">
      <c r="A164" s="16" t="s">
        <v>612</v>
      </c>
      <c r="B164" s="32" t="s">
        <v>5</v>
      </c>
      <c r="C164" s="32" t="s">
        <v>1312</v>
      </c>
      <c r="D164" s="69" t="s">
        <v>1232</v>
      </c>
      <c r="E164" s="70"/>
      <c r="F164" s="32" t="s">
        <v>861</v>
      </c>
      <c r="G164" s="9">
        <v>1</v>
      </c>
      <c r="H164" s="68">
        <v>0</v>
      </c>
      <c r="I164" s="9">
        <f t="shared" si="42"/>
        <v>0</v>
      </c>
      <c r="K164" s="23"/>
      <c r="Z164" s="9">
        <f t="shared" si="43"/>
        <v>0</v>
      </c>
      <c r="AB164" s="9">
        <f t="shared" si="44"/>
        <v>0</v>
      </c>
      <c r="AC164" s="9">
        <f t="shared" si="45"/>
        <v>0</v>
      </c>
      <c r="AD164" s="9">
        <f t="shared" si="46"/>
        <v>0</v>
      </c>
      <c r="AE164" s="9">
        <f t="shared" si="47"/>
        <v>0</v>
      </c>
      <c r="AF164" s="9">
        <f t="shared" si="48"/>
        <v>0</v>
      </c>
      <c r="AG164" s="9">
        <f t="shared" si="49"/>
        <v>0</v>
      </c>
      <c r="AH164" s="9">
        <f t="shared" si="50"/>
        <v>0</v>
      </c>
      <c r="AI164" s="11" t="s">
        <v>5</v>
      </c>
      <c r="AJ164" s="9">
        <f t="shared" si="51"/>
        <v>0</v>
      </c>
      <c r="AK164" s="9">
        <f t="shared" si="52"/>
        <v>0</v>
      </c>
      <c r="AL164" s="9">
        <f t="shared" si="53"/>
        <v>0</v>
      </c>
      <c r="AN164" s="9">
        <v>21</v>
      </c>
      <c r="AO164" s="9">
        <f t="shared" si="66"/>
        <v>0</v>
      </c>
      <c r="AP164" s="9">
        <f t="shared" si="67"/>
        <v>0</v>
      </c>
      <c r="AQ164" s="60" t="s">
        <v>1238</v>
      </c>
      <c r="AV164" s="9">
        <f t="shared" si="56"/>
        <v>0</v>
      </c>
      <c r="AW164" s="9">
        <f t="shared" si="57"/>
        <v>0</v>
      </c>
      <c r="AX164" s="9">
        <f t="shared" si="58"/>
        <v>0</v>
      </c>
      <c r="AY164" s="60" t="s">
        <v>190</v>
      </c>
      <c r="AZ164" s="60" t="s">
        <v>853</v>
      </c>
      <c r="BA164" s="11" t="s">
        <v>1092</v>
      </c>
      <c r="BC164" s="9">
        <f t="shared" si="59"/>
        <v>0</v>
      </c>
      <c r="BD164" s="9">
        <f t="shared" si="60"/>
        <v>0</v>
      </c>
      <c r="BE164" s="9">
        <v>0</v>
      </c>
      <c r="BF164" s="9">
        <f>164</f>
        <v>164</v>
      </c>
      <c r="BH164" s="9">
        <f t="shared" si="61"/>
        <v>0</v>
      </c>
      <c r="BI164" s="9">
        <f t="shared" si="62"/>
        <v>0</v>
      </c>
      <c r="BJ164" s="9">
        <f t="shared" si="63"/>
        <v>0</v>
      </c>
      <c r="BK164" s="9"/>
      <c r="BL164" s="9">
        <v>721</v>
      </c>
      <c r="BW164" s="9">
        <v>21</v>
      </c>
    </row>
    <row r="165" spans="1:47" ht="15" customHeight="1">
      <c r="A165" s="39" t="s">
        <v>852</v>
      </c>
      <c r="B165" s="48" t="s">
        <v>5</v>
      </c>
      <c r="C165" s="48" t="s">
        <v>1116</v>
      </c>
      <c r="D165" s="122" t="s">
        <v>268</v>
      </c>
      <c r="E165" s="123"/>
      <c r="F165" s="51" t="s">
        <v>1142</v>
      </c>
      <c r="G165" s="51" t="s">
        <v>1142</v>
      </c>
      <c r="H165" s="51" t="s">
        <v>1142</v>
      </c>
      <c r="I165" s="55">
        <f>SUM(I166:I217)</f>
        <v>0</v>
      </c>
      <c r="K165" s="23"/>
      <c r="AI165" s="11" t="s">
        <v>5</v>
      </c>
      <c r="AS165" s="55">
        <f>SUM(AJ166:AJ217)</f>
        <v>0</v>
      </c>
      <c r="AT165" s="55">
        <f>SUM(AK166:AK217)</f>
        <v>0</v>
      </c>
      <c r="AU165" s="55">
        <f>SUM(AL166:AL217)</f>
        <v>0</v>
      </c>
    </row>
    <row r="166" spans="1:75" ht="13.5" customHeight="1">
      <c r="A166" s="16" t="s">
        <v>1016</v>
      </c>
      <c r="B166" s="32" t="s">
        <v>5</v>
      </c>
      <c r="C166" s="32" t="s">
        <v>1100</v>
      </c>
      <c r="D166" s="69" t="s">
        <v>345</v>
      </c>
      <c r="E166" s="70"/>
      <c r="F166" s="32" t="s">
        <v>1026</v>
      </c>
      <c r="G166" s="9">
        <v>79.5</v>
      </c>
      <c r="H166" s="68">
        <v>0</v>
      </c>
      <c r="I166" s="9">
        <f aca="true" t="shared" si="68" ref="I166:I197">G166*H166</f>
        <v>0</v>
      </c>
      <c r="K166" s="23"/>
      <c r="Z166" s="9">
        <f aca="true" t="shared" si="69" ref="Z166:Z197">IF(AQ166="5",BJ166,0)</f>
        <v>0</v>
      </c>
      <c r="AB166" s="9">
        <f aca="true" t="shared" si="70" ref="AB166:AB197">IF(AQ166="1",BH166,0)</f>
        <v>0</v>
      </c>
      <c r="AC166" s="9">
        <f aca="true" t="shared" si="71" ref="AC166:AC197">IF(AQ166="1",BI166,0)</f>
        <v>0</v>
      </c>
      <c r="AD166" s="9">
        <f aca="true" t="shared" si="72" ref="AD166:AD197">IF(AQ166="7",BH166,0)</f>
        <v>0</v>
      </c>
      <c r="AE166" s="9">
        <f aca="true" t="shared" si="73" ref="AE166:AE197">IF(AQ166="7",BI166,0)</f>
        <v>0</v>
      </c>
      <c r="AF166" s="9">
        <f aca="true" t="shared" si="74" ref="AF166:AF197">IF(AQ166="2",BH166,0)</f>
        <v>0</v>
      </c>
      <c r="AG166" s="9">
        <f aca="true" t="shared" si="75" ref="AG166:AG197">IF(AQ166="2",BI166,0)</f>
        <v>0</v>
      </c>
      <c r="AH166" s="9">
        <f aca="true" t="shared" si="76" ref="AH166:AH197">IF(AQ166="0",BJ166,0)</f>
        <v>0</v>
      </c>
      <c r="AI166" s="11" t="s">
        <v>5</v>
      </c>
      <c r="AJ166" s="9">
        <f aca="true" t="shared" si="77" ref="AJ166:AJ197">IF(AN166=0,I166,0)</f>
        <v>0</v>
      </c>
      <c r="AK166" s="9">
        <f aca="true" t="shared" si="78" ref="AK166:AK197">IF(AN166=12,I166,0)</f>
        <v>0</v>
      </c>
      <c r="AL166" s="9">
        <f aca="true" t="shared" si="79" ref="AL166:AL197">IF(AN166=21,I166,0)</f>
        <v>0</v>
      </c>
      <c r="AN166" s="9">
        <v>21</v>
      </c>
      <c r="AO166" s="9">
        <f aca="true" t="shared" si="80" ref="AO166:AO171">H166*0</f>
        <v>0</v>
      </c>
      <c r="AP166" s="9">
        <f aca="true" t="shared" si="81" ref="AP166:AP171">H166*(1-0)</f>
        <v>0</v>
      </c>
      <c r="AQ166" s="60" t="s">
        <v>1238</v>
      </c>
      <c r="AV166" s="9">
        <f aca="true" t="shared" si="82" ref="AV166:AV197">AW166+AX166</f>
        <v>0</v>
      </c>
      <c r="AW166" s="9">
        <f aca="true" t="shared" si="83" ref="AW166:AW197">G166*AO166</f>
        <v>0</v>
      </c>
      <c r="AX166" s="9">
        <f aca="true" t="shared" si="84" ref="AX166:AX197">G166*AP166</f>
        <v>0</v>
      </c>
      <c r="AY166" s="60" t="s">
        <v>780</v>
      </c>
      <c r="AZ166" s="60" t="s">
        <v>853</v>
      </c>
      <c r="BA166" s="11" t="s">
        <v>1092</v>
      </c>
      <c r="BC166" s="9">
        <f aca="true" t="shared" si="85" ref="BC166:BC197">AW166+AX166</f>
        <v>0</v>
      </c>
      <c r="BD166" s="9">
        <f aca="true" t="shared" si="86" ref="BD166:BD197">H166/(100-BE166)*100</f>
        <v>0</v>
      </c>
      <c r="BE166" s="9">
        <v>0</v>
      </c>
      <c r="BF166" s="9">
        <f>166</f>
        <v>166</v>
      </c>
      <c r="BH166" s="9">
        <f aca="true" t="shared" si="87" ref="BH166:BH197">G166*AO166</f>
        <v>0</v>
      </c>
      <c r="BI166" s="9">
        <f aca="true" t="shared" si="88" ref="BI166:BI197">G166*AP166</f>
        <v>0</v>
      </c>
      <c r="BJ166" s="9">
        <f aca="true" t="shared" si="89" ref="BJ166:BJ197">G166*H166</f>
        <v>0</v>
      </c>
      <c r="BK166" s="9"/>
      <c r="BL166" s="9">
        <v>722</v>
      </c>
      <c r="BW166" s="9">
        <v>21</v>
      </c>
    </row>
    <row r="167" spans="1:75" ht="13.5" customHeight="1">
      <c r="A167" s="16" t="s">
        <v>593</v>
      </c>
      <c r="B167" s="32" t="s">
        <v>5</v>
      </c>
      <c r="C167" s="32" t="s">
        <v>816</v>
      </c>
      <c r="D167" s="69" t="s">
        <v>1364</v>
      </c>
      <c r="E167" s="70"/>
      <c r="F167" s="32" t="s">
        <v>861</v>
      </c>
      <c r="G167" s="9">
        <v>8</v>
      </c>
      <c r="H167" s="68">
        <v>0</v>
      </c>
      <c r="I167" s="9">
        <f t="shared" si="68"/>
        <v>0</v>
      </c>
      <c r="K167" s="23"/>
      <c r="Z167" s="9">
        <f t="shared" si="69"/>
        <v>0</v>
      </c>
      <c r="AB167" s="9">
        <f t="shared" si="70"/>
        <v>0</v>
      </c>
      <c r="AC167" s="9">
        <f t="shared" si="71"/>
        <v>0</v>
      </c>
      <c r="AD167" s="9">
        <f t="shared" si="72"/>
        <v>0</v>
      </c>
      <c r="AE167" s="9">
        <f t="shared" si="73"/>
        <v>0</v>
      </c>
      <c r="AF167" s="9">
        <f t="shared" si="74"/>
        <v>0</v>
      </c>
      <c r="AG167" s="9">
        <f t="shared" si="75"/>
        <v>0</v>
      </c>
      <c r="AH167" s="9">
        <f t="shared" si="76"/>
        <v>0</v>
      </c>
      <c r="AI167" s="11" t="s">
        <v>5</v>
      </c>
      <c r="AJ167" s="9">
        <f t="shared" si="77"/>
        <v>0</v>
      </c>
      <c r="AK167" s="9">
        <f t="shared" si="78"/>
        <v>0</v>
      </c>
      <c r="AL167" s="9">
        <f t="shared" si="79"/>
        <v>0</v>
      </c>
      <c r="AN167" s="9">
        <v>21</v>
      </c>
      <c r="AO167" s="9">
        <f t="shared" si="80"/>
        <v>0</v>
      </c>
      <c r="AP167" s="9">
        <f t="shared" si="81"/>
        <v>0</v>
      </c>
      <c r="AQ167" s="60" t="s">
        <v>1238</v>
      </c>
      <c r="AV167" s="9">
        <f t="shared" si="82"/>
        <v>0</v>
      </c>
      <c r="AW167" s="9">
        <f t="shared" si="83"/>
        <v>0</v>
      </c>
      <c r="AX167" s="9">
        <f t="shared" si="84"/>
        <v>0</v>
      </c>
      <c r="AY167" s="60" t="s">
        <v>780</v>
      </c>
      <c r="AZ167" s="60" t="s">
        <v>853</v>
      </c>
      <c r="BA167" s="11" t="s">
        <v>1092</v>
      </c>
      <c r="BC167" s="9">
        <f t="shared" si="85"/>
        <v>0</v>
      </c>
      <c r="BD167" s="9">
        <f t="shared" si="86"/>
        <v>0</v>
      </c>
      <c r="BE167" s="9">
        <v>0</v>
      </c>
      <c r="BF167" s="9">
        <f>167</f>
        <v>167</v>
      </c>
      <c r="BH167" s="9">
        <f t="shared" si="87"/>
        <v>0</v>
      </c>
      <c r="BI167" s="9">
        <f t="shared" si="88"/>
        <v>0</v>
      </c>
      <c r="BJ167" s="9">
        <f t="shared" si="89"/>
        <v>0</v>
      </c>
      <c r="BK167" s="9"/>
      <c r="BL167" s="9">
        <v>722</v>
      </c>
      <c r="BW167" s="9">
        <v>21</v>
      </c>
    </row>
    <row r="168" spans="1:75" ht="27" customHeight="1">
      <c r="A168" s="16" t="s">
        <v>789</v>
      </c>
      <c r="B168" s="32" t="s">
        <v>5</v>
      </c>
      <c r="C168" s="32" t="s">
        <v>688</v>
      </c>
      <c r="D168" s="69" t="s">
        <v>1382</v>
      </c>
      <c r="E168" s="70"/>
      <c r="F168" s="32" t="s">
        <v>861</v>
      </c>
      <c r="G168" s="9">
        <v>6</v>
      </c>
      <c r="H168" s="68">
        <v>0</v>
      </c>
      <c r="I168" s="9">
        <f t="shared" si="68"/>
        <v>0</v>
      </c>
      <c r="K168" s="23"/>
      <c r="Z168" s="9">
        <f t="shared" si="69"/>
        <v>0</v>
      </c>
      <c r="AB168" s="9">
        <f t="shared" si="70"/>
        <v>0</v>
      </c>
      <c r="AC168" s="9">
        <f t="shared" si="71"/>
        <v>0</v>
      </c>
      <c r="AD168" s="9">
        <f t="shared" si="72"/>
        <v>0</v>
      </c>
      <c r="AE168" s="9">
        <f t="shared" si="73"/>
        <v>0</v>
      </c>
      <c r="AF168" s="9">
        <f t="shared" si="74"/>
        <v>0</v>
      </c>
      <c r="AG168" s="9">
        <f t="shared" si="75"/>
        <v>0</v>
      </c>
      <c r="AH168" s="9">
        <f t="shared" si="76"/>
        <v>0</v>
      </c>
      <c r="AI168" s="11" t="s">
        <v>5</v>
      </c>
      <c r="AJ168" s="9">
        <f t="shared" si="77"/>
        <v>0</v>
      </c>
      <c r="AK168" s="9">
        <f t="shared" si="78"/>
        <v>0</v>
      </c>
      <c r="AL168" s="9">
        <f t="shared" si="79"/>
        <v>0</v>
      </c>
      <c r="AN168" s="9">
        <v>21</v>
      </c>
      <c r="AO168" s="9">
        <f t="shared" si="80"/>
        <v>0</v>
      </c>
      <c r="AP168" s="9">
        <f t="shared" si="81"/>
        <v>0</v>
      </c>
      <c r="AQ168" s="60" t="s">
        <v>1238</v>
      </c>
      <c r="AV168" s="9">
        <f t="shared" si="82"/>
        <v>0</v>
      </c>
      <c r="AW168" s="9">
        <f t="shared" si="83"/>
        <v>0</v>
      </c>
      <c r="AX168" s="9">
        <f t="shared" si="84"/>
        <v>0</v>
      </c>
      <c r="AY168" s="60" t="s">
        <v>780</v>
      </c>
      <c r="AZ168" s="60" t="s">
        <v>853</v>
      </c>
      <c r="BA168" s="11" t="s">
        <v>1092</v>
      </c>
      <c r="BC168" s="9">
        <f t="shared" si="85"/>
        <v>0</v>
      </c>
      <c r="BD168" s="9">
        <f t="shared" si="86"/>
        <v>0</v>
      </c>
      <c r="BE168" s="9">
        <v>0</v>
      </c>
      <c r="BF168" s="9">
        <f>168</f>
        <v>168</v>
      </c>
      <c r="BH168" s="9">
        <f t="shared" si="87"/>
        <v>0</v>
      </c>
      <c r="BI168" s="9">
        <f t="shared" si="88"/>
        <v>0</v>
      </c>
      <c r="BJ168" s="9">
        <f t="shared" si="89"/>
        <v>0</v>
      </c>
      <c r="BK168" s="9"/>
      <c r="BL168" s="9">
        <v>722</v>
      </c>
      <c r="BW168" s="9">
        <v>21</v>
      </c>
    </row>
    <row r="169" spans="1:75" ht="13.5" customHeight="1">
      <c r="A169" s="16" t="s">
        <v>1359</v>
      </c>
      <c r="B169" s="32" t="s">
        <v>5</v>
      </c>
      <c r="C169" s="32" t="s">
        <v>1341</v>
      </c>
      <c r="D169" s="69" t="s">
        <v>1200</v>
      </c>
      <c r="E169" s="70"/>
      <c r="F169" s="32" t="s">
        <v>861</v>
      </c>
      <c r="G169" s="9">
        <v>4</v>
      </c>
      <c r="H169" s="68">
        <v>0</v>
      </c>
      <c r="I169" s="9">
        <f t="shared" si="68"/>
        <v>0</v>
      </c>
      <c r="K169" s="23"/>
      <c r="Z169" s="9">
        <f t="shared" si="69"/>
        <v>0</v>
      </c>
      <c r="AB169" s="9">
        <f t="shared" si="70"/>
        <v>0</v>
      </c>
      <c r="AC169" s="9">
        <f t="shared" si="71"/>
        <v>0</v>
      </c>
      <c r="AD169" s="9">
        <f t="shared" si="72"/>
        <v>0</v>
      </c>
      <c r="AE169" s="9">
        <f t="shared" si="73"/>
        <v>0</v>
      </c>
      <c r="AF169" s="9">
        <f t="shared" si="74"/>
        <v>0</v>
      </c>
      <c r="AG169" s="9">
        <f t="shared" si="75"/>
        <v>0</v>
      </c>
      <c r="AH169" s="9">
        <f t="shared" si="76"/>
        <v>0</v>
      </c>
      <c r="AI169" s="11" t="s">
        <v>5</v>
      </c>
      <c r="AJ169" s="9">
        <f t="shared" si="77"/>
        <v>0</v>
      </c>
      <c r="AK169" s="9">
        <f t="shared" si="78"/>
        <v>0</v>
      </c>
      <c r="AL169" s="9">
        <f t="shared" si="79"/>
        <v>0</v>
      </c>
      <c r="AN169" s="9">
        <v>21</v>
      </c>
      <c r="AO169" s="9">
        <f t="shared" si="80"/>
        <v>0</v>
      </c>
      <c r="AP169" s="9">
        <f t="shared" si="81"/>
        <v>0</v>
      </c>
      <c r="AQ169" s="60" t="s">
        <v>1238</v>
      </c>
      <c r="AV169" s="9">
        <f t="shared" si="82"/>
        <v>0</v>
      </c>
      <c r="AW169" s="9">
        <f t="shared" si="83"/>
        <v>0</v>
      </c>
      <c r="AX169" s="9">
        <f t="shared" si="84"/>
        <v>0</v>
      </c>
      <c r="AY169" s="60" t="s">
        <v>780</v>
      </c>
      <c r="AZ169" s="60" t="s">
        <v>853</v>
      </c>
      <c r="BA169" s="11" t="s">
        <v>1092</v>
      </c>
      <c r="BC169" s="9">
        <f t="shared" si="85"/>
        <v>0</v>
      </c>
      <c r="BD169" s="9">
        <f t="shared" si="86"/>
        <v>0</v>
      </c>
      <c r="BE169" s="9">
        <v>0</v>
      </c>
      <c r="BF169" s="9">
        <f>169</f>
        <v>169</v>
      </c>
      <c r="BH169" s="9">
        <f t="shared" si="87"/>
        <v>0</v>
      </c>
      <c r="BI169" s="9">
        <f t="shared" si="88"/>
        <v>0</v>
      </c>
      <c r="BJ169" s="9">
        <f t="shared" si="89"/>
        <v>0</v>
      </c>
      <c r="BK169" s="9"/>
      <c r="BL169" s="9">
        <v>722</v>
      </c>
      <c r="BW169" s="9">
        <v>21</v>
      </c>
    </row>
    <row r="170" spans="1:75" ht="13.5" customHeight="1">
      <c r="A170" s="16" t="s">
        <v>864</v>
      </c>
      <c r="B170" s="32" t="s">
        <v>5</v>
      </c>
      <c r="C170" s="32" t="s">
        <v>1106</v>
      </c>
      <c r="D170" s="69" t="s">
        <v>1180</v>
      </c>
      <c r="E170" s="70"/>
      <c r="F170" s="32" t="s">
        <v>861</v>
      </c>
      <c r="G170" s="9">
        <v>1</v>
      </c>
      <c r="H170" s="68">
        <v>0</v>
      </c>
      <c r="I170" s="9">
        <f t="shared" si="68"/>
        <v>0</v>
      </c>
      <c r="K170" s="23"/>
      <c r="Z170" s="9">
        <f t="shared" si="69"/>
        <v>0</v>
      </c>
      <c r="AB170" s="9">
        <f t="shared" si="70"/>
        <v>0</v>
      </c>
      <c r="AC170" s="9">
        <f t="shared" si="71"/>
        <v>0</v>
      </c>
      <c r="AD170" s="9">
        <f t="shared" si="72"/>
        <v>0</v>
      </c>
      <c r="AE170" s="9">
        <f t="shared" si="73"/>
        <v>0</v>
      </c>
      <c r="AF170" s="9">
        <f t="shared" si="74"/>
        <v>0</v>
      </c>
      <c r="AG170" s="9">
        <f t="shared" si="75"/>
        <v>0</v>
      </c>
      <c r="AH170" s="9">
        <f t="shared" si="76"/>
        <v>0</v>
      </c>
      <c r="AI170" s="11" t="s">
        <v>5</v>
      </c>
      <c r="AJ170" s="9">
        <f t="shared" si="77"/>
        <v>0</v>
      </c>
      <c r="AK170" s="9">
        <f t="shared" si="78"/>
        <v>0</v>
      </c>
      <c r="AL170" s="9">
        <f t="shared" si="79"/>
        <v>0</v>
      </c>
      <c r="AN170" s="9">
        <v>21</v>
      </c>
      <c r="AO170" s="9">
        <f t="shared" si="80"/>
        <v>0</v>
      </c>
      <c r="AP170" s="9">
        <f t="shared" si="81"/>
        <v>0</v>
      </c>
      <c r="AQ170" s="60" t="s">
        <v>1238</v>
      </c>
      <c r="AV170" s="9">
        <f t="shared" si="82"/>
        <v>0</v>
      </c>
      <c r="AW170" s="9">
        <f t="shared" si="83"/>
        <v>0</v>
      </c>
      <c r="AX170" s="9">
        <f t="shared" si="84"/>
        <v>0</v>
      </c>
      <c r="AY170" s="60" t="s">
        <v>780</v>
      </c>
      <c r="AZ170" s="60" t="s">
        <v>853</v>
      </c>
      <c r="BA170" s="11" t="s">
        <v>1092</v>
      </c>
      <c r="BC170" s="9">
        <f t="shared" si="85"/>
        <v>0</v>
      </c>
      <c r="BD170" s="9">
        <f t="shared" si="86"/>
        <v>0</v>
      </c>
      <c r="BE170" s="9">
        <v>0</v>
      </c>
      <c r="BF170" s="9">
        <f>170</f>
        <v>170</v>
      </c>
      <c r="BH170" s="9">
        <f t="shared" si="87"/>
        <v>0</v>
      </c>
      <c r="BI170" s="9">
        <f t="shared" si="88"/>
        <v>0</v>
      </c>
      <c r="BJ170" s="9">
        <f t="shared" si="89"/>
        <v>0</v>
      </c>
      <c r="BK170" s="9"/>
      <c r="BL170" s="9">
        <v>722</v>
      </c>
      <c r="BW170" s="9">
        <v>21</v>
      </c>
    </row>
    <row r="171" spans="1:75" ht="13.5" customHeight="1">
      <c r="A171" s="16" t="s">
        <v>1379</v>
      </c>
      <c r="B171" s="32" t="s">
        <v>5</v>
      </c>
      <c r="C171" s="32" t="s">
        <v>496</v>
      </c>
      <c r="D171" s="69" t="s">
        <v>1247</v>
      </c>
      <c r="E171" s="70"/>
      <c r="F171" s="32" t="s">
        <v>861</v>
      </c>
      <c r="G171" s="9">
        <v>1</v>
      </c>
      <c r="H171" s="68">
        <v>0</v>
      </c>
      <c r="I171" s="9">
        <f t="shared" si="68"/>
        <v>0</v>
      </c>
      <c r="K171" s="23"/>
      <c r="Z171" s="9">
        <f t="shared" si="69"/>
        <v>0</v>
      </c>
      <c r="AB171" s="9">
        <f t="shared" si="70"/>
        <v>0</v>
      </c>
      <c r="AC171" s="9">
        <f t="shared" si="71"/>
        <v>0</v>
      </c>
      <c r="AD171" s="9">
        <f t="shared" si="72"/>
        <v>0</v>
      </c>
      <c r="AE171" s="9">
        <f t="shared" si="73"/>
        <v>0</v>
      </c>
      <c r="AF171" s="9">
        <f t="shared" si="74"/>
        <v>0</v>
      </c>
      <c r="AG171" s="9">
        <f t="shared" si="75"/>
        <v>0</v>
      </c>
      <c r="AH171" s="9">
        <f t="shared" si="76"/>
        <v>0</v>
      </c>
      <c r="AI171" s="11" t="s">
        <v>5</v>
      </c>
      <c r="AJ171" s="9">
        <f t="shared" si="77"/>
        <v>0</v>
      </c>
      <c r="AK171" s="9">
        <f t="shared" si="78"/>
        <v>0</v>
      </c>
      <c r="AL171" s="9">
        <f t="shared" si="79"/>
        <v>0</v>
      </c>
      <c r="AN171" s="9">
        <v>21</v>
      </c>
      <c r="AO171" s="9">
        <f t="shared" si="80"/>
        <v>0</v>
      </c>
      <c r="AP171" s="9">
        <f t="shared" si="81"/>
        <v>0</v>
      </c>
      <c r="AQ171" s="60" t="s">
        <v>1238</v>
      </c>
      <c r="AV171" s="9">
        <f t="shared" si="82"/>
        <v>0</v>
      </c>
      <c r="AW171" s="9">
        <f t="shared" si="83"/>
        <v>0</v>
      </c>
      <c r="AX171" s="9">
        <f t="shared" si="84"/>
        <v>0</v>
      </c>
      <c r="AY171" s="60" t="s">
        <v>780</v>
      </c>
      <c r="AZ171" s="60" t="s">
        <v>853</v>
      </c>
      <c r="BA171" s="11" t="s">
        <v>1092</v>
      </c>
      <c r="BC171" s="9">
        <f t="shared" si="85"/>
        <v>0</v>
      </c>
      <c r="BD171" s="9">
        <f t="shared" si="86"/>
        <v>0</v>
      </c>
      <c r="BE171" s="9">
        <v>0</v>
      </c>
      <c r="BF171" s="9">
        <f>171</f>
        <v>171</v>
      </c>
      <c r="BH171" s="9">
        <f t="shared" si="87"/>
        <v>0</v>
      </c>
      <c r="BI171" s="9">
        <f t="shared" si="88"/>
        <v>0</v>
      </c>
      <c r="BJ171" s="9">
        <f t="shared" si="89"/>
        <v>0</v>
      </c>
      <c r="BK171" s="9"/>
      <c r="BL171" s="9">
        <v>722</v>
      </c>
      <c r="BW171" s="9">
        <v>21</v>
      </c>
    </row>
    <row r="172" spans="1:75" ht="13.5" customHeight="1">
      <c r="A172" s="16" t="s">
        <v>1276</v>
      </c>
      <c r="B172" s="32" t="s">
        <v>5</v>
      </c>
      <c r="C172" s="32" t="s">
        <v>709</v>
      </c>
      <c r="D172" s="69" t="s">
        <v>39</v>
      </c>
      <c r="E172" s="70"/>
      <c r="F172" s="32" t="s">
        <v>1026</v>
      </c>
      <c r="G172" s="9">
        <v>199.5</v>
      </c>
      <c r="H172" s="68">
        <v>0</v>
      </c>
      <c r="I172" s="9">
        <f t="shared" si="68"/>
        <v>0</v>
      </c>
      <c r="K172" s="23"/>
      <c r="Z172" s="9">
        <f t="shared" si="69"/>
        <v>0</v>
      </c>
      <c r="AB172" s="9">
        <f t="shared" si="70"/>
        <v>0</v>
      </c>
      <c r="AC172" s="9">
        <f t="shared" si="71"/>
        <v>0</v>
      </c>
      <c r="AD172" s="9">
        <f t="shared" si="72"/>
        <v>0</v>
      </c>
      <c r="AE172" s="9">
        <f t="shared" si="73"/>
        <v>0</v>
      </c>
      <c r="AF172" s="9">
        <f t="shared" si="74"/>
        <v>0</v>
      </c>
      <c r="AG172" s="9">
        <f t="shared" si="75"/>
        <v>0</v>
      </c>
      <c r="AH172" s="9">
        <f t="shared" si="76"/>
        <v>0</v>
      </c>
      <c r="AI172" s="11" t="s">
        <v>5</v>
      </c>
      <c r="AJ172" s="9">
        <f t="shared" si="77"/>
        <v>0</v>
      </c>
      <c r="AK172" s="9">
        <f t="shared" si="78"/>
        <v>0</v>
      </c>
      <c r="AL172" s="9">
        <f t="shared" si="79"/>
        <v>0</v>
      </c>
      <c r="AN172" s="9">
        <v>21</v>
      </c>
      <c r="AO172" s="9">
        <f aca="true" t="shared" si="90" ref="AO172:AO202">H172*0.53</f>
        <v>0</v>
      </c>
      <c r="AP172" s="9">
        <f aca="true" t="shared" si="91" ref="AP172:AP202">H172*(1-0.53)</f>
        <v>0</v>
      </c>
      <c r="AQ172" s="60" t="s">
        <v>1238</v>
      </c>
      <c r="AV172" s="9">
        <f t="shared" si="82"/>
        <v>0</v>
      </c>
      <c r="AW172" s="9">
        <f t="shared" si="83"/>
        <v>0</v>
      </c>
      <c r="AX172" s="9">
        <f t="shared" si="84"/>
        <v>0</v>
      </c>
      <c r="AY172" s="60" t="s">
        <v>780</v>
      </c>
      <c r="AZ172" s="60" t="s">
        <v>853</v>
      </c>
      <c r="BA172" s="11" t="s">
        <v>1092</v>
      </c>
      <c r="BC172" s="9">
        <f t="shared" si="85"/>
        <v>0</v>
      </c>
      <c r="BD172" s="9">
        <f t="shared" si="86"/>
        <v>0</v>
      </c>
      <c r="BE172" s="9">
        <v>0</v>
      </c>
      <c r="BF172" s="9">
        <f>172</f>
        <v>172</v>
      </c>
      <c r="BH172" s="9">
        <f t="shared" si="87"/>
        <v>0</v>
      </c>
      <c r="BI172" s="9">
        <f t="shared" si="88"/>
        <v>0</v>
      </c>
      <c r="BJ172" s="9">
        <f t="shared" si="89"/>
        <v>0</v>
      </c>
      <c r="BK172" s="9"/>
      <c r="BL172" s="9">
        <v>722</v>
      </c>
      <c r="BW172" s="9">
        <v>21</v>
      </c>
    </row>
    <row r="173" spans="1:75" ht="13.5" customHeight="1">
      <c r="A173" s="16" t="s">
        <v>1182</v>
      </c>
      <c r="B173" s="32" t="s">
        <v>5</v>
      </c>
      <c r="C173" s="32" t="s">
        <v>258</v>
      </c>
      <c r="D173" s="69" t="s">
        <v>1169</v>
      </c>
      <c r="E173" s="70"/>
      <c r="F173" s="32" t="s">
        <v>1026</v>
      </c>
      <c r="G173" s="9">
        <v>31.5</v>
      </c>
      <c r="H173" s="68">
        <v>0</v>
      </c>
      <c r="I173" s="9">
        <f t="shared" si="68"/>
        <v>0</v>
      </c>
      <c r="K173" s="23"/>
      <c r="Z173" s="9">
        <f t="shared" si="69"/>
        <v>0</v>
      </c>
      <c r="AB173" s="9">
        <f t="shared" si="70"/>
        <v>0</v>
      </c>
      <c r="AC173" s="9">
        <f t="shared" si="71"/>
        <v>0</v>
      </c>
      <c r="AD173" s="9">
        <f t="shared" si="72"/>
        <v>0</v>
      </c>
      <c r="AE173" s="9">
        <f t="shared" si="73"/>
        <v>0</v>
      </c>
      <c r="AF173" s="9">
        <f t="shared" si="74"/>
        <v>0</v>
      </c>
      <c r="AG173" s="9">
        <f t="shared" si="75"/>
        <v>0</v>
      </c>
      <c r="AH173" s="9">
        <f t="shared" si="76"/>
        <v>0</v>
      </c>
      <c r="AI173" s="11" t="s">
        <v>5</v>
      </c>
      <c r="AJ173" s="9">
        <f t="shared" si="77"/>
        <v>0</v>
      </c>
      <c r="AK173" s="9">
        <f t="shared" si="78"/>
        <v>0</v>
      </c>
      <c r="AL173" s="9">
        <f t="shared" si="79"/>
        <v>0</v>
      </c>
      <c r="AN173" s="9">
        <v>21</v>
      </c>
      <c r="AO173" s="9">
        <f t="shared" si="90"/>
        <v>0</v>
      </c>
      <c r="AP173" s="9">
        <f t="shared" si="91"/>
        <v>0</v>
      </c>
      <c r="AQ173" s="60" t="s">
        <v>1238</v>
      </c>
      <c r="AV173" s="9">
        <f t="shared" si="82"/>
        <v>0</v>
      </c>
      <c r="AW173" s="9">
        <f t="shared" si="83"/>
        <v>0</v>
      </c>
      <c r="AX173" s="9">
        <f t="shared" si="84"/>
        <v>0</v>
      </c>
      <c r="AY173" s="60" t="s">
        <v>780</v>
      </c>
      <c r="AZ173" s="60" t="s">
        <v>853</v>
      </c>
      <c r="BA173" s="11" t="s">
        <v>1092</v>
      </c>
      <c r="BC173" s="9">
        <f t="shared" si="85"/>
        <v>0</v>
      </c>
      <c r="BD173" s="9">
        <f t="shared" si="86"/>
        <v>0</v>
      </c>
      <c r="BE173" s="9">
        <v>0</v>
      </c>
      <c r="BF173" s="9">
        <f>173</f>
        <v>173</v>
      </c>
      <c r="BH173" s="9">
        <f t="shared" si="87"/>
        <v>0</v>
      </c>
      <c r="BI173" s="9">
        <f t="shared" si="88"/>
        <v>0</v>
      </c>
      <c r="BJ173" s="9">
        <f t="shared" si="89"/>
        <v>0</v>
      </c>
      <c r="BK173" s="9"/>
      <c r="BL173" s="9">
        <v>722</v>
      </c>
      <c r="BW173" s="9">
        <v>21</v>
      </c>
    </row>
    <row r="174" spans="1:75" ht="13.5" customHeight="1">
      <c r="A174" s="16" t="s">
        <v>654</v>
      </c>
      <c r="B174" s="32" t="s">
        <v>5</v>
      </c>
      <c r="C174" s="32" t="s">
        <v>598</v>
      </c>
      <c r="D174" s="69" t="s">
        <v>213</v>
      </c>
      <c r="E174" s="70"/>
      <c r="F174" s="32" t="s">
        <v>1026</v>
      </c>
      <c r="G174" s="9">
        <v>15</v>
      </c>
      <c r="H174" s="68">
        <v>0</v>
      </c>
      <c r="I174" s="9">
        <f t="shared" si="68"/>
        <v>0</v>
      </c>
      <c r="K174" s="23"/>
      <c r="Z174" s="9">
        <f t="shared" si="69"/>
        <v>0</v>
      </c>
      <c r="AB174" s="9">
        <f t="shared" si="70"/>
        <v>0</v>
      </c>
      <c r="AC174" s="9">
        <f t="shared" si="71"/>
        <v>0</v>
      </c>
      <c r="AD174" s="9">
        <f t="shared" si="72"/>
        <v>0</v>
      </c>
      <c r="AE174" s="9">
        <f t="shared" si="73"/>
        <v>0</v>
      </c>
      <c r="AF174" s="9">
        <f t="shared" si="74"/>
        <v>0</v>
      </c>
      <c r="AG174" s="9">
        <f t="shared" si="75"/>
        <v>0</v>
      </c>
      <c r="AH174" s="9">
        <f t="shared" si="76"/>
        <v>0</v>
      </c>
      <c r="AI174" s="11" t="s">
        <v>5</v>
      </c>
      <c r="AJ174" s="9">
        <f t="shared" si="77"/>
        <v>0</v>
      </c>
      <c r="AK174" s="9">
        <f t="shared" si="78"/>
        <v>0</v>
      </c>
      <c r="AL174" s="9">
        <f t="shared" si="79"/>
        <v>0</v>
      </c>
      <c r="AN174" s="9">
        <v>21</v>
      </c>
      <c r="AO174" s="9">
        <f t="shared" si="90"/>
        <v>0</v>
      </c>
      <c r="AP174" s="9">
        <f t="shared" si="91"/>
        <v>0</v>
      </c>
      <c r="AQ174" s="60" t="s">
        <v>1238</v>
      </c>
      <c r="AV174" s="9">
        <f t="shared" si="82"/>
        <v>0</v>
      </c>
      <c r="AW174" s="9">
        <f t="shared" si="83"/>
        <v>0</v>
      </c>
      <c r="AX174" s="9">
        <f t="shared" si="84"/>
        <v>0</v>
      </c>
      <c r="AY174" s="60" t="s">
        <v>780</v>
      </c>
      <c r="AZ174" s="60" t="s">
        <v>853</v>
      </c>
      <c r="BA174" s="11" t="s">
        <v>1092</v>
      </c>
      <c r="BC174" s="9">
        <f t="shared" si="85"/>
        <v>0</v>
      </c>
      <c r="BD174" s="9">
        <f t="shared" si="86"/>
        <v>0</v>
      </c>
      <c r="BE174" s="9">
        <v>0</v>
      </c>
      <c r="BF174" s="9">
        <f>174</f>
        <v>174</v>
      </c>
      <c r="BH174" s="9">
        <f t="shared" si="87"/>
        <v>0</v>
      </c>
      <c r="BI174" s="9">
        <f t="shared" si="88"/>
        <v>0</v>
      </c>
      <c r="BJ174" s="9">
        <f t="shared" si="89"/>
        <v>0</v>
      </c>
      <c r="BK174" s="9"/>
      <c r="BL174" s="9">
        <v>722</v>
      </c>
      <c r="BW174" s="9">
        <v>21</v>
      </c>
    </row>
    <row r="175" spans="1:75" ht="13.5" customHeight="1">
      <c r="A175" s="16" t="s">
        <v>596</v>
      </c>
      <c r="B175" s="32" t="s">
        <v>5</v>
      </c>
      <c r="C175" s="32" t="s">
        <v>923</v>
      </c>
      <c r="D175" s="69" t="s">
        <v>362</v>
      </c>
      <c r="E175" s="70"/>
      <c r="F175" s="32" t="s">
        <v>1026</v>
      </c>
      <c r="G175" s="9">
        <v>18.5</v>
      </c>
      <c r="H175" s="68">
        <v>0</v>
      </c>
      <c r="I175" s="9">
        <f t="shared" si="68"/>
        <v>0</v>
      </c>
      <c r="K175" s="23"/>
      <c r="Z175" s="9">
        <f t="shared" si="69"/>
        <v>0</v>
      </c>
      <c r="AB175" s="9">
        <f t="shared" si="70"/>
        <v>0</v>
      </c>
      <c r="AC175" s="9">
        <f t="shared" si="71"/>
        <v>0</v>
      </c>
      <c r="AD175" s="9">
        <f t="shared" si="72"/>
        <v>0</v>
      </c>
      <c r="AE175" s="9">
        <f t="shared" si="73"/>
        <v>0</v>
      </c>
      <c r="AF175" s="9">
        <f t="shared" si="74"/>
        <v>0</v>
      </c>
      <c r="AG175" s="9">
        <f t="shared" si="75"/>
        <v>0</v>
      </c>
      <c r="AH175" s="9">
        <f t="shared" si="76"/>
        <v>0</v>
      </c>
      <c r="AI175" s="11" t="s">
        <v>5</v>
      </c>
      <c r="AJ175" s="9">
        <f t="shared" si="77"/>
        <v>0</v>
      </c>
      <c r="AK175" s="9">
        <f t="shared" si="78"/>
        <v>0</v>
      </c>
      <c r="AL175" s="9">
        <f t="shared" si="79"/>
        <v>0</v>
      </c>
      <c r="AN175" s="9">
        <v>21</v>
      </c>
      <c r="AO175" s="9">
        <f t="shared" si="90"/>
        <v>0</v>
      </c>
      <c r="AP175" s="9">
        <f t="shared" si="91"/>
        <v>0</v>
      </c>
      <c r="AQ175" s="60" t="s">
        <v>1238</v>
      </c>
      <c r="AV175" s="9">
        <f t="shared" si="82"/>
        <v>0</v>
      </c>
      <c r="AW175" s="9">
        <f t="shared" si="83"/>
        <v>0</v>
      </c>
      <c r="AX175" s="9">
        <f t="shared" si="84"/>
        <v>0</v>
      </c>
      <c r="AY175" s="60" t="s">
        <v>780</v>
      </c>
      <c r="AZ175" s="60" t="s">
        <v>853</v>
      </c>
      <c r="BA175" s="11" t="s">
        <v>1092</v>
      </c>
      <c r="BC175" s="9">
        <f t="shared" si="85"/>
        <v>0</v>
      </c>
      <c r="BD175" s="9">
        <f t="shared" si="86"/>
        <v>0</v>
      </c>
      <c r="BE175" s="9">
        <v>0</v>
      </c>
      <c r="BF175" s="9">
        <f>175</f>
        <v>175</v>
      </c>
      <c r="BH175" s="9">
        <f t="shared" si="87"/>
        <v>0</v>
      </c>
      <c r="BI175" s="9">
        <f t="shared" si="88"/>
        <v>0</v>
      </c>
      <c r="BJ175" s="9">
        <f t="shared" si="89"/>
        <v>0</v>
      </c>
      <c r="BK175" s="9"/>
      <c r="BL175" s="9">
        <v>722</v>
      </c>
      <c r="BW175" s="9">
        <v>21</v>
      </c>
    </row>
    <row r="176" spans="1:75" ht="13.5" customHeight="1">
      <c r="A176" s="16" t="s">
        <v>548</v>
      </c>
      <c r="B176" s="32" t="s">
        <v>5</v>
      </c>
      <c r="C176" s="32" t="s">
        <v>1268</v>
      </c>
      <c r="D176" s="69" t="s">
        <v>1163</v>
      </c>
      <c r="E176" s="70"/>
      <c r="F176" s="32" t="s">
        <v>1026</v>
      </c>
      <c r="G176" s="9">
        <v>199.5</v>
      </c>
      <c r="H176" s="68">
        <v>0</v>
      </c>
      <c r="I176" s="9">
        <f t="shared" si="68"/>
        <v>0</v>
      </c>
      <c r="K176" s="23"/>
      <c r="Z176" s="9">
        <f t="shared" si="69"/>
        <v>0</v>
      </c>
      <c r="AB176" s="9">
        <f t="shared" si="70"/>
        <v>0</v>
      </c>
      <c r="AC176" s="9">
        <f t="shared" si="71"/>
        <v>0</v>
      </c>
      <c r="AD176" s="9">
        <f t="shared" si="72"/>
        <v>0</v>
      </c>
      <c r="AE176" s="9">
        <f t="shared" si="73"/>
        <v>0</v>
      </c>
      <c r="AF176" s="9">
        <f t="shared" si="74"/>
        <v>0</v>
      </c>
      <c r="AG176" s="9">
        <f t="shared" si="75"/>
        <v>0</v>
      </c>
      <c r="AH176" s="9">
        <f t="shared" si="76"/>
        <v>0</v>
      </c>
      <c r="AI176" s="11" t="s">
        <v>5</v>
      </c>
      <c r="AJ176" s="9">
        <f t="shared" si="77"/>
        <v>0</v>
      </c>
      <c r="AK176" s="9">
        <f t="shared" si="78"/>
        <v>0</v>
      </c>
      <c r="AL176" s="9">
        <f t="shared" si="79"/>
        <v>0</v>
      </c>
      <c r="AN176" s="9">
        <v>21</v>
      </c>
      <c r="AO176" s="9">
        <f t="shared" si="90"/>
        <v>0</v>
      </c>
      <c r="AP176" s="9">
        <f t="shared" si="91"/>
        <v>0</v>
      </c>
      <c r="AQ176" s="60" t="s">
        <v>1238</v>
      </c>
      <c r="AV176" s="9">
        <f t="shared" si="82"/>
        <v>0</v>
      </c>
      <c r="AW176" s="9">
        <f t="shared" si="83"/>
        <v>0</v>
      </c>
      <c r="AX176" s="9">
        <f t="shared" si="84"/>
        <v>0</v>
      </c>
      <c r="AY176" s="60" t="s">
        <v>780</v>
      </c>
      <c r="AZ176" s="60" t="s">
        <v>853</v>
      </c>
      <c r="BA176" s="11" t="s">
        <v>1092</v>
      </c>
      <c r="BC176" s="9">
        <f t="shared" si="85"/>
        <v>0</v>
      </c>
      <c r="BD176" s="9">
        <f t="shared" si="86"/>
        <v>0</v>
      </c>
      <c r="BE176" s="9">
        <v>0</v>
      </c>
      <c r="BF176" s="9">
        <f>176</f>
        <v>176</v>
      </c>
      <c r="BH176" s="9">
        <f t="shared" si="87"/>
        <v>0</v>
      </c>
      <c r="BI176" s="9">
        <f t="shared" si="88"/>
        <v>0</v>
      </c>
      <c r="BJ176" s="9">
        <f t="shared" si="89"/>
        <v>0</v>
      </c>
      <c r="BK176" s="9"/>
      <c r="BL176" s="9">
        <v>722</v>
      </c>
      <c r="BW176" s="9">
        <v>21</v>
      </c>
    </row>
    <row r="177" spans="1:75" ht="13.5" customHeight="1">
      <c r="A177" s="16" t="s">
        <v>224</v>
      </c>
      <c r="B177" s="32" t="s">
        <v>5</v>
      </c>
      <c r="C177" s="32" t="s">
        <v>1207</v>
      </c>
      <c r="D177" s="69" t="s">
        <v>802</v>
      </c>
      <c r="E177" s="70"/>
      <c r="F177" s="32" t="s">
        <v>1026</v>
      </c>
      <c r="G177" s="9">
        <v>31.5</v>
      </c>
      <c r="H177" s="68">
        <v>0</v>
      </c>
      <c r="I177" s="9">
        <f t="shared" si="68"/>
        <v>0</v>
      </c>
      <c r="K177" s="23"/>
      <c r="Z177" s="9">
        <f t="shared" si="69"/>
        <v>0</v>
      </c>
      <c r="AB177" s="9">
        <f t="shared" si="70"/>
        <v>0</v>
      </c>
      <c r="AC177" s="9">
        <f t="shared" si="71"/>
        <v>0</v>
      </c>
      <c r="AD177" s="9">
        <f t="shared" si="72"/>
        <v>0</v>
      </c>
      <c r="AE177" s="9">
        <f t="shared" si="73"/>
        <v>0</v>
      </c>
      <c r="AF177" s="9">
        <f t="shared" si="74"/>
        <v>0</v>
      </c>
      <c r="AG177" s="9">
        <f t="shared" si="75"/>
        <v>0</v>
      </c>
      <c r="AH177" s="9">
        <f t="shared" si="76"/>
        <v>0</v>
      </c>
      <c r="AI177" s="11" t="s">
        <v>5</v>
      </c>
      <c r="AJ177" s="9">
        <f t="shared" si="77"/>
        <v>0</v>
      </c>
      <c r="AK177" s="9">
        <f t="shared" si="78"/>
        <v>0</v>
      </c>
      <c r="AL177" s="9">
        <f t="shared" si="79"/>
        <v>0</v>
      </c>
      <c r="AN177" s="9">
        <v>21</v>
      </c>
      <c r="AO177" s="9">
        <f t="shared" si="90"/>
        <v>0</v>
      </c>
      <c r="AP177" s="9">
        <f t="shared" si="91"/>
        <v>0</v>
      </c>
      <c r="AQ177" s="60" t="s">
        <v>1238</v>
      </c>
      <c r="AV177" s="9">
        <f t="shared" si="82"/>
        <v>0</v>
      </c>
      <c r="AW177" s="9">
        <f t="shared" si="83"/>
        <v>0</v>
      </c>
      <c r="AX177" s="9">
        <f t="shared" si="84"/>
        <v>0</v>
      </c>
      <c r="AY177" s="60" t="s">
        <v>780</v>
      </c>
      <c r="AZ177" s="60" t="s">
        <v>853</v>
      </c>
      <c r="BA177" s="11" t="s">
        <v>1092</v>
      </c>
      <c r="BC177" s="9">
        <f t="shared" si="85"/>
        <v>0</v>
      </c>
      <c r="BD177" s="9">
        <f t="shared" si="86"/>
        <v>0</v>
      </c>
      <c r="BE177" s="9">
        <v>0</v>
      </c>
      <c r="BF177" s="9">
        <f>177</f>
        <v>177</v>
      </c>
      <c r="BH177" s="9">
        <f t="shared" si="87"/>
        <v>0</v>
      </c>
      <c r="BI177" s="9">
        <f t="shared" si="88"/>
        <v>0</v>
      </c>
      <c r="BJ177" s="9">
        <f t="shared" si="89"/>
        <v>0</v>
      </c>
      <c r="BK177" s="9"/>
      <c r="BL177" s="9">
        <v>722</v>
      </c>
      <c r="BW177" s="9">
        <v>21</v>
      </c>
    </row>
    <row r="178" spans="1:75" ht="13.5" customHeight="1">
      <c r="A178" s="16" t="s">
        <v>295</v>
      </c>
      <c r="B178" s="32" t="s">
        <v>5</v>
      </c>
      <c r="C178" s="32" t="s">
        <v>579</v>
      </c>
      <c r="D178" s="69" t="s">
        <v>508</v>
      </c>
      <c r="E178" s="70"/>
      <c r="F178" s="32" t="s">
        <v>1026</v>
      </c>
      <c r="G178" s="9">
        <v>15</v>
      </c>
      <c r="H178" s="68">
        <v>0</v>
      </c>
      <c r="I178" s="9">
        <f t="shared" si="68"/>
        <v>0</v>
      </c>
      <c r="K178" s="23"/>
      <c r="Z178" s="9">
        <f t="shared" si="69"/>
        <v>0</v>
      </c>
      <c r="AB178" s="9">
        <f t="shared" si="70"/>
        <v>0</v>
      </c>
      <c r="AC178" s="9">
        <f t="shared" si="71"/>
        <v>0</v>
      </c>
      <c r="AD178" s="9">
        <f t="shared" si="72"/>
        <v>0</v>
      </c>
      <c r="AE178" s="9">
        <f t="shared" si="73"/>
        <v>0</v>
      </c>
      <c r="AF178" s="9">
        <f t="shared" si="74"/>
        <v>0</v>
      </c>
      <c r="AG178" s="9">
        <f t="shared" si="75"/>
        <v>0</v>
      </c>
      <c r="AH178" s="9">
        <f t="shared" si="76"/>
        <v>0</v>
      </c>
      <c r="AI178" s="11" t="s">
        <v>5</v>
      </c>
      <c r="AJ178" s="9">
        <f t="shared" si="77"/>
        <v>0</v>
      </c>
      <c r="AK178" s="9">
        <f t="shared" si="78"/>
        <v>0</v>
      </c>
      <c r="AL178" s="9">
        <f t="shared" si="79"/>
        <v>0</v>
      </c>
      <c r="AN178" s="9">
        <v>21</v>
      </c>
      <c r="AO178" s="9">
        <f t="shared" si="90"/>
        <v>0</v>
      </c>
      <c r="AP178" s="9">
        <f t="shared" si="91"/>
        <v>0</v>
      </c>
      <c r="AQ178" s="60" t="s">
        <v>1238</v>
      </c>
      <c r="AV178" s="9">
        <f t="shared" si="82"/>
        <v>0</v>
      </c>
      <c r="AW178" s="9">
        <f t="shared" si="83"/>
        <v>0</v>
      </c>
      <c r="AX178" s="9">
        <f t="shared" si="84"/>
        <v>0</v>
      </c>
      <c r="AY178" s="60" t="s">
        <v>780</v>
      </c>
      <c r="AZ178" s="60" t="s">
        <v>853</v>
      </c>
      <c r="BA178" s="11" t="s">
        <v>1092</v>
      </c>
      <c r="BC178" s="9">
        <f t="shared" si="85"/>
        <v>0</v>
      </c>
      <c r="BD178" s="9">
        <f t="shared" si="86"/>
        <v>0</v>
      </c>
      <c r="BE178" s="9">
        <v>0</v>
      </c>
      <c r="BF178" s="9">
        <f>178</f>
        <v>178</v>
      </c>
      <c r="BH178" s="9">
        <f t="shared" si="87"/>
        <v>0</v>
      </c>
      <c r="BI178" s="9">
        <f t="shared" si="88"/>
        <v>0</v>
      </c>
      <c r="BJ178" s="9">
        <f t="shared" si="89"/>
        <v>0</v>
      </c>
      <c r="BK178" s="9"/>
      <c r="BL178" s="9">
        <v>722</v>
      </c>
      <c r="BW178" s="9">
        <v>21</v>
      </c>
    </row>
    <row r="179" spans="1:75" ht="13.5" customHeight="1">
      <c r="A179" s="16" t="s">
        <v>140</v>
      </c>
      <c r="B179" s="32" t="s">
        <v>5</v>
      </c>
      <c r="C179" s="32" t="s">
        <v>962</v>
      </c>
      <c r="D179" s="69" t="s">
        <v>152</v>
      </c>
      <c r="E179" s="70"/>
      <c r="F179" s="32" t="s">
        <v>1026</v>
      </c>
      <c r="G179" s="9">
        <v>18.5</v>
      </c>
      <c r="H179" s="68">
        <v>0</v>
      </c>
      <c r="I179" s="9">
        <f t="shared" si="68"/>
        <v>0</v>
      </c>
      <c r="K179" s="23"/>
      <c r="Z179" s="9">
        <f t="shared" si="69"/>
        <v>0</v>
      </c>
      <c r="AB179" s="9">
        <f t="shared" si="70"/>
        <v>0</v>
      </c>
      <c r="AC179" s="9">
        <f t="shared" si="71"/>
        <v>0</v>
      </c>
      <c r="AD179" s="9">
        <f t="shared" si="72"/>
        <v>0</v>
      </c>
      <c r="AE179" s="9">
        <f t="shared" si="73"/>
        <v>0</v>
      </c>
      <c r="AF179" s="9">
        <f t="shared" si="74"/>
        <v>0</v>
      </c>
      <c r="AG179" s="9">
        <f t="shared" si="75"/>
        <v>0</v>
      </c>
      <c r="AH179" s="9">
        <f t="shared" si="76"/>
        <v>0</v>
      </c>
      <c r="AI179" s="11" t="s">
        <v>5</v>
      </c>
      <c r="AJ179" s="9">
        <f t="shared" si="77"/>
        <v>0</v>
      </c>
      <c r="AK179" s="9">
        <f t="shared" si="78"/>
        <v>0</v>
      </c>
      <c r="AL179" s="9">
        <f t="shared" si="79"/>
        <v>0</v>
      </c>
      <c r="AN179" s="9">
        <v>21</v>
      </c>
      <c r="AO179" s="9">
        <f t="shared" si="90"/>
        <v>0</v>
      </c>
      <c r="AP179" s="9">
        <f t="shared" si="91"/>
        <v>0</v>
      </c>
      <c r="AQ179" s="60" t="s">
        <v>1238</v>
      </c>
      <c r="AV179" s="9">
        <f t="shared" si="82"/>
        <v>0</v>
      </c>
      <c r="AW179" s="9">
        <f t="shared" si="83"/>
        <v>0</v>
      </c>
      <c r="AX179" s="9">
        <f t="shared" si="84"/>
        <v>0</v>
      </c>
      <c r="AY179" s="60" t="s">
        <v>780</v>
      </c>
      <c r="AZ179" s="60" t="s">
        <v>853</v>
      </c>
      <c r="BA179" s="11" t="s">
        <v>1092</v>
      </c>
      <c r="BC179" s="9">
        <f t="shared" si="85"/>
        <v>0</v>
      </c>
      <c r="BD179" s="9">
        <f t="shared" si="86"/>
        <v>0</v>
      </c>
      <c r="BE179" s="9">
        <v>0</v>
      </c>
      <c r="BF179" s="9">
        <f>179</f>
        <v>179</v>
      </c>
      <c r="BH179" s="9">
        <f t="shared" si="87"/>
        <v>0</v>
      </c>
      <c r="BI179" s="9">
        <f t="shared" si="88"/>
        <v>0</v>
      </c>
      <c r="BJ179" s="9">
        <f t="shared" si="89"/>
        <v>0</v>
      </c>
      <c r="BK179" s="9"/>
      <c r="BL179" s="9">
        <v>722</v>
      </c>
      <c r="BW179" s="9">
        <v>21</v>
      </c>
    </row>
    <row r="180" spans="1:75" ht="13.5" customHeight="1">
      <c r="A180" s="16" t="s">
        <v>175</v>
      </c>
      <c r="B180" s="32" t="s">
        <v>5</v>
      </c>
      <c r="C180" s="32" t="s">
        <v>494</v>
      </c>
      <c r="D180" s="69" t="s">
        <v>859</v>
      </c>
      <c r="E180" s="70"/>
      <c r="F180" s="32" t="s">
        <v>861</v>
      </c>
      <c r="G180" s="9">
        <v>20</v>
      </c>
      <c r="H180" s="68">
        <v>0</v>
      </c>
      <c r="I180" s="9">
        <f t="shared" si="68"/>
        <v>0</v>
      </c>
      <c r="K180" s="23"/>
      <c r="Z180" s="9">
        <f t="shared" si="69"/>
        <v>0</v>
      </c>
      <c r="AB180" s="9">
        <f t="shared" si="70"/>
        <v>0</v>
      </c>
      <c r="AC180" s="9">
        <f t="shared" si="71"/>
        <v>0</v>
      </c>
      <c r="AD180" s="9">
        <f t="shared" si="72"/>
        <v>0</v>
      </c>
      <c r="AE180" s="9">
        <f t="shared" si="73"/>
        <v>0</v>
      </c>
      <c r="AF180" s="9">
        <f t="shared" si="74"/>
        <v>0</v>
      </c>
      <c r="AG180" s="9">
        <f t="shared" si="75"/>
        <v>0</v>
      </c>
      <c r="AH180" s="9">
        <f t="shared" si="76"/>
        <v>0</v>
      </c>
      <c r="AI180" s="11" t="s">
        <v>5</v>
      </c>
      <c r="AJ180" s="9">
        <f t="shared" si="77"/>
        <v>0</v>
      </c>
      <c r="AK180" s="9">
        <f t="shared" si="78"/>
        <v>0</v>
      </c>
      <c r="AL180" s="9">
        <f t="shared" si="79"/>
        <v>0</v>
      </c>
      <c r="AN180" s="9">
        <v>21</v>
      </c>
      <c r="AO180" s="9">
        <f t="shared" si="90"/>
        <v>0</v>
      </c>
      <c r="AP180" s="9">
        <f t="shared" si="91"/>
        <v>0</v>
      </c>
      <c r="AQ180" s="60" t="s">
        <v>1238</v>
      </c>
      <c r="AV180" s="9">
        <f t="shared" si="82"/>
        <v>0</v>
      </c>
      <c r="AW180" s="9">
        <f t="shared" si="83"/>
        <v>0</v>
      </c>
      <c r="AX180" s="9">
        <f t="shared" si="84"/>
        <v>0</v>
      </c>
      <c r="AY180" s="60" t="s">
        <v>780</v>
      </c>
      <c r="AZ180" s="60" t="s">
        <v>853</v>
      </c>
      <c r="BA180" s="11" t="s">
        <v>1092</v>
      </c>
      <c r="BC180" s="9">
        <f t="shared" si="85"/>
        <v>0</v>
      </c>
      <c r="BD180" s="9">
        <f t="shared" si="86"/>
        <v>0</v>
      </c>
      <c r="BE180" s="9">
        <v>0</v>
      </c>
      <c r="BF180" s="9">
        <f>180</f>
        <v>180</v>
      </c>
      <c r="BH180" s="9">
        <f t="shared" si="87"/>
        <v>0</v>
      </c>
      <c r="BI180" s="9">
        <f t="shared" si="88"/>
        <v>0</v>
      </c>
      <c r="BJ180" s="9">
        <f t="shared" si="89"/>
        <v>0</v>
      </c>
      <c r="BK180" s="9"/>
      <c r="BL180" s="9">
        <v>722</v>
      </c>
      <c r="BW180" s="9">
        <v>21</v>
      </c>
    </row>
    <row r="181" spans="1:75" ht="13.5" customHeight="1">
      <c r="A181" s="16" t="s">
        <v>1152</v>
      </c>
      <c r="B181" s="32" t="s">
        <v>5</v>
      </c>
      <c r="C181" s="32" t="s">
        <v>452</v>
      </c>
      <c r="D181" s="69" t="s">
        <v>1055</v>
      </c>
      <c r="E181" s="70"/>
      <c r="F181" s="32" t="s">
        <v>861</v>
      </c>
      <c r="G181" s="9">
        <v>2</v>
      </c>
      <c r="H181" s="68">
        <v>0</v>
      </c>
      <c r="I181" s="9">
        <f t="shared" si="68"/>
        <v>0</v>
      </c>
      <c r="K181" s="23"/>
      <c r="Z181" s="9">
        <f t="shared" si="69"/>
        <v>0</v>
      </c>
      <c r="AB181" s="9">
        <f t="shared" si="70"/>
        <v>0</v>
      </c>
      <c r="AC181" s="9">
        <f t="shared" si="71"/>
        <v>0</v>
      </c>
      <c r="AD181" s="9">
        <f t="shared" si="72"/>
        <v>0</v>
      </c>
      <c r="AE181" s="9">
        <f t="shared" si="73"/>
        <v>0</v>
      </c>
      <c r="AF181" s="9">
        <f t="shared" si="74"/>
        <v>0</v>
      </c>
      <c r="AG181" s="9">
        <f t="shared" si="75"/>
        <v>0</v>
      </c>
      <c r="AH181" s="9">
        <f t="shared" si="76"/>
        <v>0</v>
      </c>
      <c r="AI181" s="11" t="s">
        <v>5</v>
      </c>
      <c r="AJ181" s="9">
        <f t="shared" si="77"/>
        <v>0</v>
      </c>
      <c r="AK181" s="9">
        <f t="shared" si="78"/>
        <v>0</v>
      </c>
      <c r="AL181" s="9">
        <f t="shared" si="79"/>
        <v>0</v>
      </c>
      <c r="AN181" s="9">
        <v>21</v>
      </c>
      <c r="AO181" s="9">
        <f t="shared" si="90"/>
        <v>0</v>
      </c>
      <c r="AP181" s="9">
        <f t="shared" si="91"/>
        <v>0</v>
      </c>
      <c r="AQ181" s="60" t="s">
        <v>1238</v>
      </c>
      <c r="AV181" s="9">
        <f t="shared" si="82"/>
        <v>0</v>
      </c>
      <c r="AW181" s="9">
        <f t="shared" si="83"/>
        <v>0</v>
      </c>
      <c r="AX181" s="9">
        <f t="shared" si="84"/>
        <v>0</v>
      </c>
      <c r="AY181" s="60" t="s">
        <v>780</v>
      </c>
      <c r="AZ181" s="60" t="s">
        <v>853</v>
      </c>
      <c r="BA181" s="11" t="s">
        <v>1092</v>
      </c>
      <c r="BC181" s="9">
        <f t="shared" si="85"/>
        <v>0</v>
      </c>
      <c r="BD181" s="9">
        <f t="shared" si="86"/>
        <v>0</v>
      </c>
      <c r="BE181" s="9">
        <v>0</v>
      </c>
      <c r="BF181" s="9">
        <f>181</f>
        <v>181</v>
      </c>
      <c r="BH181" s="9">
        <f t="shared" si="87"/>
        <v>0</v>
      </c>
      <c r="BI181" s="9">
        <f t="shared" si="88"/>
        <v>0</v>
      </c>
      <c r="BJ181" s="9">
        <f t="shared" si="89"/>
        <v>0</v>
      </c>
      <c r="BK181" s="9"/>
      <c r="BL181" s="9">
        <v>722</v>
      </c>
      <c r="BW181" s="9">
        <v>21</v>
      </c>
    </row>
    <row r="182" spans="1:75" ht="27" customHeight="1">
      <c r="A182" s="16" t="s">
        <v>897</v>
      </c>
      <c r="B182" s="32" t="s">
        <v>5</v>
      </c>
      <c r="C182" s="32" t="s">
        <v>550</v>
      </c>
      <c r="D182" s="69" t="s">
        <v>1113</v>
      </c>
      <c r="E182" s="70"/>
      <c r="F182" s="32" t="s">
        <v>861</v>
      </c>
      <c r="G182" s="9">
        <v>2</v>
      </c>
      <c r="H182" s="68">
        <v>0</v>
      </c>
      <c r="I182" s="9">
        <f t="shared" si="68"/>
        <v>0</v>
      </c>
      <c r="K182" s="23"/>
      <c r="Z182" s="9">
        <f t="shared" si="69"/>
        <v>0</v>
      </c>
      <c r="AB182" s="9">
        <f t="shared" si="70"/>
        <v>0</v>
      </c>
      <c r="AC182" s="9">
        <f t="shared" si="71"/>
        <v>0</v>
      </c>
      <c r="AD182" s="9">
        <f t="shared" si="72"/>
        <v>0</v>
      </c>
      <c r="AE182" s="9">
        <f t="shared" si="73"/>
        <v>0</v>
      </c>
      <c r="AF182" s="9">
        <f t="shared" si="74"/>
        <v>0</v>
      </c>
      <c r="AG182" s="9">
        <f t="shared" si="75"/>
        <v>0</v>
      </c>
      <c r="AH182" s="9">
        <f t="shared" si="76"/>
        <v>0</v>
      </c>
      <c r="AI182" s="11" t="s">
        <v>5</v>
      </c>
      <c r="AJ182" s="9">
        <f t="shared" si="77"/>
        <v>0</v>
      </c>
      <c r="AK182" s="9">
        <f t="shared" si="78"/>
        <v>0</v>
      </c>
      <c r="AL182" s="9">
        <f t="shared" si="79"/>
        <v>0</v>
      </c>
      <c r="AN182" s="9">
        <v>21</v>
      </c>
      <c r="AO182" s="9">
        <f t="shared" si="90"/>
        <v>0</v>
      </c>
      <c r="AP182" s="9">
        <f t="shared" si="91"/>
        <v>0</v>
      </c>
      <c r="AQ182" s="60" t="s">
        <v>1238</v>
      </c>
      <c r="AV182" s="9">
        <f t="shared" si="82"/>
        <v>0</v>
      </c>
      <c r="AW182" s="9">
        <f t="shared" si="83"/>
        <v>0</v>
      </c>
      <c r="AX182" s="9">
        <f t="shared" si="84"/>
        <v>0</v>
      </c>
      <c r="AY182" s="60" t="s">
        <v>780</v>
      </c>
      <c r="AZ182" s="60" t="s">
        <v>853</v>
      </c>
      <c r="BA182" s="11" t="s">
        <v>1092</v>
      </c>
      <c r="BC182" s="9">
        <f t="shared" si="85"/>
        <v>0</v>
      </c>
      <c r="BD182" s="9">
        <f t="shared" si="86"/>
        <v>0</v>
      </c>
      <c r="BE182" s="9">
        <v>0</v>
      </c>
      <c r="BF182" s="9">
        <f>182</f>
        <v>182</v>
      </c>
      <c r="BH182" s="9">
        <f t="shared" si="87"/>
        <v>0</v>
      </c>
      <c r="BI182" s="9">
        <f t="shared" si="88"/>
        <v>0</v>
      </c>
      <c r="BJ182" s="9">
        <f t="shared" si="89"/>
        <v>0</v>
      </c>
      <c r="BK182" s="9"/>
      <c r="BL182" s="9">
        <v>722</v>
      </c>
      <c r="BW182" s="9">
        <v>21</v>
      </c>
    </row>
    <row r="183" spans="1:75" ht="27" customHeight="1">
      <c r="A183" s="16" t="s">
        <v>615</v>
      </c>
      <c r="B183" s="32" t="s">
        <v>5</v>
      </c>
      <c r="C183" s="32" t="s">
        <v>706</v>
      </c>
      <c r="D183" s="69" t="s">
        <v>685</v>
      </c>
      <c r="E183" s="70"/>
      <c r="F183" s="32" t="s">
        <v>861</v>
      </c>
      <c r="G183" s="9">
        <v>12</v>
      </c>
      <c r="H183" s="68">
        <v>0</v>
      </c>
      <c r="I183" s="9">
        <f t="shared" si="68"/>
        <v>0</v>
      </c>
      <c r="K183" s="23"/>
      <c r="Z183" s="9">
        <f t="shared" si="69"/>
        <v>0</v>
      </c>
      <c r="AB183" s="9">
        <f t="shared" si="70"/>
        <v>0</v>
      </c>
      <c r="AC183" s="9">
        <f t="shared" si="71"/>
        <v>0</v>
      </c>
      <c r="AD183" s="9">
        <f t="shared" si="72"/>
        <v>0</v>
      </c>
      <c r="AE183" s="9">
        <f t="shared" si="73"/>
        <v>0</v>
      </c>
      <c r="AF183" s="9">
        <f t="shared" si="74"/>
        <v>0</v>
      </c>
      <c r="AG183" s="9">
        <f t="shared" si="75"/>
        <v>0</v>
      </c>
      <c r="AH183" s="9">
        <f t="shared" si="76"/>
        <v>0</v>
      </c>
      <c r="AI183" s="11" t="s">
        <v>5</v>
      </c>
      <c r="AJ183" s="9">
        <f t="shared" si="77"/>
        <v>0</v>
      </c>
      <c r="AK183" s="9">
        <f t="shared" si="78"/>
        <v>0</v>
      </c>
      <c r="AL183" s="9">
        <f t="shared" si="79"/>
        <v>0</v>
      </c>
      <c r="AN183" s="9">
        <v>21</v>
      </c>
      <c r="AO183" s="9">
        <f t="shared" si="90"/>
        <v>0</v>
      </c>
      <c r="AP183" s="9">
        <f t="shared" si="91"/>
        <v>0</v>
      </c>
      <c r="AQ183" s="60" t="s">
        <v>1238</v>
      </c>
      <c r="AV183" s="9">
        <f t="shared" si="82"/>
        <v>0</v>
      </c>
      <c r="AW183" s="9">
        <f t="shared" si="83"/>
        <v>0</v>
      </c>
      <c r="AX183" s="9">
        <f t="shared" si="84"/>
        <v>0</v>
      </c>
      <c r="AY183" s="60" t="s">
        <v>780</v>
      </c>
      <c r="AZ183" s="60" t="s">
        <v>853</v>
      </c>
      <c r="BA183" s="11" t="s">
        <v>1092</v>
      </c>
      <c r="BC183" s="9">
        <f t="shared" si="85"/>
        <v>0</v>
      </c>
      <c r="BD183" s="9">
        <f t="shared" si="86"/>
        <v>0</v>
      </c>
      <c r="BE183" s="9">
        <v>0</v>
      </c>
      <c r="BF183" s="9">
        <f>183</f>
        <v>183</v>
      </c>
      <c r="BH183" s="9">
        <f t="shared" si="87"/>
        <v>0</v>
      </c>
      <c r="BI183" s="9">
        <f t="shared" si="88"/>
        <v>0</v>
      </c>
      <c r="BJ183" s="9">
        <f t="shared" si="89"/>
        <v>0</v>
      </c>
      <c r="BK183" s="9"/>
      <c r="BL183" s="9">
        <v>722</v>
      </c>
      <c r="BW183" s="9">
        <v>21</v>
      </c>
    </row>
    <row r="184" spans="1:75" ht="27" customHeight="1">
      <c r="A184" s="16" t="s">
        <v>896</v>
      </c>
      <c r="B184" s="32" t="s">
        <v>5</v>
      </c>
      <c r="C184" s="32" t="s">
        <v>35</v>
      </c>
      <c r="D184" s="69" t="s">
        <v>1025</v>
      </c>
      <c r="E184" s="70"/>
      <c r="F184" s="32" t="s">
        <v>861</v>
      </c>
      <c r="G184" s="9">
        <v>2</v>
      </c>
      <c r="H184" s="68">
        <v>0</v>
      </c>
      <c r="I184" s="9">
        <f t="shared" si="68"/>
        <v>0</v>
      </c>
      <c r="K184" s="23"/>
      <c r="Z184" s="9">
        <f t="shared" si="69"/>
        <v>0</v>
      </c>
      <c r="AB184" s="9">
        <f t="shared" si="70"/>
        <v>0</v>
      </c>
      <c r="AC184" s="9">
        <f t="shared" si="71"/>
        <v>0</v>
      </c>
      <c r="AD184" s="9">
        <f t="shared" si="72"/>
        <v>0</v>
      </c>
      <c r="AE184" s="9">
        <f t="shared" si="73"/>
        <v>0</v>
      </c>
      <c r="AF184" s="9">
        <f t="shared" si="74"/>
        <v>0</v>
      </c>
      <c r="AG184" s="9">
        <f t="shared" si="75"/>
        <v>0</v>
      </c>
      <c r="AH184" s="9">
        <f t="shared" si="76"/>
        <v>0</v>
      </c>
      <c r="AI184" s="11" t="s">
        <v>5</v>
      </c>
      <c r="AJ184" s="9">
        <f t="shared" si="77"/>
        <v>0</v>
      </c>
      <c r="AK184" s="9">
        <f t="shared" si="78"/>
        <v>0</v>
      </c>
      <c r="AL184" s="9">
        <f t="shared" si="79"/>
        <v>0</v>
      </c>
      <c r="AN184" s="9">
        <v>21</v>
      </c>
      <c r="AO184" s="9">
        <f t="shared" si="90"/>
        <v>0</v>
      </c>
      <c r="AP184" s="9">
        <f t="shared" si="91"/>
        <v>0</v>
      </c>
      <c r="AQ184" s="60" t="s">
        <v>1238</v>
      </c>
      <c r="AV184" s="9">
        <f t="shared" si="82"/>
        <v>0</v>
      </c>
      <c r="AW184" s="9">
        <f t="shared" si="83"/>
        <v>0</v>
      </c>
      <c r="AX184" s="9">
        <f t="shared" si="84"/>
        <v>0</v>
      </c>
      <c r="AY184" s="60" t="s">
        <v>780</v>
      </c>
      <c r="AZ184" s="60" t="s">
        <v>853</v>
      </c>
      <c r="BA184" s="11" t="s">
        <v>1092</v>
      </c>
      <c r="BC184" s="9">
        <f t="shared" si="85"/>
        <v>0</v>
      </c>
      <c r="BD184" s="9">
        <f t="shared" si="86"/>
        <v>0</v>
      </c>
      <c r="BE184" s="9">
        <v>0</v>
      </c>
      <c r="BF184" s="9">
        <f>184</f>
        <v>184</v>
      </c>
      <c r="BH184" s="9">
        <f t="shared" si="87"/>
        <v>0</v>
      </c>
      <c r="BI184" s="9">
        <f t="shared" si="88"/>
        <v>0</v>
      </c>
      <c r="BJ184" s="9">
        <f t="shared" si="89"/>
        <v>0</v>
      </c>
      <c r="BK184" s="9"/>
      <c r="BL184" s="9">
        <v>722</v>
      </c>
      <c r="BW184" s="9">
        <v>21</v>
      </c>
    </row>
    <row r="185" spans="1:75" ht="27" customHeight="1">
      <c r="A185" s="16" t="s">
        <v>430</v>
      </c>
      <c r="B185" s="32" t="s">
        <v>5</v>
      </c>
      <c r="C185" s="32" t="s">
        <v>1206</v>
      </c>
      <c r="D185" s="69" t="s">
        <v>1336</v>
      </c>
      <c r="E185" s="70"/>
      <c r="F185" s="32" t="s">
        <v>861</v>
      </c>
      <c r="G185" s="9">
        <v>8</v>
      </c>
      <c r="H185" s="68">
        <v>0</v>
      </c>
      <c r="I185" s="9">
        <f t="shared" si="68"/>
        <v>0</v>
      </c>
      <c r="K185" s="23"/>
      <c r="Z185" s="9">
        <f t="shared" si="69"/>
        <v>0</v>
      </c>
      <c r="AB185" s="9">
        <f t="shared" si="70"/>
        <v>0</v>
      </c>
      <c r="AC185" s="9">
        <f t="shared" si="71"/>
        <v>0</v>
      </c>
      <c r="AD185" s="9">
        <f t="shared" si="72"/>
        <v>0</v>
      </c>
      <c r="AE185" s="9">
        <f t="shared" si="73"/>
        <v>0</v>
      </c>
      <c r="AF185" s="9">
        <f t="shared" si="74"/>
        <v>0</v>
      </c>
      <c r="AG185" s="9">
        <f t="shared" si="75"/>
        <v>0</v>
      </c>
      <c r="AH185" s="9">
        <f t="shared" si="76"/>
        <v>0</v>
      </c>
      <c r="AI185" s="11" t="s">
        <v>5</v>
      </c>
      <c r="AJ185" s="9">
        <f t="shared" si="77"/>
        <v>0</v>
      </c>
      <c r="AK185" s="9">
        <f t="shared" si="78"/>
        <v>0</v>
      </c>
      <c r="AL185" s="9">
        <f t="shared" si="79"/>
        <v>0</v>
      </c>
      <c r="AN185" s="9">
        <v>21</v>
      </c>
      <c r="AO185" s="9">
        <f t="shared" si="90"/>
        <v>0</v>
      </c>
      <c r="AP185" s="9">
        <f t="shared" si="91"/>
        <v>0</v>
      </c>
      <c r="AQ185" s="60" t="s">
        <v>1238</v>
      </c>
      <c r="AV185" s="9">
        <f t="shared" si="82"/>
        <v>0</v>
      </c>
      <c r="AW185" s="9">
        <f t="shared" si="83"/>
        <v>0</v>
      </c>
      <c r="AX185" s="9">
        <f t="shared" si="84"/>
        <v>0</v>
      </c>
      <c r="AY185" s="60" t="s">
        <v>780</v>
      </c>
      <c r="AZ185" s="60" t="s">
        <v>853</v>
      </c>
      <c r="BA185" s="11" t="s">
        <v>1092</v>
      </c>
      <c r="BC185" s="9">
        <f t="shared" si="85"/>
        <v>0</v>
      </c>
      <c r="BD185" s="9">
        <f t="shared" si="86"/>
        <v>0</v>
      </c>
      <c r="BE185" s="9">
        <v>0</v>
      </c>
      <c r="BF185" s="9">
        <f>185</f>
        <v>185</v>
      </c>
      <c r="BH185" s="9">
        <f t="shared" si="87"/>
        <v>0</v>
      </c>
      <c r="BI185" s="9">
        <f t="shared" si="88"/>
        <v>0</v>
      </c>
      <c r="BJ185" s="9">
        <f t="shared" si="89"/>
        <v>0</v>
      </c>
      <c r="BK185" s="9"/>
      <c r="BL185" s="9">
        <v>722</v>
      </c>
      <c r="BW185" s="9">
        <v>21</v>
      </c>
    </row>
    <row r="186" spans="1:75" ht="27" customHeight="1">
      <c r="A186" s="16" t="s">
        <v>586</v>
      </c>
      <c r="B186" s="32" t="s">
        <v>5</v>
      </c>
      <c r="C186" s="32" t="s">
        <v>507</v>
      </c>
      <c r="D186" s="69" t="s">
        <v>1090</v>
      </c>
      <c r="E186" s="70"/>
      <c r="F186" s="32" t="s">
        <v>861</v>
      </c>
      <c r="G186" s="9">
        <v>2</v>
      </c>
      <c r="H186" s="68">
        <v>0</v>
      </c>
      <c r="I186" s="9">
        <f t="shared" si="68"/>
        <v>0</v>
      </c>
      <c r="K186" s="23"/>
      <c r="Z186" s="9">
        <f t="shared" si="69"/>
        <v>0</v>
      </c>
      <c r="AB186" s="9">
        <f t="shared" si="70"/>
        <v>0</v>
      </c>
      <c r="AC186" s="9">
        <f t="shared" si="71"/>
        <v>0</v>
      </c>
      <c r="AD186" s="9">
        <f t="shared" si="72"/>
        <v>0</v>
      </c>
      <c r="AE186" s="9">
        <f t="shared" si="73"/>
        <v>0</v>
      </c>
      <c r="AF186" s="9">
        <f t="shared" si="74"/>
        <v>0</v>
      </c>
      <c r="AG186" s="9">
        <f t="shared" si="75"/>
        <v>0</v>
      </c>
      <c r="AH186" s="9">
        <f t="shared" si="76"/>
        <v>0</v>
      </c>
      <c r="AI186" s="11" t="s">
        <v>5</v>
      </c>
      <c r="AJ186" s="9">
        <f t="shared" si="77"/>
        <v>0</v>
      </c>
      <c r="AK186" s="9">
        <f t="shared" si="78"/>
        <v>0</v>
      </c>
      <c r="AL186" s="9">
        <f t="shared" si="79"/>
        <v>0</v>
      </c>
      <c r="AN186" s="9">
        <v>21</v>
      </c>
      <c r="AO186" s="9">
        <f t="shared" si="90"/>
        <v>0</v>
      </c>
      <c r="AP186" s="9">
        <f t="shared" si="91"/>
        <v>0</v>
      </c>
      <c r="AQ186" s="60" t="s">
        <v>1238</v>
      </c>
      <c r="AV186" s="9">
        <f t="shared" si="82"/>
        <v>0</v>
      </c>
      <c r="AW186" s="9">
        <f t="shared" si="83"/>
        <v>0</v>
      </c>
      <c r="AX186" s="9">
        <f t="shared" si="84"/>
        <v>0</v>
      </c>
      <c r="AY186" s="60" t="s">
        <v>780</v>
      </c>
      <c r="AZ186" s="60" t="s">
        <v>853</v>
      </c>
      <c r="BA186" s="11" t="s">
        <v>1092</v>
      </c>
      <c r="BC186" s="9">
        <f t="shared" si="85"/>
        <v>0</v>
      </c>
      <c r="BD186" s="9">
        <f t="shared" si="86"/>
        <v>0</v>
      </c>
      <c r="BE186" s="9">
        <v>0</v>
      </c>
      <c r="BF186" s="9">
        <f>186</f>
        <v>186</v>
      </c>
      <c r="BH186" s="9">
        <f t="shared" si="87"/>
        <v>0</v>
      </c>
      <c r="BI186" s="9">
        <f t="shared" si="88"/>
        <v>0</v>
      </c>
      <c r="BJ186" s="9">
        <f t="shared" si="89"/>
        <v>0</v>
      </c>
      <c r="BK186" s="9"/>
      <c r="BL186" s="9">
        <v>722</v>
      </c>
      <c r="BW186" s="9">
        <v>21</v>
      </c>
    </row>
    <row r="187" spans="1:75" ht="13.5" customHeight="1">
      <c r="A187" s="16" t="s">
        <v>363</v>
      </c>
      <c r="B187" s="32" t="s">
        <v>5</v>
      </c>
      <c r="C187" s="32" t="s">
        <v>997</v>
      </c>
      <c r="D187" s="69" t="s">
        <v>333</v>
      </c>
      <c r="E187" s="70"/>
      <c r="F187" s="32" t="s">
        <v>861</v>
      </c>
      <c r="G187" s="9">
        <v>4</v>
      </c>
      <c r="H187" s="68">
        <v>0</v>
      </c>
      <c r="I187" s="9">
        <f t="shared" si="68"/>
        <v>0</v>
      </c>
      <c r="K187" s="23"/>
      <c r="Z187" s="9">
        <f t="shared" si="69"/>
        <v>0</v>
      </c>
      <c r="AB187" s="9">
        <f t="shared" si="70"/>
        <v>0</v>
      </c>
      <c r="AC187" s="9">
        <f t="shared" si="71"/>
        <v>0</v>
      </c>
      <c r="AD187" s="9">
        <f t="shared" si="72"/>
        <v>0</v>
      </c>
      <c r="AE187" s="9">
        <f t="shared" si="73"/>
        <v>0</v>
      </c>
      <c r="AF187" s="9">
        <f t="shared" si="74"/>
        <v>0</v>
      </c>
      <c r="AG187" s="9">
        <f t="shared" si="75"/>
        <v>0</v>
      </c>
      <c r="AH187" s="9">
        <f t="shared" si="76"/>
        <v>0</v>
      </c>
      <c r="AI187" s="11" t="s">
        <v>5</v>
      </c>
      <c r="AJ187" s="9">
        <f t="shared" si="77"/>
        <v>0</v>
      </c>
      <c r="AK187" s="9">
        <f t="shared" si="78"/>
        <v>0</v>
      </c>
      <c r="AL187" s="9">
        <f t="shared" si="79"/>
        <v>0</v>
      </c>
      <c r="AN187" s="9">
        <v>21</v>
      </c>
      <c r="AO187" s="9">
        <f t="shared" si="90"/>
        <v>0</v>
      </c>
      <c r="AP187" s="9">
        <f t="shared" si="91"/>
        <v>0</v>
      </c>
      <c r="AQ187" s="60" t="s">
        <v>1238</v>
      </c>
      <c r="AV187" s="9">
        <f t="shared" si="82"/>
        <v>0</v>
      </c>
      <c r="AW187" s="9">
        <f t="shared" si="83"/>
        <v>0</v>
      </c>
      <c r="AX187" s="9">
        <f t="shared" si="84"/>
        <v>0</v>
      </c>
      <c r="AY187" s="60" t="s">
        <v>780</v>
      </c>
      <c r="AZ187" s="60" t="s">
        <v>853</v>
      </c>
      <c r="BA187" s="11" t="s">
        <v>1092</v>
      </c>
      <c r="BC187" s="9">
        <f t="shared" si="85"/>
        <v>0</v>
      </c>
      <c r="BD187" s="9">
        <f t="shared" si="86"/>
        <v>0</v>
      </c>
      <c r="BE187" s="9">
        <v>0</v>
      </c>
      <c r="BF187" s="9">
        <f>187</f>
        <v>187</v>
      </c>
      <c r="BH187" s="9">
        <f t="shared" si="87"/>
        <v>0</v>
      </c>
      <c r="BI187" s="9">
        <f t="shared" si="88"/>
        <v>0</v>
      </c>
      <c r="BJ187" s="9">
        <f t="shared" si="89"/>
        <v>0</v>
      </c>
      <c r="BK187" s="9"/>
      <c r="BL187" s="9">
        <v>722</v>
      </c>
      <c r="BW187" s="9">
        <v>21</v>
      </c>
    </row>
    <row r="188" spans="1:75" ht="13.5" customHeight="1">
      <c r="A188" s="16" t="s">
        <v>342</v>
      </c>
      <c r="B188" s="32" t="s">
        <v>5</v>
      </c>
      <c r="C188" s="32" t="s">
        <v>1262</v>
      </c>
      <c r="D188" s="69" t="s">
        <v>92</v>
      </c>
      <c r="E188" s="70"/>
      <c r="F188" s="32" t="s">
        <v>861</v>
      </c>
      <c r="G188" s="9">
        <v>2</v>
      </c>
      <c r="H188" s="68">
        <v>0</v>
      </c>
      <c r="I188" s="9">
        <f t="shared" si="68"/>
        <v>0</v>
      </c>
      <c r="K188" s="23"/>
      <c r="Z188" s="9">
        <f t="shared" si="69"/>
        <v>0</v>
      </c>
      <c r="AB188" s="9">
        <f t="shared" si="70"/>
        <v>0</v>
      </c>
      <c r="AC188" s="9">
        <f t="shared" si="71"/>
        <v>0</v>
      </c>
      <c r="AD188" s="9">
        <f t="shared" si="72"/>
        <v>0</v>
      </c>
      <c r="AE188" s="9">
        <f t="shared" si="73"/>
        <v>0</v>
      </c>
      <c r="AF188" s="9">
        <f t="shared" si="74"/>
        <v>0</v>
      </c>
      <c r="AG188" s="9">
        <f t="shared" si="75"/>
        <v>0</v>
      </c>
      <c r="AH188" s="9">
        <f t="shared" si="76"/>
        <v>0</v>
      </c>
      <c r="AI188" s="11" t="s">
        <v>5</v>
      </c>
      <c r="AJ188" s="9">
        <f t="shared" si="77"/>
        <v>0</v>
      </c>
      <c r="AK188" s="9">
        <f t="shared" si="78"/>
        <v>0</v>
      </c>
      <c r="AL188" s="9">
        <f t="shared" si="79"/>
        <v>0</v>
      </c>
      <c r="AN188" s="9">
        <v>21</v>
      </c>
      <c r="AO188" s="9">
        <f t="shared" si="90"/>
        <v>0</v>
      </c>
      <c r="AP188" s="9">
        <f t="shared" si="91"/>
        <v>0</v>
      </c>
      <c r="AQ188" s="60" t="s">
        <v>1238</v>
      </c>
      <c r="AV188" s="9">
        <f t="shared" si="82"/>
        <v>0</v>
      </c>
      <c r="AW188" s="9">
        <f t="shared" si="83"/>
        <v>0</v>
      </c>
      <c r="AX188" s="9">
        <f t="shared" si="84"/>
        <v>0</v>
      </c>
      <c r="AY188" s="60" t="s">
        <v>780</v>
      </c>
      <c r="AZ188" s="60" t="s">
        <v>853</v>
      </c>
      <c r="BA188" s="11" t="s">
        <v>1092</v>
      </c>
      <c r="BC188" s="9">
        <f t="shared" si="85"/>
        <v>0</v>
      </c>
      <c r="BD188" s="9">
        <f t="shared" si="86"/>
        <v>0</v>
      </c>
      <c r="BE188" s="9">
        <v>0</v>
      </c>
      <c r="BF188" s="9">
        <f>188</f>
        <v>188</v>
      </c>
      <c r="BH188" s="9">
        <f t="shared" si="87"/>
        <v>0</v>
      </c>
      <c r="BI188" s="9">
        <f t="shared" si="88"/>
        <v>0</v>
      </c>
      <c r="BJ188" s="9">
        <f t="shared" si="89"/>
        <v>0</v>
      </c>
      <c r="BK188" s="9"/>
      <c r="BL188" s="9">
        <v>722</v>
      </c>
      <c r="BW188" s="9">
        <v>21</v>
      </c>
    </row>
    <row r="189" spans="1:75" ht="13.5" customHeight="1">
      <c r="A189" s="16" t="s">
        <v>1261</v>
      </c>
      <c r="B189" s="32" t="s">
        <v>5</v>
      </c>
      <c r="C189" s="32" t="s">
        <v>996</v>
      </c>
      <c r="D189" s="69" t="s">
        <v>273</v>
      </c>
      <c r="E189" s="70"/>
      <c r="F189" s="32" t="s">
        <v>861</v>
      </c>
      <c r="G189" s="9">
        <v>3</v>
      </c>
      <c r="H189" s="68">
        <v>0</v>
      </c>
      <c r="I189" s="9">
        <f t="shared" si="68"/>
        <v>0</v>
      </c>
      <c r="K189" s="23"/>
      <c r="Z189" s="9">
        <f t="shared" si="69"/>
        <v>0</v>
      </c>
      <c r="AB189" s="9">
        <f t="shared" si="70"/>
        <v>0</v>
      </c>
      <c r="AC189" s="9">
        <f t="shared" si="71"/>
        <v>0</v>
      </c>
      <c r="AD189" s="9">
        <f t="shared" si="72"/>
        <v>0</v>
      </c>
      <c r="AE189" s="9">
        <f t="shared" si="73"/>
        <v>0</v>
      </c>
      <c r="AF189" s="9">
        <f t="shared" si="74"/>
        <v>0</v>
      </c>
      <c r="AG189" s="9">
        <f t="shared" si="75"/>
        <v>0</v>
      </c>
      <c r="AH189" s="9">
        <f t="shared" si="76"/>
        <v>0</v>
      </c>
      <c r="AI189" s="11" t="s">
        <v>5</v>
      </c>
      <c r="AJ189" s="9">
        <f t="shared" si="77"/>
        <v>0</v>
      </c>
      <c r="AK189" s="9">
        <f t="shared" si="78"/>
        <v>0</v>
      </c>
      <c r="AL189" s="9">
        <f t="shared" si="79"/>
        <v>0</v>
      </c>
      <c r="AN189" s="9">
        <v>21</v>
      </c>
      <c r="AO189" s="9">
        <f t="shared" si="90"/>
        <v>0</v>
      </c>
      <c r="AP189" s="9">
        <f t="shared" si="91"/>
        <v>0</v>
      </c>
      <c r="AQ189" s="60" t="s">
        <v>1238</v>
      </c>
      <c r="AV189" s="9">
        <f t="shared" si="82"/>
        <v>0</v>
      </c>
      <c r="AW189" s="9">
        <f t="shared" si="83"/>
        <v>0</v>
      </c>
      <c r="AX189" s="9">
        <f t="shared" si="84"/>
        <v>0</v>
      </c>
      <c r="AY189" s="60" t="s">
        <v>780</v>
      </c>
      <c r="AZ189" s="60" t="s">
        <v>853</v>
      </c>
      <c r="BA189" s="11" t="s">
        <v>1092</v>
      </c>
      <c r="BC189" s="9">
        <f t="shared" si="85"/>
        <v>0</v>
      </c>
      <c r="BD189" s="9">
        <f t="shared" si="86"/>
        <v>0</v>
      </c>
      <c r="BE189" s="9">
        <v>0</v>
      </c>
      <c r="BF189" s="9">
        <f>189</f>
        <v>189</v>
      </c>
      <c r="BH189" s="9">
        <f t="shared" si="87"/>
        <v>0</v>
      </c>
      <c r="BI189" s="9">
        <f t="shared" si="88"/>
        <v>0</v>
      </c>
      <c r="BJ189" s="9">
        <f t="shared" si="89"/>
        <v>0</v>
      </c>
      <c r="BK189" s="9"/>
      <c r="BL189" s="9">
        <v>722</v>
      </c>
      <c r="BW189" s="9">
        <v>21</v>
      </c>
    </row>
    <row r="190" spans="1:75" ht="13.5" customHeight="1">
      <c r="A190" s="16" t="s">
        <v>483</v>
      </c>
      <c r="B190" s="32" t="s">
        <v>5</v>
      </c>
      <c r="C190" s="32" t="s">
        <v>1037</v>
      </c>
      <c r="D190" s="69" t="s">
        <v>546</v>
      </c>
      <c r="E190" s="70"/>
      <c r="F190" s="32" t="s">
        <v>861</v>
      </c>
      <c r="G190" s="9">
        <v>3</v>
      </c>
      <c r="H190" s="68">
        <v>0</v>
      </c>
      <c r="I190" s="9">
        <f t="shared" si="68"/>
        <v>0</v>
      </c>
      <c r="K190" s="23"/>
      <c r="Z190" s="9">
        <f t="shared" si="69"/>
        <v>0</v>
      </c>
      <c r="AB190" s="9">
        <f t="shared" si="70"/>
        <v>0</v>
      </c>
      <c r="AC190" s="9">
        <f t="shared" si="71"/>
        <v>0</v>
      </c>
      <c r="AD190" s="9">
        <f t="shared" si="72"/>
        <v>0</v>
      </c>
      <c r="AE190" s="9">
        <f t="shared" si="73"/>
        <v>0</v>
      </c>
      <c r="AF190" s="9">
        <f t="shared" si="74"/>
        <v>0</v>
      </c>
      <c r="AG190" s="9">
        <f t="shared" si="75"/>
        <v>0</v>
      </c>
      <c r="AH190" s="9">
        <f t="shared" si="76"/>
        <v>0</v>
      </c>
      <c r="AI190" s="11" t="s">
        <v>5</v>
      </c>
      <c r="AJ190" s="9">
        <f t="shared" si="77"/>
        <v>0</v>
      </c>
      <c r="AK190" s="9">
        <f t="shared" si="78"/>
        <v>0</v>
      </c>
      <c r="AL190" s="9">
        <f t="shared" si="79"/>
        <v>0</v>
      </c>
      <c r="AN190" s="9">
        <v>21</v>
      </c>
      <c r="AO190" s="9">
        <f t="shared" si="90"/>
        <v>0</v>
      </c>
      <c r="AP190" s="9">
        <f t="shared" si="91"/>
        <v>0</v>
      </c>
      <c r="AQ190" s="60" t="s">
        <v>1238</v>
      </c>
      <c r="AV190" s="9">
        <f t="shared" si="82"/>
        <v>0</v>
      </c>
      <c r="AW190" s="9">
        <f t="shared" si="83"/>
        <v>0</v>
      </c>
      <c r="AX190" s="9">
        <f t="shared" si="84"/>
        <v>0</v>
      </c>
      <c r="AY190" s="60" t="s">
        <v>780</v>
      </c>
      <c r="AZ190" s="60" t="s">
        <v>853</v>
      </c>
      <c r="BA190" s="11" t="s">
        <v>1092</v>
      </c>
      <c r="BC190" s="9">
        <f t="shared" si="85"/>
        <v>0</v>
      </c>
      <c r="BD190" s="9">
        <f t="shared" si="86"/>
        <v>0</v>
      </c>
      <c r="BE190" s="9">
        <v>0</v>
      </c>
      <c r="BF190" s="9">
        <f>190</f>
        <v>190</v>
      </c>
      <c r="BH190" s="9">
        <f t="shared" si="87"/>
        <v>0</v>
      </c>
      <c r="BI190" s="9">
        <f t="shared" si="88"/>
        <v>0</v>
      </c>
      <c r="BJ190" s="9">
        <f t="shared" si="89"/>
        <v>0</v>
      </c>
      <c r="BK190" s="9"/>
      <c r="BL190" s="9">
        <v>722</v>
      </c>
      <c r="BW190" s="9">
        <v>21</v>
      </c>
    </row>
    <row r="191" spans="1:75" ht="13.5" customHeight="1">
      <c r="A191" s="16" t="s">
        <v>351</v>
      </c>
      <c r="B191" s="32" t="s">
        <v>5</v>
      </c>
      <c r="C191" s="32" t="s">
        <v>1398</v>
      </c>
      <c r="D191" s="69" t="s">
        <v>257</v>
      </c>
      <c r="E191" s="70"/>
      <c r="F191" s="32" t="s">
        <v>861</v>
      </c>
      <c r="G191" s="9">
        <v>74</v>
      </c>
      <c r="H191" s="68">
        <v>0</v>
      </c>
      <c r="I191" s="9">
        <f t="shared" si="68"/>
        <v>0</v>
      </c>
      <c r="K191" s="23"/>
      <c r="Z191" s="9">
        <f t="shared" si="69"/>
        <v>0</v>
      </c>
      <c r="AB191" s="9">
        <f t="shared" si="70"/>
        <v>0</v>
      </c>
      <c r="AC191" s="9">
        <f t="shared" si="71"/>
        <v>0</v>
      </c>
      <c r="AD191" s="9">
        <f t="shared" si="72"/>
        <v>0</v>
      </c>
      <c r="AE191" s="9">
        <f t="shared" si="73"/>
        <v>0</v>
      </c>
      <c r="AF191" s="9">
        <f t="shared" si="74"/>
        <v>0</v>
      </c>
      <c r="AG191" s="9">
        <f t="shared" si="75"/>
        <v>0</v>
      </c>
      <c r="AH191" s="9">
        <f t="shared" si="76"/>
        <v>0</v>
      </c>
      <c r="AI191" s="11" t="s">
        <v>5</v>
      </c>
      <c r="AJ191" s="9">
        <f t="shared" si="77"/>
        <v>0</v>
      </c>
      <c r="AK191" s="9">
        <f t="shared" si="78"/>
        <v>0</v>
      </c>
      <c r="AL191" s="9">
        <f t="shared" si="79"/>
        <v>0</v>
      </c>
      <c r="AN191" s="9">
        <v>21</v>
      </c>
      <c r="AO191" s="9">
        <f t="shared" si="90"/>
        <v>0</v>
      </c>
      <c r="AP191" s="9">
        <f t="shared" si="91"/>
        <v>0</v>
      </c>
      <c r="AQ191" s="60" t="s">
        <v>1238</v>
      </c>
      <c r="AV191" s="9">
        <f t="shared" si="82"/>
        <v>0</v>
      </c>
      <c r="AW191" s="9">
        <f t="shared" si="83"/>
        <v>0</v>
      </c>
      <c r="AX191" s="9">
        <f t="shared" si="84"/>
        <v>0</v>
      </c>
      <c r="AY191" s="60" t="s">
        <v>780</v>
      </c>
      <c r="AZ191" s="60" t="s">
        <v>853</v>
      </c>
      <c r="BA191" s="11" t="s">
        <v>1092</v>
      </c>
      <c r="BC191" s="9">
        <f t="shared" si="85"/>
        <v>0</v>
      </c>
      <c r="BD191" s="9">
        <f t="shared" si="86"/>
        <v>0</v>
      </c>
      <c r="BE191" s="9">
        <v>0</v>
      </c>
      <c r="BF191" s="9">
        <f>191</f>
        <v>191</v>
      </c>
      <c r="BH191" s="9">
        <f t="shared" si="87"/>
        <v>0</v>
      </c>
      <c r="BI191" s="9">
        <f t="shared" si="88"/>
        <v>0</v>
      </c>
      <c r="BJ191" s="9">
        <f t="shared" si="89"/>
        <v>0</v>
      </c>
      <c r="BK191" s="9"/>
      <c r="BL191" s="9">
        <v>722</v>
      </c>
      <c r="BW191" s="9">
        <v>21</v>
      </c>
    </row>
    <row r="192" spans="1:75" ht="27" customHeight="1">
      <c r="A192" s="16" t="s">
        <v>932</v>
      </c>
      <c r="B192" s="32" t="s">
        <v>5</v>
      </c>
      <c r="C192" s="32" t="s">
        <v>414</v>
      </c>
      <c r="D192" s="69" t="s">
        <v>643</v>
      </c>
      <c r="E192" s="70"/>
      <c r="F192" s="32" t="s">
        <v>861</v>
      </c>
      <c r="G192" s="9">
        <v>48</v>
      </c>
      <c r="H192" s="68">
        <v>0</v>
      </c>
      <c r="I192" s="9">
        <f t="shared" si="68"/>
        <v>0</v>
      </c>
      <c r="K192" s="23"/>
      <c r="Z192" s="9">
        <f t="shared" si="69"/>
        <v>0</v>
      </c>
      <c r="AB192" s="9">
        <f t="shared" si="70"/>
        <v>0</v>
      </c>
      <c r="AC192" s="9">
        <f t="shared" si="71"/>
        <v>0</v>
      </c>
      <c r="AD192" s="9">
        <f t="shared" si="72"/>
        <v>0</v>
      </c>
      <c r="AE192" s="9">
        <f t="shared" si="73"/>
        <v>0</v>
      </c>
      <c r="AF192" s="9">
        <f t="shared" si="74"/>
        <v>0</v>
      </c>
      <c r="AG192" s="9">
        <f t="shared" si="75"/>
        <v>0</v>
      </c>
      <c r="AH192" s="9">
        <f t="shared" si="76"/>
        <v>0</v>
      </c>
      <c r="AI192" s="11" t="s">
        <v>5</v>
      </c>
      <c r="AJ192" s="9">
        <f t="shared" si="77"/>
        <v>0</v>
      </c>
      <c r="AK192" s="9">
        <f t="shared" si="78"/>
        <v>0</v>
      </c>
      <c r="AL192" s="9">
        <f t="shared" si="79"/>
        <v>0</v>
      </c>
      <c r="AN192" s="9">
        <v>21</v>
      </c>
      <c r="AO192" s="9">
        <f t="shared" si="90"/>
        <v>0</v>
      </c>
      <c r="AP192" s="9">
        <f t="shared" si="91"/>
        <v>0</v>
      </c>
      <c r="AQ192" s="60" t="s">
        <v>1238</v>
      </c>
      <c r="AV192" s="9">
        <f t="shared" si="82"/>
        <v>0</v>
      </c>
      <c r="AW192" s="9">
        <f t="shared" si="83"/>
        <v>0</v>
      </c>
      <c r="AX192" s="9">
        <f t="shared" si="84"/>
        <v>0</v>
      </c>
      <c r="AY192" s="60" t="s">
        <v>780</v>
      </c>
      <c r="AZ192" s="60" t="s">
        <v>853</v>
      </c>
      <c r="BA192" s="11" t="s">
        <v>1092</v>
      </c>
      <c r="BC192" s="9">
        <f t="shared" si="85"/>
        <v>0</v>
      </c>
      <c r="BD192" s="9">
        <f t="shared" si="86"/>
        <v>0</v>
      </c>
      <c r="BE192" s="9">
        <v>0</v>
      </c>
      <c r="BF192" s="9">
        <f>192</f>
        <v>192</v>
      </c>
      <c r="BH192" s="9">
        <f t="shared" si="87"/>
        <v>0</v>
      </c>
      <c r="BI192" s="9">
        <f t="shared" si="88"/>
        <v>0</v>
      </c>
      <c r="BJ192" s="9">
        <f t="shared" si="89"/>
        <v>0</v>
      </c>
      <c r="BK192" s="9"/>
      <c r="BL192" s="9">
        <v>722</v>
      </c>
      <c r="BW192" s="9">
        <v>21</v>
      </c>
    </row>
    <row r="193" spans="1:75" ht="13.5" customHeight="1">
      <c r="A193" s="16" t="s">
        <v>159</v>
      </c>
      <c r="B193" s="32" t="s">
        <v>5</v>
      </c>
      <c r="C193" s="32" t="s">
        <v>19</v>
      </c>
      <c r="D193" s="69" t="s">
        <v>549</v>
      </c>
      <c r="E193" s="70"/>
      <c r="F193" s="32" t="s">
        <v>861</v>
      </c>
      <c r="G193" s="9">
        <v>4</v>
      </c>
      <c r="H193" s="68">
        <v>0</v>
      </c>
      <c r="I193" s="9">
        <f t="shared" si="68"/>
        <v>0</v>
      </c>
      <c r="K193" s="23"/>
      <c r="Z193" s="9">
        <f t="shared" si="69"/>
        <v>0</v>
      </c>
      <c r="AB193" s="9">
        <f t="shared" si="70"/>
        <v>0</v>
      </c>
      <c r="AC193" s="9">
        <f t="shared" si="71"/>
        <v>0</v>
      </c>
      <c r="AD193" s="9">
        <f t="shared" si="72"/>
        <v>0</v>
      </c>
      <c r="AE193" s="9">
        <f t="shared" si="73"/>
        <v>0</v>
      </c>
      <c r="AF193" s="9">
        <f t="shared" si="74"/>
        <v>0</v>
      </c>
      <c r="AG193" s="9">
        <f t="shared" si="75"/>
        <v>0</v>
      </c>
      <c r="AH193" s="9">
        <f t="shared" si="76"/>
        <v>0</v>
      </c>
      <c r="AI193" s="11" t="s">
        <v>5</v>
      </c>
      <c r="AJ193" s="9">
        <f t="shared" si="77"/>
        <v>0</v>
      </c>
      <c r="AK193" s="9">
        <f t="shared" si="78"/>
        <v>0</v>
      </c>
      <c r="AL193" s="9">
        <f t="shared" si="79"/>
        <v>0</v>
      </c>
      <c r="AN193" s="9">
        <v>21</v>
      </c>
      <c r="AO193" s="9">
        <f t="shared" si="90"/>
        <v>0</v>
      </c>
      <c r="AP193" s="9">
        <f t="shared" si="91"/>
        <v>0</v>
      </c>
      <c r="AQ193" s="60" t="s">
        <v>1238</v>
      </c>
      <c r="AV193" s="9">
        <f t="shared" si="82"/>
        <v>0</v>
      </c>
      <c r="AW193" s="9">
        <f t="shared" si="83"/>
        <v>0</v>
      </c>
      <c r="AX193" s="9">
        <f t="shared" si="84"/>
        <v>0</v>
      </c>
      <c r="AY193" s="60" t="s">
        <v>780</v>
      </c>
      <c r="AZ193" s="60" t="s">
        <v>853</v>
      </c>
      <c r="BA193" s="11" t="s">
        <v>1092</v>
      </c>
      <c r="BC193" s="9">
        <f t="shared" si="85"/>
        <v>0</v>
      </c>
      <c r="BD193" s="9">
        <f t="shared" si="86"/>
        <v>0</v>
      </c>
      <c r="BE193" s="9">
        <v>0</v>
      </c>
      <c r="BF193" s="9">
        <f>193</f>
        <v>193</v>
      </c>
      <c r="BH193" s="9">
        <f t="shared" si="87"/>
        <v>0</v>
      </c>
      <c r="BI193" s="9">
        <f t="shared" si="88"/>
        <v>0</v>
      </c>
      <c r="BJ193" s="9">
        <f t="shared" si="89"/>
        <v>0</v>
      </c>
      <c r="BK193" s="9"/>
      <c r="BL193" s="9">
        <v>722</v>
      </c>
      <c r="BW193" s="9">
        <v>21</v>
      </c>
    </row>
    <row r="194" spans="1:75" ht="13.5" customHeight="1">
      <c r="A194" s="16" t="s">
        <v>1147</v>
      </c>
      <c r="B194" s="32" t="s">
        <v>5</v>
      </c>
      <c r="C194" s="32" t="s">
        <v>914</v>
      </c>
      <c r="D194" s="69" t="s">
        <v>945</v>
      </c>
      <c r="E194" s="70"/>
      <c r="F194" s="32" t="s">
        <v>861</v>
      </c>
      <c r="G194" s="9">
        <v>4</v>
      </c>
      <c r="H194" s="68">
        <v>0</v>
      </c>
      <c r="I194" s="9">
        <f t="shared" si="68"/>
        <v>0</v>
      </c>
      <c r="K194" s="23"/>
      <c r="Z194" s="9">
        <f t="shared" si="69"/>
        <v>0</v>
      </c>
      <c r="AB194" s="9">
        <f t="shared" si="70"/>
        <v>0</v>
      </c>
      <c r="AC194" s="9">
        <f t="shared" si="71"/>
        <v>0</v>
      </c>
      <c r="AD194" s="9">
        <f t="shared" si="72"/>
        <v>0</v>
      </c>
      <c r="AE194" s="9">
        <f t="shared" si="73"/>
        <v>0</v>
      </c>
      <c r="AF194" s="9">
        <f t="shared" si="74"/>
        <v>0</v>
      </c>
      <c r="AG194" s="9">
        <f t="shared" si="75"/>
        <v>0</v>
      </c>
      <c r="AH194" s="9">
        <f t="shared" si="76"/>
        <v>0</v>
      </c>
      <c r="AI194" s="11" t="s">
        <v>5</v>
      </c>
      <c r="AJ194" s="9">
        <f t="shared" si="77"/>
        <v>0</v>
      </c>
      <c r="AK194" s="9">
        <f t="shared" si="78"/>
        <v>0</v>
      </c>
      <c r="AL194" s="9">
        <f t="shared" si="79"/>
        <v>0</v>
      </c>
      <c r="AN194" s="9">
        <v>21</v>
      </c>
      <c r="AO194" s="9">
        <f t="shared" si="90"/>
        <v>0</v>
      </c>
      <c r="AP194" s="9">
        <f t="shared" si="91"/>
        <v>0</v>
      </c>
      <c r="AQ194" s="60" t="s">
        <v>1238</v>
      </c>
      <c r="AV194" s="9">
        <f t="shared" si="82"/>
        <v>0</v>
      </c>
      <c r="AW194" s="9">
        <f t="shared" si="83"/>
        <v>0</v>
      </c>
      <c r="AX194" s="9">
        <f t="shared" si="84"/>
        <v>0</v>
      </c>
      <c r="AY194" s="60" t="s">
        <v>780</v>
      </c>
      <c r="AZ194" s="60" t="s">
        <v>853</v>
      </c>
      <c r="BA194" s="11" t="s">
        <v>1092</v>
      </c>
      <c r="BC194" s="9">
        <f t="shared" si="85"/>
        <v>0</v>
      </c>
      <c r="BD194" s="9">
        <f t="shared" si="86"/>
        <v>0</v>
      </c>
      <c r="BE194" s="9">
        <v>0</v>
      </c>
      <c r="BF194" s="9">
        <f>194</f>
        <v>194</v>
      </c>
      <c r="BH194" s="9">
        <f t="shared" si="87"/>
        <v>0</v>
      </c>
      <c r="BI194" s="9">
        <f t="shared" si="88"/>
        <v>0</v>
      </c>
      <c r="BJ194" s="9">
        <f t="shared" si="89"/>
        <v>0</v>
      </c>
      <c r="BK194" s="9"/>
      <c r="BL194" s="9">
        <v>722</v>
      </c>
      <c r="BW194" s="9">
        <v>21</v>
      </c>
    </row>
    <row r="195" spans="1:75" ht="13.5" customHeight="1">
      <c r="A195" s="16" t="s">
        <v>309</v>
      </c>
      <c r="B195" s="32" t="s">
        <v>5</v>
      </c>
      <c r="C195" s="32" t="s">
        <v>265</v>
      </c>
      <c r="D195" s="69" t="s">
        <v>161</v>
      </c>
      <c r="E195" s="70"/>
      <c r="F195" s="32" t="s">
        <v>861</v>
      </c>
      <c r="G195" s="9">
        <v>1</v>
      </c>
      <c r="H195" s="68">
        <v>0</v>
      </c>
      <c r="I195" s="9">
        <f t="shared" si="68"/>
        <v>0</v>
      </c>
      <c r="K195" s="23"/>
      <c r="Z195" s="9">
        <f t="shared" si="69"/>
        <v>0</v>
      </c>
      <c r="AB195" s="9">
        <f t="shared" si="70"/>
        <v>0</v>
      </c>
      <c r="AC195" s="9">
        <f t="shared" si="71"/>
        <v>0</v>
      </c>
      <c r="AD195" s="9">
        <f t="shared" si="72"/>
        <v>0</v>
      </c>
      <c r="AE195" s="9">
        <f t="shared" si="73"/>
        <v>0</v>
      </c>
      <c r="AF195" s="9">
        <f t="shared" si="74"/>
        <v>0</v>
      </c>
      <c r="AG195" s="9">
        <f t="shared" si="75"/>
        <v>0</v>
      </c>
      <c r="AH195" s="9">
        <f t="shared" si="76"/>
        <v>0</v>
      </c>
      <c r="AI195" s="11" t="s">
        <v>5</v>
      </c>
      <c r="AJ195" s="9">
        <f t="shared" si="77"/>
        <v>0</v>
      </c>
      <c r="AK195" s="9">
        <f t="shared" si="78"/>
        <v>0</v>
      </c>
      <c r="AL195" s="9">
        <f t="shared" si="79"/>
        <v>0</v>
      </c>
      <c r="AN195" s="9">
        <v>21</v>
      </c>
      <c r="AO195" s="9">
        <f t="shared" si="90"/>
        <v>0</v>
      </c>
      <c r="AP195" s="9">
        <f t="shared" si="91"/>
        <v>0</v>
      </c>
      <c r="AQ195" s="60" t="s">
        <v>1238</v>
      </c>
      <c r="AV195" s="9">
        <f t="shared" si="82"/>
        <v>0</v>
      </c>
      <c r="AW195" s="9">
        <f t="shared" si="83"/>
        <v>0</v>
      </c>
      <c r="AX195" s="9">
        <f t="shared" si="84"/>
        <v>0</v>
      </c>
      <c r="AY195" s="60" t="s">
        <v>780</v>
      </c>
      <c r="AZ195" s="60" t="s">
        <v>853</v>
      </c>
      <c r="BA195" s="11" t="s">
        <v>1092</v>
      </c>
      <c r="BC195" s="9">
        <f t="shared" si="85"/>
        <v>0</v>
      </c>
      <c r="BD195" s="9">
        <f t="shared" si="86"/>
        <v>0</v>
      </c>
      <c r="BE195" s="9">
        <v>0</v>
      </c>
      <c r="BF195" s="9">
        <f>195</f>
        <v>195</v>
      </c>
      <c r="BH195" s="9">
        <f t="shared" si="87"/>
        <v>0</v>
      </c>
      <c r="BI195" s="9">
        <f t="shared" si="88"/>
        <v>0</v>
      </c>
      <c r="BJ195" s="9">
        <f t="shared" si="89"/>
        <v>0</v>
      </c>
      <c r="BK195" s="9"/>
      <c r="BL195" s="9">
        <v>722</v>
      </c>
      <c r="BW195" s="9">
        <v>21</v>
      </c>
    </row>
    <row r="196" spans="1:75" ht="13.5" customHeight="1">
      <c r="A196" s="16" t="s">
        <v>186</v>
      </c>
      <c r="B196" s="32" t="s">
        <v>5</v>
      </c>
      <c r="C196" s="32" t="s">
        <v>21</v>
      </c>
      <c r="D196" s="69" t="s">
        <v>319</v>
      </c>
      <c r="E196" s="70"/>
      <c r="F196" s="32" t="s">
        <v>861</v>
      </c>
      <c r="G196" s="9">
        <v>2</v>
      </c>
      <c r="H196" s="68">
        <v>0</v>
      </c>
      <c r="I196" s="9">
        <f t="shared" si="68"/>
        <v>0</v>
      </c>
      <c r="K196" s="23"/>
      <c r="Z196" s="9">
        <f t="shared" si="69"/>
        <v>0</v>
      </c>
      <c r="AB196" s="9">
        <f t="shared" si="70"/>
        <v>0</v>
      </c>
      <c r="AC196" s="9">
        <f t="shared" si="71"/>
        <v>0</v>
      </c>
      <c r="AD196" s="9">
        <f t="shared" si="72"/>
        <v>0</v>
      </c>
      <c r="AE196" s="9">
        <f t="shared" si="73"/>
        <v>0</v>
      </c>
      <c r="AF196" s="9">
        <f t="shared" si="74"/>
        <v>0</v>
      </c>
      <c r="AG196" s="9">
        <f t="shared" si="75"/>
        <v>0</v>
      </c>
      <c r="AH196" s="9">
        <f t="shared" si="76"/>
        <v>0</v>
      </c>
      <c r="AI196" s="11" t="s">
        <v>5</v>
      </c>
      <c r="AJ196" s="9">
        <f t="shared" si="77"/>
        <v>0</v>
      </c>
      <c r="AK196" s="9">
        <f t="shared" si="78"/>
        <v>0</v>
      </c>
      <c r="AL196" s="9">
        <f t="shared" si="79"/>
        <v>0</v>
      </c>
      <c r="AN196" s="9">
        <v>21</v>
      </c>
      <c r="AO196" s="9">
        <f t="shared" si="90"/>
        <v>0</v>
      </c>
      <c r="AP196" s="9">
        <f t="shared" si="91"/>
        <v>0</v>
      </c>
      <c r="AQ196" s="60" t="s">
        <v>1238</v>
      </c>
      <c r="AV196" s="9">
        <f t="shared" si="82"/>
        <v>0</v>
      </c>
      <c r="AW196" s="9">
        <f t="shared" si="83"/>
        <v>0</v>
      </c>
      <c r="AX196" s="9">
        <f t="shared" si="84"/>
        <v>0</v>
      </c>
      <c r="AY196" s="60" t="s">
        <v>780</v>
      </c>
      <c r="AZ196" s="60" t="s">
        <v>853</v>
      </c>
      <c r="BA196" s="11" t="s">
        <v>1092</v>
      </c>
      <c r="BC196" s="9">
        <f t="shared" si="85"/>
        <v>0</v>
      </c>
      <c r="BD196" s="9">
        <f t="shared" si="86"/>
        <v>0</v>
      </c>
      <c r="BE196" s="9">
        <v>0</v>
      </c>
      <c r="BF196" s="9">
        <f>196</f>
        <v>196</v>
      </c>
      <c r="BH196" s="9">
        <f t="shared" si="87"/>
        <v>0</v>
      </c>
      <c r="BI196" s="9">
        <f t="shared" si="88"/>
        <v>0</v>
      </c>
      <c r="BJ196" s="9">
        <f t="shared" si="89"/>
        <v>0</v>
      </c>
      <c r="BK196" s="9"/>
      <c r="BL196" s="9">
        <v>722</v>
      </c>
      <c r="BW196" s="9">
        <v>21</v>
      </c>
    </row>
    <row r="197" spans="1:75" ht="13.5" customHeight="1">
      <c r="A197" s="16" t="s">
        <v>360</v>
      </c>
      <c r="B197" s="32" t="s">
        <v>5</v>
      </c>
      <c r="C197" s="32" t="s">
        <v>1410</v>
      </c>
      <c r="D197" s="69" t="s">
        <v>1360</v>
      </c>
      <c r="E197" s="70"/>
      <c r="F197" s="32" t="s">
        <v>861</v>
      </c>
      <c r="G197" s="9">
        <v>1</v>
      </c>
      <c r="H197" s="68">
        <v>0</v>
      </c>
      <c r="I197" s="9">
        <f t="shared" si="68"/>
        <v>0</v>
      </c>
      <c r="K197" s="23"/>
      <c r="Z197" s="9">
        <f t="shared" si="69"/>
        <v>0</v>
      </c>
      <c r="AB197" s="9">
        <f t="shared" si="70"/>
        <v>0</v>
      </c>
      <c r="AC197" s="9">
        <f t="shared" si="71"/>
        <v>0</v>
      </c>
      <c r="AD197" s="9">
        <f t="shared" si="72"/>
        <v>0</v>
      </c>
      <c r="AE197" s="9">
        <f t="shared" si="73"/>
        <v>0</v>
      </c>
      <c r="AF197" s="9">
        <f t="shared" si="74"/>
        <v>0</v>
      </c>
      <c r="AG197" s="9">
        <f t="shared" si="75"/>
        <v>0</v>
      </c>
      <c r="AH197" s="9">
        <f t="shared" si="76"/>
        <v>0</v>
      </c>
      <c r="AI197" s="11" t="s">
        <v>5</v>
      </c>
      <c r="AJ197" s="9">
        <f t="shared" si="77"/>
        <v>0</v>
      </c>
      <c r="AK197" s="9">
        <f t="shared" si="78"/>
        <v>0</v>
      </c>
      <c r="AL197" s="9">
        <f t="shared" si="79"/>
        <v>0</v>
      </c>
      <c r="AN197" s="9">
        <v>21</v>
      </c>
      <c r="AO197" s="9">
        <f t="shared" si="90"/>
        <v>0</v>
      </c>
      <c r="AP197" s="9">
        <f t="shared" si="91"/>
        <v>0</v>
      </c>
      <c r="AQ197" s="60" t="s">
        <v>1238</v>
      </c>
      <c r="AV197" s="9">
        <f t="shared" si="82"/>
        <v>0</v>
      </c>
      <c r="AW197" s="9">
        <f t="shared" si="83"/>
        <v>0</v>
      </c>
      <c r="AX197" s="9">
        <f t="shared" si="84"/>
        <v>0</v>
      </c>
      <c r="AY197" s="60" t="s">
        <v>780</v>
      </c>
      <c r="AZ197" s="60" t="s">
        <v>853</v>
      </c>
      <c r="BA197" s="11" t="s">
        <v>1092</v>
      </c>
      <c r="BC197" s="9">
        <f t="shared" si="85"/>
        <v>0</v>
      </c>
      <c r="BD197" s="9">
        <f t="shared" si="86"/>
        <v>0</v>
      </c>
      <c r="BE197" s="9">
        <v>0</v>
      </c>
      <c r="BF197" s="9">
        <f>197</f>
        <v>197</v>
      </c>
      <c r="BH197" s="9">
        <f t="shared" si="87"/>
        <v>0</v>
      </c>
      <c r="BI197" s="9">
        <f t="shared" si="88"/>
        <v>0</v>
      </c>
      <c r="BJ197" s="9">
        <f t="shared" si="89"/>
        <v>0</v>
      </c>
      <c r="BK197" s="9"/>
      <c r="BL197" s="9">
        <v>722</v>
      </c>
      <c r="BW197" s="9">
        <v>21</v>
      </c>
    </row>
    <row r="198" spans="1:75" ht="13.5" customHeight="1">
      <c r="A198" s="16" t="s">
        <v>406</v>
      </c>
      <c r="B198" s="32" t="s">
        <v>5</v>
      </c>
      <c r="C198" s="32" t="s">
        <v>930</v>
      </c>
      <c r="D198" s="69" t="s">
        <v>666</v>
      </c>
      <c r="E198" s="70"/>
      <c r="F198" s="32" t="s">
        <v>861</v>
      </c>
      <c r="G198" s="9">
        <v>2</v>
      </c>
      <c r="H198" s="68">
        <v>0</v>
      </c>
      <c r="I198" s="9">
        <f aca="true" t="shared" si="92" ref="I198:I217">G198*H198</f>
        <v>0</v>
      </c>
      <c r="K198" s="23"/>
      <c r="Z198" s="9">
        <f aca="true" t="shared" si="93" ref="Z198:Z217">IF(AQ198="5",BJ198,0)</f>
        <v>0</v>
      </c>
      <c r="AB198" s="9">
        <f aca="true" t="shared" si="94" ref="AB198:AB217">IF(AQ198="1",BH198,0)</f>
        <v>0</v>
      </c>
      <c r="AC198" s="9">
        <f aca="true" t="shared" si="95" ref="AC198:AC217">IF(AQ198="1",BI198,0)</f>
        <v>0</v>
      </c>
      <c r="AD198" s="9">
        <f aca="true" t="shared" si="96" ref="AD198:AD217">IF(AQ198="7",BH198,0)</f>
        <v>0</v>
      </c>
      <c r="AE198" s="9">
        <f aca="true" t="shared" si="97" ref="AE198:AE217">IF(AQ198="7",BI198,0)</f>
        <v>0</v>
      </c>
      <c r="AF198" s="9">
        <f aca="true" t="shared" si="98" ref="AF198:AF217">IF(AQ198="2",BH198,0)</f>
        <v>0</v>
      </c>
      <c r="AG198" s="9">
        <f aca="true" t="shared" si="99" ref="AG198:AG217">IF(AQ198="2",BI198,0)</f>
        <v>0</v>
      </c>
      <c r="AH198" s="9">
        <f aca="true" t="shared" si="100" ref="AH198:AH217">IF(AQ198="0",BJ198,0)</f>
        <v>0</v>
      </c>
      <c r="AI198" s="11" t="s">
        <v>5</v>
      </c>
      <c r="AJ198" s="9">
        <f aca="true" t="shared" si="101" ref="AJ198:AJ217">IF(AN198=0,I198,0)</f>
        <v>0</v>
      </c>
      <c r="AK198" s="9">
        <f aca="true" t="shared" si="102" ref="AK198:AK217">IF(AN198=12,I198,0)</f>
        <v>0</v>
      </c>
      <c r="AL198" s="9">
        <f aca="true" t="shared" si="103" ref="AL198:AL217">IF(AN198=21,I198,0)</f>
        <v>0</v>
      </c>
      <c r="AN198" s="9">
        <v>21</v>
      </c>
      <c r="AO198" s="9">
        <f t="shared" si="90"/>
        <v>0</v>
      </c>
      <c r="AP198" s="9">
        <f t="shared" si="91"/>
        <v>0</v>
      </c>
      <c r="AQ198" s="60" t="s">
        <v>1238</v>
      </c>
      <c r="AV198" s="9">
        <f aca="true" t="shared" si="104" ref="AV198:AV217">AW198+AX198</f>
        <v>0</v>
      </c>
      <c r="AW198" s="9">
        <f aca="true" t="shared" si="105" ref="AW198:AW217">G198*AO198</f>
        <v>0</v>
      </c>
      <c r="AX198" s="9">
        <f aca="true" t="shared" si="106" ref="AX198:AX217">G198*AP198</f>
        <v>0</v>
      </c>
      <c r="AY198" s="60" t="s">
        <v>780</v>
      </c>
      <c r="AZ198" s="60" t="s">
        <v>853</v>
      </c>
      <c r="BA198" s="11" t="s">
        <v>1092</v>
      </c>
      <c r="BC198" s="9">
        <f aca="true" t="shared" si="107" ref="BC198:BC217">AW198+AX198</f>
        <v>0</v>
      </c>
      <c r="BD198" s="9">
        <f aca="true" t="shared" si="108" ref="BD198:BD217">H198/(100-BE198)*100</f>
        <v>0</v>
      </c>
      <c r="BE198" s="9">
        <v>0</v>
      </c>
      <c r="BF198" s="9">
        <f>198</f>
        <v>198</v>
      </c>
      <c r="BH198" s="9">
        <f aca="true" t="shared" si="109" ref="BH198:BH217">G198*AO198</f>
        <v>0</v>
      </c>
      <c r="BI198" s="9">
        <f aca="true" t="shared" si="110" ref="BI198:BI217">G198*AP198</f>
        <v>0</v>
      </c>
      <c r="BJ198" s="9">
        <f aca="true" t="shared" si="111" ref="BJ198:BJ217">G198*H198</f>
        <v>0</v>
      </c>
      <c r="BK198" s="9"/>
      <c r="BL198" s="9">
        <v>722</v>
      </c>
      <c r="BW198" s="9">
        <v>21</v>
      </c>
    </row>
    <row r="199" spans="1:75" ht="13.5" customHeight="1">
      <c r="A199" s="16" t="s">
        <v>275</v>
      </c>
      <c r="B199" s="32" t="s">
        <v>5</v>
      </c>
      <c r="C199" s="32" t="s">
        <v>608</v>
      </c>
      <c r="D199" s="69" t="s">
        <v>560</v>
      </c>
      <c r="E199" s="70"/>
      <c r="F199" s="32" t="s">
        <v>861</v>
      </c>
      <c r="G199" s="9">
        <v>1</v>
      </c>
      <c r="H199" s="68">
        <v>0</v>
      </c>
      <c r="I199" s="9">
        <f t="shared" si="92"/>
        <v>0</v>
      </c>
      <c r="K199" s="23"/>
      <c r="Z199" s="9">
        <f t="shared" si="93"/>
        <v>0</v>
      </c>
      <c r="AB199" s="9">
        <f t="shared" si="94"/>
        <v>0</v>
      </c>
      <c r="AC199" s="9">
        <f t="shared" si="95"/>
        <v>0</v>
      </c>
      <c r="AD199" s="9">
        <f t="shared" si="96"/>
        <v>0</v>
      </c>
      <c r="AE199" s="9">
        <f t="shared" si="97"/>
        <v>0</v>
      </c>
      <c r="AF199" s="9">
        <f t="shared" si="98"/>
        <v>0</v>
      </c>
      <c r="AG199" s="9">
        <f t="shared" si="99"/>
        <v>0</v>
      </c>
      <c r="AH199" s="9">
        <f t="shared" si="100"/>
        <v>0</v>
      </c>
      <c r="AI199" s="11" t="s">
        <v>5</v>
      </c>
      <c r="AJ199" s="9">
        <f t="shared" si="101"/>
        <v>0</v>
      </c>
      <c r="AK199" s="9">
        <f t="shared" si="102"/>
        <v>0</v>
      </c>
      <c r="AL199" s="9">
        <f t="shared" si="103"/>
        <v>0</v>
      </c>
      <c r="AN199" s="9">
        <v>21</v>
      </c>
      <c r="AO199" s="9">
        <f t="shared" si="90"/>
        <v>0</v>
      </c>
      <c r="AP199" s="9">
        <f t="shared" si="91"/>
        <v>0</v>
      </c>
      <c r="AQ199" s="60" t="s">
        <v>1238</v>
      </c>
      <c r="AV199" s="9">
        <f t="shared" si="104"/>
        <v>0</v>
      </c>
      <c r="AW199" s="9">
        <f t="shared" si="105"/>
        <v>0</v>
      </c>
      <c r="AX199" s="9">
        <f t="shared" si="106"/>
        <v>0</v>
      </c>
      <c r="AY199" s="60" t="s">
        <v>780</v>
      </c>
      <c r="AZ199" s="60" t="s">
        <v>853</v>
      </c>
      <c r="BA199" s="11" t="s">
        <v>1092</v>
      </c>
      <c r="BC199" s="9">
        <f t="shared" si="107"/>
        <v>0</v>
      </c>
      <c r="BD199" s="9">
        <f t="shared" si="108"/>
        <v>0</v>
      </c>
      <c r="BE199" s="9">
        <v>0</v>
      </c>
      <c r="BF199" s="9">
        <f>199</f>
        <v>199</v>
      </c>
      <c r="BH199" s="9">
        <f t="shared" si="109"/>
        <v>0</v>
      </c>
      <c r="BI199" s="9">
        <f t="shared" si="110"/>
        <v>0</v>
      </c>
      <c r="BJ199" s="9">
        <f t="shared" si="111"/>
        <v>0</v>
      </c>
      <c r="BK199" s="9"/>
      <c r="BL199" s="9">
        <v>722</v>
      </c>
      <c r="BW199" s="9">
        <v>21</v>
      </c>
    </row>
    <row r="200" spans="1:75" ht="13.5" customHeight="1">
      <c r="A200" s="16" t="s">
        <v>530</v>
      </c>
      <c r="B200" s="32" t="s">
        <v>5</v>
      </c>
      <c r="C200" s="32" t="s">
        <v>1234</v>
      </c>
      <c r="D200" s="69" t="s">
        <v>771</v>
      </c>
      <c r="E200" s="70"/>
      <c r="F200" s="32" t="s">
        <v>861</v>
      </c>
      <c r="G200" s="9">
        <v>2</v>
      </c>
      <c r="H200" s="68">
        <v>0</v>
      </c>
      <c r="I200" s="9">
        <f t="shared" si="92"/>
        <v>0</v>
      </c>
      <c r="K200" s="23"/>
      <c r="Z200" s="9">
        <f t="shared" si="93"/>
        <v>0</v>
      </c>
      <c r="AB200" s="9">
        <f t="shared" si="94"/>
        <v>0</v>
      </c>
      <c r="AC200" s="9">
        <f t="shared" si="95"/>
        <v>0</v>
      </c>
      <c r="AD200" s="9">
        <f t="shared" si="96"/>
        <v>0</v>
      </c>
      <c r="AE200" s="9">
        <f t="shared" si="97"/>
        <v>0</v>
      </c>
      <c r="AF200" s="9">
        <f t="shared" si="98"/>
        <v>0</v>
      </c>
      <c r="AG200" s="9">
        <f t="shared" si="99"/>
        <v>0</v>
      </c>
      <c r="AH200" s="9">
        <f t="shared" si="100"/>
        <v>0</v>
      </c>
      <c r="AI200" s="11" t="s">
        <v>5</v>
      </c>
      <c r="AJ200" s="9">
        <f t="shared" si="101"/>
        <v>0</v>
      </c>
      <c r="AK200" s="9">
        <f t="shared" si="102"/>
        <v>0</v>
      </c>
      <c r="AL200" s="9">
        <f t="shared" si="103"/>
        <v>0</v>
      </c>
      <c r="AN200" s="9">
        <v>21</v>
      </c>
      <c r="AO200" s="9">
        <f t="shared" si="90"/>
        <v>0</v>
      </c>
      <c r="AP200" s="9">
        <f t="shared" si="91"/>
        <v>0</v>
      </c>
      <c r="AQ200" s="60" t="s">
        <v>1238</v>
      </c>
      <c r="AV200" s="9">
        <f t="shared" si="104"/>
        <v>0</v>
      </c>
      <c r="AW200" s="9">
        <f t="shared" si="105"/>
        <v>0</v>
      </c>
      <c r="AX200" s="9">
        <f t="shared" si="106"/>
        <v>0</v>
      </c>
      <c r="AY200" s="60" t="s">
        <v>780</v>
      </c>
      <c r="AZ200" s="60" t="s">
        <v>853</v>
      </c>
      <c r="BA200" s="11" t="s">
        <v>1092</v>
      </c>
      <c r="BC200" s="9">
        <f t="shared" si="107"/>
        <v>0</v>
      </c>
      <c r="BD200" s="9">
        <f t="shared" si="108"/>
        <v>0</v>
      </c>
      <c r="BE200" s="9">
        <v>0</v>
      </c>
      <c r="BF200" s="9">
        <f>200</f>
        <v>200</v>
      </c>
      <c r="BH200" s="9">
        <f t="shared" si="109"/>
        <v>0</v>
      </c>
      <c r="BI200" s="9">
        <f t="shared" si="110"/>
        <v>0</v>
      </c>
      <c r="BJ200" s="9">
        <f t="shared" si="111"/>
        <v>0</v>
      </c>
      <c r="BK200" s="9"/>
      <c r="BL200" s="9">
        <v>722</v>
      </c>
      <c r="BW200" s="9">
        <v>21</v>
      </c>
    </row>
    <row r="201" spans="1:75" ht="13.5" customHeight="1">
      <c r="A201" s="16" t="s">
        <v>510</v>
      </c>
      <c r="B201" s="32" t="s">
        <v>5</v>
      </c>
      <c r="C201" s="32" t="s">
        <v>1315</v>
      </c>
      <c r="D201" s="69" t="s">
        <v>199</v>
      </c>
      <c r="E201" s="70"/>
      <c r="F201" s="32" t="s">
        <v>861</v>
      </c>
      <c r="G201" s="9">
        <v>1</v>
      </c>
      <c r="H201" s="68">
        <v>0</v>
      </c>
      <c r="I201" s="9">
        <f t="shared" si="92"/>
        <v>0</v>
      </c>
      <c r="K201" s="23"/>
      <c r="Z201" s="9">
        <f t="shared" si="93"/>
        <v>0</v>
      </c>
      <c r="AB201" s="9">
        <f t="shared" si="94"/>
        <v>0</v>
      </c>
      <c r="AC201" s="9">
        <f t="shared" si="95"/>
        <v>0</v>
      </c>
      <c r="AD201" s="9">
        <f t="shared" si="96"/>
        <v>0</v>
      </c>
      <c r="AE201" s="9">
        <f t="shared" si="97"/>
        <v>0</v>
      </c>
      <c r="AF201" s="9">
        <f t="shared" si="98"/>
        <v>0</v>
      </c>
      <c r="AG201" s="9">
        <f t="shared" si="99"/>
        <v>0</v>
      </c>
      <c r="AH201" s="9">
        <f t="shared" si="100"/>
        <v>0</v>
      </c>
      <c r="AI201" s="11" t="s">
        <v>5</v>
      </c>
      <c r="AJ201" s="9">
        <f t="shared" si="101"/>
        <v>0</v>
      </c>
      <c r="AK201" s="9">
        <f t="shared" si="102"/>
        <v>0</v>
      </c>
      <c r="AL201" s="9">
        <f t="shared" si="103"/>
        <v>0</v>
      </c>
      <c r="AN201" s="9">
        <v>21</v>
      </c>
      <c r="AO201" s="9">
        <f t="shared" si="90"/>
        <v>0</v>
      </c>
      <c r="AP201" s="9">
        <f t="shared" si="91"/>
        <v>0</v>
      </c>
      <c r="AQ201" s="60" t="s">
        <v>1238</v>
      </c>
      <c r="AV201" s="9">
        <f t="shared" si="104"/>
        <v>0</v>
      </c>
      <c r="AW201" s="9">
        <f t="shared" si="105"/>
        <v>0</v>
      </c>
      <c r="AX201" s="9">
        <f t="shared" si="106"/>
        <v>0</v>
      </c>
      <c r="AY201" s="60" t="s">
        <v>780</v>
      </c>
      <c r="AZ201" s="60" t="s">
        <v>853</v>
      </c>
      <c r="BA201" s="11" t="s">
        <v>1092</v>
      </c>
      <c r="BC201" s="9">
        <f t="shared" si="107"/>
        <v>0</v>
      </c>
      <c r="BD201" s="9">
        <f t="shared" si="108"/>
        <v>0</v>
      </c>
      <c r="BE201" s="9">
        <v>0</v>
      </c>
      <c r="BF201" s="9">
        <f>201</f>
        <v>201</v>
      </c>
      <c r="BH201" s="9">
        <f t="shared" si="109"/>
        <v>0</v>
      </c>
      <c r="BI201" s="9">
        <f t="shared" si="110"/>
        <v>0</v>
      </c>
      <c r="BJ201" s="9">
        <f t="shared" si="111"/>
        <v>0</v>
      </c>
      <c r="BK201" s="9"/>
      <c r="BL201" s="9">
        <v>722</v>
      </c>
      <c r="BW201" s="9">
        <v>21</v>
      </c>
    </row>
    <row r="202" spans="1:75" ht="13.5" customHeight="1">
      <c r="A202" s="16" t="s">
        <v>670</v>
      </c>
      <c r="B202" s="32" t="s">
        <v>5</v>
      </c>
      <c r="C202" s="32" t="s">
        <v>365</v>
      </c>
      <c r="D202" s="69" t="s">
        <v>563</v>
      </c>
      <c r="E202" s="70"/>
      <c r="F202" s="32" t="s">
        <v>861</v>
      </c>
      <c r="G202" s="9">
        <v>8</v>
      </c>
      <c r="H202" s="68">
        <v>0</v>
      </c>
      <c r="I202" s="9">
        <f t="shared" si="92"/>
        <v>0</v>
      </c>
      <c r="K202" s="23"/>
      <c r="Z202" s="9">
        <f t="shared" si="93"/>
        <v>0</v>
      </c>
      <c r="AB202" s="9">
        <f t="shared" si="94"/>
        <v>0</v>
      </c>
      <c r="AC202" s="9">
        <f t="shared" si="95"/>
        <v>0</v>
      </c>
      <c r="AD202" s="9">
        <f t="shared" si="96"/>
        <v>0</v>
      </c>
      <c r="AE202" s="9">
        <f t="shared" si="97"/>
        <v>0</v>
      </c>
      <c r="AF202" s="9">
        <f t="shared" si="98"/>
        <v>0</v>
      </c>
      <c r="AG202" s="9">
        <f t="shared" si="99"/>
        <v>0</v>
      </c>
      <c r="AH202" s="9">
        <f t="shared" si="100"/>
        <v>0</v>
      </c>
      <c r="AI202" s="11" t="s">
        <v>5</v>
      </c>
      <c r="AJ202" s="9">
        <f t="shared" si="101"/>
        <v>0</v>
      </c>
      <c r="AK202" s="9">
        <f t="shared" si="102"/>
        <v>0</v>
      </c>
      <c r="AL202" s="9">
        <f t="shared" si="103"/>
        <v>0</v>
      </c>
      <c r="AN202" s="9">
        <v>21</v>
      </c>
      <c r="AO202" s="9">
        <f t="shared" si="90"/>
        <v>0</v>
      </c>
      <c r="AP202" s="9">
        <f t="shared" si="91"/>
        <v>0</v>
      </c>
      <c r="AQ202" s="60" t="s">
        <v>1238</v>
      </c>
      <c r="AV202" s="9">
        <f t="shared" si="104"/>
        <v>0</v>
      </c>
      <c r="AW202" s="9">
        <f t="shared" si="105"/>
        <v>0</v>
      </c>
      <c r="AX202" s="9">
        <f t="shared" si="106"/>
        <v>0</v>
      </c>
      <c r="AY202" s="60" t="s">
        <v>780</v>
      </c>
      <c r="AZ202" s="60" t="s">
        <v>853</v>
      </c>
      <c r="BA202" s="11" t="s">
        <v>1092</v>
      </c>
      <c r="BC202" s="9">
        <f t="shared" si="107"/>
        <v>0</v>
      </c>
      <c r="BD202" s="9">
        <f t="shared" si="108"/>
        <v>0</v>
      </c>
      <c r="BE202" s="9">
        <v>0</v>
      </c>
      <c r="BF202" s="9">
        <f>202</f>
        <v>202</v>
      </c>
      <c r="BH202" s="9">
        <f t="shared" si="109"/>
        <v>0</v>
      </c>
      <c r="BI202" s="9">
        <f t="shared" si="110"/>
        <v>0</v>
      </c>
      <c r="BJ202" s="9">
        <f t="shared" si="111"/>
        <v>0</v>
      </c>
      <c r="BK202" s="9"/>
      <c r="BL202" s="9">
        <v>722</v>
      </c>
      <c r="BW202" s="9">
        <v>21</v>
      </c>
    </row>
    <row r="203" spans="1:75" ht="27" customHeight="1">
      <c r="A203" s="16" t="s">
        <v>143</v>
      </c>
      <c r="B203" s="32" t="s">
        <v>5</v>
      </c>
      <c r="C203" s="32" t="s">
        <v>1006</v>
      </c>
      <c r="D203" s="69" t="s">
        <v>1179</v>
      </c>
      <c r="E203" s="70"/>
      <c r="F203" s="32" t="s">
        <v>1026</v>
      </c>
      <c r="G203" s="9">
        <v>115.5</v>
      </c>
      <c r="H203" s="68">
        <v>0</v>
      </c>
      <c r="I203" s="9">
        <f t="shared" si="92"/>
        <v>0</v>
      </c>
      <c r="K203" s="23"/>
      <c r="Z203" s="9">
        <f t="shared" si="93"/>
        <v>0</v>
      </c>
      <c r="AB203" s="9">
        <f t="shared" si="94"/>
        <v>0</v>
      </c>
      <c r="AC203" s="9">
        <f t="shared" si="95"/>
        <v>0</v>
      </c>
      <c r="AD203" s="9">
        <f t="shared" si="96"/>
        <v>0</v>
      </c>
      <c r="AE203" s="9">
        <f t="shared" si="97"/>
        <v>0</v>
      </c>
      <c r="AF203" s="9">
        <f t="shared" si="98"/>
        <v>0</v>
      </c>
      <c r="AG203" s="9">
        <f t="shared" si="99"/>
        <v>0</v>
      </c>
      <c r="AH203" s="9">
        <f t="shared" si="100"/>
        <v>0</v>
      </c>
      <c r="AI203" s="11" t="s">
        <v>5</v>
      </c>
      <c r="AJ203" s="9">
        <f t="shared" si="101"/>
        <v>0</v>
      </c>
      <c r="AK203" s="9">
        <f t="shared" si="102"/>
        <v>0</v>
      </c>
      <c r="AL203" s="9">
        <f t="shared" si="103"/>
        <v>0</v>
      </c>
      <c r="AN203" s="9">
        <v>21</v>
      </c>
      <c r="AO203" s="9">
        <f aca="true" t="shared" si="112" ref="AO203:AO217">H203*0</f>
        <v>0</v>
      </c>
      <c r="AP203" s="9">
        <f aca="true" t="shared" si="113" ref="AP203:AP217">H203*(1-0)</f>
        <v>0</v>
      </c>
      <c r="AQ203" s="60" t="s">
        <v>1238</v>
      </c>
      <c r="AV203" s="9">
        <f t="shared" si="104"/>
        <v>0</v>
      </c>
      <c r="AW203" s="9">
        <f t="shared" si="105"/>
        <v>0</v>
      </c>
      <c r="AX203" s="9">
        <f t="shared" si="106"/>
        <v>0</v>
      </c>
      <c r="AY203" s="60" t="s">
        <v>780</v>
      </c>
      <c r="AZ203" s="60" t="s">
        <v>853</v>
      </c>
      <c r="BA203" s="11" t="s">
        <v>1092</v>
      </c>
      <c r="BC203" s="9">
        <f t="shared" si="107"/>
        <v>0</v>
      </c>
      <c r="BD203" s="9">
        <f t="shared" si="108"/>
        <v>0</v>
      </c>
      <c r="BE203" s="9">
        <v>0</v>
      </c>
      <c r="BF203" s="9">
        <f>203</f>
        <v>203</v>
      </c>
      <c r="BH203" s="9">
        <f t="shared" si="109"/>
        <v>0</v>
      </c>
      <c r="BI203" s="9">
        <f t="shared" si="110"/>
        <v>0</v>
      </c>
      <c r="BJ203" s="9">
        <f t="shared" si="111"/>
        <v>0</v>
      </c>
      <c r="BK203" s="9"/>
      <c r="BL203" s="9">
        <v>722</v>
      </c>
      <c r="BW203" s="9">
        <v>21</v>
      </c>
    </row>
    <row r="204" spans="1:75" ht="27" customHeight="1">
      <c r="A204" s="16" t="s">
        <v>656</v>
      </c>
      <c r="B204" s="32" t="s">
        <v>5</v>
      </c>
      <c r="C204" s="32" t="s">
        <v>102</v>
      </c>
      <c r="D204" s="69" t="s">
        <v>1167</v>
      </c>
      <c r="E204" s="70"/>
      <c r="F204" s="32" t="s">
        <v>1026</v>
      </c>
      <c r="G204" s="9">
        <v>33.5</v>
      </c>
      <c r="H204" s="68">
        <v>0</v>
      </c>
      <c r="I204" s="9">
        <f t="shared" si="92"/>
        <v>0</v>
      </c>
      <c r="K204" s="23"/>
      <c r="Z204" s="9">
        <f t="shared" si="93"/>
        <v>0</v>
      </c>
      <c r="AB204" s="9">
        <f t="shared" si="94"/>
        <v>0</v>
      </c>
      <c r="AC204" s="9">
        <f t="shared" si="95"/>
        <v>0</v>
      </c>
      <c r="AD204" s="9">
        <f t="shared" si="96"/>
        <v>0</v>
      </c>
      <c r="AE204" s="9">
        <f t="shared" si="97"/>
        <v>0</v>
      </c>
      <c r="AF204" s="9">
        <f t="shared" si="98"/>
        <v>0</v>
      </c>
      <c r="AG204" s="9">
        <f t="shared" si="99"/>
        <v>0</v>
      </c>
      <c r="AH204" s="9">
        <f t="shared" si="100"/>
        <v>0</v>
      </c>
      <c r="AI204" s="11" t="s">
        <v>5</v>
      </c>
      <c r="AJ204" s="9">
        <f t="shared" si="101"/>
        <v>0</v>
      </c>
      <c r="AK204" s="9">
        <f t="shared" si="102"/>
        <v>0</v>
      </c>
      <c r="AL204" s="9">
        <f t="shared" si="103"/>
        <v>0</v>
      </c>
      <c r="AN204" s="9">
        <v>21</v>
      </c>
      <c r="AO204" s="9">
        <f t="shared" si="112"/>
        <v>0</v>
      </c>
      <c r="AP204" s="9">
        <f t="shared" si="113"/>
        <v>0</v>
      </c>
      <c r="AQ204" s="60" t="s">
        <v>1238</v>
      </c>
      <c r="AV204" s="9">
        <f t="shared" si="104"/>
        <v>0</v>
      </c>
      <c r="AW204" s="9">
        <f t="shared" si="105"/>
        <v>0</v>
      </c>
      <c r="AX204" s="9">
        <f t="shared" si="106"/>
        <v>0</v>
      </c>
      <c r="AY204" s="60" t="s">
        <v>780</v>
      </c>
      <c r="AZ204" s="60" t="s">
        <v>853</v>
      </c>
      <c r="BA204" s="11" t="s">
        <v>1092</v>
      </c>
      <c r="BC204" s="9">
        <f t="shared" si="107"/>
        <v>0</v>
      </c>
      <c r="BD204" s="9">
        <f t="shared" si="108"/>
        <v>0</v>
      </c>
      <c r="BE204" s="9">
        <v>0</v>
      </c>
      <c r="BF204" s="9">
        <f>204</f>
        <v>204</v>
      </c>
      <c r="BH204" s="9">
        <f t="shared" si="109"/>
        <v>0</v>
      </c>
      <c r="BI204" s="9">
        <f t="shared" si="110"/>
        <v>0</v>
      </c>
      <c r="BJ204" s="9">
        <f t="shared" si="111"/>
        <v>0</v>
      </c>
      <c r="BK204" s="9"/>
      <c r="BL204" s="9">
        <v>722</v>
      </c>
      <c r="BW204" s="9">
        <v>21</v>
      </c>
    </row>
    <row r="205" spans="1:75" ht="31.5" customHeight="1">
      <c r="A205" s="16" t="s">
        <v>85</v>
      </c>
      <c r="B205" s="32" t="s">
        <v>5</v>
      </c>
      <c r="C205" s="32" t="s">
        <v>468</v>
      </c>
      <c r="D205" s="145" t="s">
        <v>1437</v>
      </c>
      <c r="E205" s="146"/>
      <c r="F205" s="32" t="s">
        <v>861</v>
      </c>
      <c r="G205" s="9">
        <v>2</v>
      </c>
      <c r="H205" s="68">
        <v>0</v>
      </c>
      <c r="I205" s="9">
        <f t="shared" si="92"/>
        <v>0</v>
      </c>
      <c r="K205" s="23"/>
      <c r="Z205" s="9">
        <f t="shared" si="93"/>
        <v>0</v>
      </c>
      <c r="AB205" s="9">
        <f t="shared" si="94"/>
        <v>0</v>
      </c>
      <c r="AC205" s="9">
        <f t="shared" si="95"/>
        <v>0</v>
      </c>
      <c r="AD205" s="9">
        <f t="shared" si="96"/>
        <v>0</v>
      </c>
      <c r="AE205" s="9">
        <f t="shared" si="97"/>
        <v>0</v>
      </c>
      <c r="AF205" s="9">
        <f t="shared" si="98"/>
        <v>0</v>
      </c>
      <c r="AG205" s="9">
        <f t="shared" si="99"/>
        <v>0</v>
      </c>
      <c r="AH205" s="9">
        <f t="shared" si="100"/>
        <v>0</v>
      </c>
      <c r="AI205" s="11" t="s">
        <v>5</v>
      </c>
      <c r="AJ205" s="9">
        <f t="shared" si="101"/>
        <v>0</v>
      </c>
      <c r="AK205" s="9">
        <f t="shared" si="102"/>
        <v>0</v>
      </c>
      <c r="AL205" s="9">
        <f t="shared" si="103"/>
        <v>0</v>
      </c>
      <c r="AN205" s="9">
        <v>21</v>
      </c>
      <c r="AO205" s="9">
        <f t="shared" si="112"/>
        <v>0</v>
      </c>
      <c r="AP205" s="9">
        <f t="shared" si="113"/>
        <v>0</v>
      </c>
      <c r="AQ205" s="60" t="s">
        <v>1238</v>
      </c>
      <c r="AV205" s="9">
        <f t="shared" si="104"/>
        <v>0</v>
      </c>
      <c r="AW205" s="9">
        <f t="shared" si="105"/>
        <v>0</v>
      </c>
      <c r="AX205" s="9">
        <f t="shared" si="106"/>
        <v>0</v>
      </c>
      <c r="AY205" s="60" t="s">
        <v>780</v>
      </c>
      <c r="AZ205" s="60" t="s">
        <v>853</v>
      </c>
      <c r="BA205" s="11" t="s">
        <v>1092</v>
      </c>
      <c r="BC205" s="9">
        <f t="shared" si="107"/>
        <v>0</v>
      </c>
      <c r="BD205" s="9">
        <f t="shared" si="108"/>
        <v>0</v>
      </c>
      <c r="BE205" s="9">
        <v>0</v>
      </c>
      <c r="BF205" s="9">
        <f>205</f>
        <v>205</v>
      </c>
      <c r="BH205" s="9">
        <f t="shared" si="109"/>
        <v>0</v>
      </c>
      <c r="BI205" s="9">
        <f t="shared" si="110"/>
        <v>0</v>
      </c>
      <c r="BJ205" s="9">
        <f t="shared" si="111"/>
        <v>0</v>
      </c>
      <c r="BK205" s="9"/>
      <c r="BL205" s="9">
        <v>722</v>
      </c>
      <c r="BW205" s="9">
        <v>21</v>
      </c>
    </row>
    <row r="206" spans="1:75" ht="31.5" customHeight="1">
      <c r="A206" s="16" t="s">
        <v>1350</v>
      </c>
      <c r="B206" s="32" t="s">
        <v>5</v>
      </c>
      <c r="C206" s="32" t="s">
        <v>191</v>
      </c>
      <c r="D206" s="145" t="s">
        <v>1438</v>
      </c>
      <c r="E206" s="146"/>
      <c r="F206" s="32" t="s">
        <v>861</v>
      </c>
      <c r="G206" s="9">
        <v>9</v>
      </c>
      <c r="H206" s="68">
        <v>0</v>
      </c>
      <c r="I206" s="9">
        <f t="shared" si="92"/>
        <v>0</v>
      </c>
      <c r="K206" s="23"/>
      <c r="Z206" s="9">
        <f t="shared" si="93"/>
        <v>0</v>
      </c>
      <c r="AB206" s="9">
        <f t="shared" si="94"/>
        <v>0</v>
      </c>
      <c r="AC206" s="9">
        <f t="shared" si="95"/>
        <v>0</v>
      </c>
      <c r="AD206" s="9">
        <f t="shared" si="96"/>
        <v>0</v>
      </c>
      <c r="AE206" s="9">
        <f t="shared" si="97"/>
        <v>0</v>
      </c>
      <c r="AF206" s="9">
        <f t="shared" si="98"/>
        <v>0</v>
      </c>
      <c r="AG206" s="9">
        <f t="shared" si="99"/>
        <v>0</v>
      </c>
      <c r="AH206" s="9">
        <f t="shared" si="100"/>
        <v>0</v>
      </c>
      <c r="AI206" s="11" t="s">
        <v>5</v>
      </c>
      <c r="AJ206" s="9">
        <f t="shared" si="101"/>
        <v>0</v>
      </c>
      <c r="AK206" s="9">
        <f t="shared" si="102"/>
        <v>0</v>
      </c>
      <c r="AL206" s="9">
        <f t="shared" si="103"/>
        <v>0</v>
      </c>
      <c r="AN206" s="9">
        <v>21</v>
      </c>
      <c r="AO206" s="9">
        <f t="shared" si="112"/>
        <v>0</v>
      </c>
      <c r="AP206" s="9">
        <f t="shared" si="113"/>
        <v>0</v>
      </c>
      <c r="AQ206" s="60" t="s">
        <v>1238</v>
      </c>
      <c r="AV206" s="9">
        <f t="shared" si="104"/>
        <v>0</v>
      </c>
      <c r="AW206" s="9">
        <f t="shared" si="105"/>
        <v>0</v>
      </c>
      <c r="AX206" s="9">
        <f t="shared" si="106"/>
        <v>0</v>
      </c>
      <c r="AY206" s="60" t="s">
        <v>780</v>
      </c>
      <c r="AZ206" s="60" t="s">
        <v>853</v>
      </c>
      <c r="BA206" s="11" t="s">
        <v>1092</v>
      </c>
      <c r="BC206" s="9">
        <f t="shared" si="107"/>
        <v>0</v>
      </c>
      <c r="BD206" s="9">
        <f t="shared" si="108"/>
        <v>0</v>
      </c>
      <c r="BE206" s="9">
        <v>0</v>
      </c>
      <c r="BF206" s="9">
        <f>206</f>
        <v>206</v>
      </c>
      <c r="BH206" s="9">
        <f t="shared" si="109"/>
        <v>0</v>
      </c>
      <c r="BI206" s="9">
        <f t="shared" si="110"/>
        <v>0</v>
      </c>
      <c r="BJ206" s="9">
        <f t="shared" si="111"/>
        <v>0</v>
      </c>
      <c r="BK206" s="9"/>
      <c r="BL206" s="9">
        <v>722</v>
      </c>
      <c r="BW206" s="9">
        <v>21</v>
      </c>
    </row>
    <row r="207" spans="1:75" ht="13.5" customHeight="1">
      <c r="A207" s="16" t="s">
        <v>718</v>
      </c>
      <c r="B207" s="32" t="s">
        <v>5</v>
      </c>
      <c r="C207" s="32" t="s">
        <v>1104</v>
      </c>
      <c r="D207" s="69" t="s">
        <v>817</v>
      </c>
      <c r="E207" s="70"/>
      <c r="F207" s="32" t="s">
        <v>798</v>
      </c>
      <c r="G207" s="9">
        <v>40</v>
      </c>
      <c r="H207" s="68">
        <v>0</v>
      </c>
      <c r="I207" s="9">
        <f t="shared" si="92"/>
        <v>0</v>
      </c>
      <c r="K207" s="23"/>
      <c r="Z207" s="9">
        <f t="shared" si="93"/>
        <v>0</v>
      </c>
      <c r="AB207" s="9">
        <f t="shared" si="94"/>
        <v>0</v>
      </c>
      <c r="AC207" s="9">
        <f t="shared" si="95"/>
        <v>0</v>
      </c>
      <c r="AD207" s="9">
        <f t="shared" si="96"/>
        <v>0</v>
      </c>
      <c r="AE207" s="9">
        <f t="shared" si="97"/>
        <v>0</v>
      </c>
      <c r="AF207" s="9">
        <f t="shared" si="98"/>
        <v>0</v>
      </c>
      <c r="AG207" s="9">
        <f t="shared" si="99"/>
        <v>0</v>
      </c>
      <c r="AH207" s="9">
        <f t="shared" si="100"/>
        <v>0</v>
      </c>
      <c r="AI207" s="11" t="s">
        <v>5</v>
      </c>
      <c r="AJ207" s="9">
        <f t="shared" si="101"/>
        <v>0</v>
      </c>
      <c r="AK207" s="9">
        <f t="shared" si="102"/>
        <v>0</v>
      </c>
      <c r="AL207" s="9">
        <f t="shared" si="103"/>
        <v>0</v>
      </c>
      <c r="AN207" s="9">
        <v>21</v>
      </c>
      <c r="AO207" s="9">
        <f t="shared" si="112"/>
        <v>0</v>
      </c>
      <c r="AP207" s="9">
        <f t="shared" si="113"/>
        <v>0</v>
      </c>
      <c r="AQ207" s="60" t="s">
        <v>1238</v>
      </c>
      <c r="AV207" s="9">
        <f t="shared" si="104"/>
        <v>0</v>
      </c>
      <c r="AW207" s="9">
        <f t="shared" si="105"/>
        <v>0</v>
      </c>
      <c r="AX207" s="9">
        <f t="shared" si="106"/>
        <v>0</v>
      </c>
      <c r="AY207" s="60" t="s">
        <v>780</v>
      </c>
      <c r="AZ207" s="60" t="s">
        <v>853</v>
      </c>
      <c r="BA207" s="11" t="s">
        <v>1092</v>
      </c>
      <c r="BC207" s="9">
        <f t="shared" si="107"/>
        <v>0</v>
      </c>
      <c r="BD207" s="9">
        <f t="shared" si="108"/>
        <v>0</v>
      </c>
      <c r="BE207" s="9">
        <v>0</v>
      </c>
      <c r="BF207" s="9">
        <f>207</f>
        <v>207</v>
      </c>
      <c r="BH207" s="9">
        <f t="shared" si="109"/>
        <v>0</v>
      </c>
      <c r="BI207" s="9">
        <f t="shared" si="110"/>
        <v>0</v>
      </c>
      <c r="BJ207" s="9">
        <f t="shared" si="111"/>
        <v>0</v>
      </c>
      <c r="BK207" s="9"/>
      <c r="BL207" s="9">
        <v>722</v>
      </c>
      <c r="BW207" s="9">
        <v>21</v>
      </c>
    </row>
    <row r="208" spans="1:75" ht="13.5" customHeight="1">
      <c r="A208" s="16" t="s">
        <v>537</v>
      </c>
      <c r="B208" s="32" t="s">
        <v>5</v>
      </c>
      <c r="C208" s="32" t="s">
        <v>127</v>
      </c>
      <c r="D208" s="69" t="s">
        <v>774</v>
      </c>
      <c r="E208" s="70"/>
      <c r="F208" s="32" t="s">
        <v>861</v>
      </c>
      <c r="G208" s="9">
        <v>1</v>
      </c>
      <c r="H208" s="68">
        <v>0</v>
      </c>
      <c r="I208" s="9">
        <f t="shared" si="92"/>
        <v>0</v>
      </c>
      <c r="K208" s="23"/>
      <c r="Z208" s="9">
        <f t="shared" si="93"/>
        <v>0</v>
      </c>
      <c r="AB208" s="9">
        <f t="shared" si="94"/>
        <v>0</v>
      </c>
      <c r="AC208" s="9">
        <f t="shared" si="95"/>
        <v>0</v>
      </c>
      <c r="AD208" s="9">
        <f t="shared" si="96"/>
        <v>0</v>
      </c>
      <c r="AE208" s="9">
        <f t="shared" si="97"/>
        <v>0</v>
      </c>
      <c r="AF208" s="9">
        <f t="shared" si="98"/>
        <v>0</v>
      </c>
      <c r="AG208" s="9">
        <f t="shared" si="99"/>
        <v>0</v>
      </c>
      <c r="AH208" s="9">
        <f t="shared" si="100"/>
        <v>0</v>
      </c>
      <c r="AI208" s="11" t="s">
        <v>5</v>
      </c>
      <c r="AJ208" s="9">
        <f t="shared" si="101"/>
        <v>0</v>
      </c>
      <c r="AK208" s="9">
        <f t="shared" si="102"/>
        <v>0</v>
      </c>
      <c r="AL208" s="9">
        <f t="shared" si="103"/>
        <v>0</v>
      </c>
      <c r="AN208" s="9">
        <v>21</v>
      </c>
      <c r="AO208" s="9">
        <f t="shared" si="112"/>
        <v>0</v>
      </c>
      <c r="AP208" s="9">
        <f t="shared" si="113"/>
        <v>0</v>
      </c>
      <c r="AQ208" s="60" t="s">
        <v>1238</v>
      </c>
      <c r="AV208" s="9">
        <f t="shared" si="104"/>
        <v>0</v>
      </c>
      <c r="AW208" s="9">
        <f t="shared" si="105"/>
        <v>0</v>
      </c>
      <c r="AX208" s="9">
        <f t="shared" si="106"/>
        <v>0</v>
      </c>
      <c r="AY208" s="60" t="s">
        <v>780</v>
      </c>
      <c r="AZ208" s="60" t="s">
        <v>853</v>
      </c>
      <c r="BA208" s="11" t="s">
        <v>1092</v>
      </c>
      <c r="BC208" s="9">
        <f t="shared" si="107"/>
        <v>0</v>
      </c>
      <c r="BD208" s="9">
        <f t="shared" si="108"/>
        <v>0</v>
      </c>
      <c r="BE208" s="9">
        <v>0</v>
      </c>
      <c r="BF208" s="9">
        <f>208</f>
        <v>208</v>
      </c>
      <c r="BH208" s="9">
        <f t="shared" si="109"/>
        <v>0</v>
      </c>
      <c r="BI208" s="9">
        <f t="shared" si="110"/>
        <v>0</v>
      </c>
      <c r="BJ208" s="9">
        <f t="shared" si="111"/>
        <v>0</v>
      </c>
      <c r="BK208" s="9"/>
      <c r="BL208" s="9">
        <v>722</v>
      </c>
      <c r="BW208" s="9">
        <v>21</v>
      </c>
    </row>
    <row r="209" spans="1:75" ht="13.5" customHeight="1">
      <c r="A209" s="16" t="s">
        <v>368</v>
      </c>
      <c r="B209" s="32" t="s">
        <v>5</v>
      </c>
      <c r="C209" s="32" t="s">
        <v>1320</v>
      </c>
      <c r="D209" s="69" t="s">
        <v>790</v>
      </c>
      <c r="E209" s="70"/>
      <c r="F209" s="32" t="s">
        <v>861</v>
      </c>
      <c r="G209" s="9">
        <v>1</v>
      </c>
      <c r="H209" s="68">
        <v>0</v>
      </c>
      <c r="I209" s="9">
        <f t="shared" si="92"/>
        <v>0</v>
      </c>
      <c r="K209" s="23"/>
      <c r="Z209" s="9">
        <f t="shared" si="93"/>
        <v>0</v>
      </c>
      <c r="AB209" s="9">
        <f t="shared" si="94"/>
        <v>0</v>
      </c>
      <c r="AC209" s="9">
        <f t="shared" si="95"/>
        <v>0</v>
      </c>
      <c r="AD209" s="9">
        <f t="shared" si="96"/>
        <v>0</v>
      </c>
      <c r="AE209" s="9">
        <f t="shared" si="97"/>
        <v>0</v>
      </c>
      <c r="AF209" s="9">
        <f t="shared" si="98"/>
        <v>0</v>
      </c>
      <c r="AG209" s="9">
        <f t="shared" si="99"/>
        <v>0</v>
      </c>
      <c r="AH209" s="9">
        <f t="shared" si="100"/>
        <v>0</v>
      </c>
      <c r="AI209" s="11" t="s">
        <v>5</v>
      </c>
      <c r="AJ209" s="9">
        <f t="shared" si="101"/>
        <v>0</v>
      </c>
      <c r="AK209" s="9">
        <f t="shared" si="102"/>
        <v>0</v>
      </c>
      <c r="AL209" s="9">
        <f t="shared" si="103"/>
        <v>0</v>
      </c>
      <c r="AN209" s="9">
        <v>21</v>
      </c>
      <c r="AO209" s="9">
        <f t="shared" si="112"/>
        <v>0</v>
      </c>
      <c r="AP209" s="9">
        <f t="shared" si="113"/>
        <v>0</v>
      </c>
      <c r="AQ209" s="60" t="s">
        <v>1238</v>
      </c>
      <c r="AV209" s="9">
        <f t="shared" si="104"/>
        <v>0</v>
      </c>
      <c r="AW209" s="9">
        <f t="shared" si="105"/>
        <v>0</v>
      </c>
      <c r="AX209" s="9">
        <f t="shared" si="106"/>
        <v>0</v>
      </c>
      <c r="AY209" s="60" t="s">
        <v>780</v>
      </c>
      <c r="AZ209" s="60" t="s">
        <v>853</v>
      </c>
      <c r="BA209" s="11" t="s">
        <v>1092</v>
      </c>
      <c r="BC209" s="9">
        <f t="shared" si="107"/>
        <v>0</v>
      </c>
      <c r="BD209" s="9">
        <f t="shared" si="108"/>
        <v>0</v>
      </c>
      <c r="BE209" s="9">
        <v>0</v>
      </c>
      <c r="BF209" s="9">
        <f>209</f>
        <v>209</v>
      </c>
      <c r="BH209" s="9">
        <f t="shared" si="109"/>
        <v>0</v>
      </c>
      <c r="BI209" s="9">
        <f t="shared" si="110"/>
        <v>0</v>
      </c>
      <c r="BJ209" s="9">
        <f t="shared" si="111"/>
        <v>0</v>
      </c>
      <c r="BK209" s="9"/>
      <c r="BL209" s="9">
        <v>722</v>
      </c>
      <c r="BW209" s="9">
        <v>21</v>
      </c>
    </row>
    <row r="210" spans="1:75" ht="13.5" customHeight="1">
      <c r="A210" s="16" t="s">
        <v>858</v>
      </c>
      <c r="B210" s="32" t="s">
        <v>5</v>
      </c>
      <c r="C210" s="32" t="s">
        <v>1177</v>
      </c>
      <c r="D210" s="69" t="s">
        <v>631</v>
      </c>
      <c r="E210" s="70"/>
      <c r="F210" s="32" t="s">
        <v>861</v>
      </c>
      <c r="G210" s="9">
        <v>2</v>
      </c>
      <c r="H210" s="68">
        <v>0</v>
      </c>
      <c r="I210" s="9">
        <f t="shared" si="92"/>
        <v>0</v>
      </c>
      <c r="K210" s="23"/>
      <c r="Z210" s="9">
        <f t="shared" si="93"/>
        <v>0</v>
      </c>
      <c r="AB210" s="9">
        <f t="shared" si="94"/>
        <v>0</v>
      </c>
      <c r="AC210" s="9">
        <f t="shared" si="95"/>
        <v>0</v>
      </c>
      <c r="AD210" s="9">
        <f t="shared" si="96"/>
        <v>0</v>
      </c>
      <c r="AE210" s="9">
        <f t="shared" si="97"/>
        <v>0</v>
      </c>
      <c r="AF210" s="9">
        <f t="shared" si="98"/>
        <v>0</v>
      </c>
      <c r="AG210" s="9">
        <f t="shared" si="99"/>
        <v>0</v>
      </c>
      <c r="AH210" s="9">
        <f t="shared" si="100"/>
        <v>0</v>
      </c>
      <c r="AI210" s="11" t="s">
        <v>5</v>
      </c>
      <c r="AJ210" s="9">
        <f t="shared" si="101"/>
        <v>0</v>
      </c>
      <c r="AK210" s="9">
        <f t="shared" si="102"/>
        <v>0</v>
      </c>
      <c r="AL210" s="9">
        <f t="shared" si="103"/>
        <v>0</v>
      </c>
      <c r="AN210" s="9">
        <v>21</v>
      </c>
      <c r="AO210" s="9">
        <f t="shared" si="112"/>
        <v>0</v>
      </c>
      <c r="AP210" s="9">
        <f t="shared" si="113"/>
        <v>0</v>
      </c>
      <c r="AQ210" s="60" t="s">
        <v>1238</v>
      </c>
      <c r="AV210" s="9">
        <f t="shared" si="104"/>
        <v>0</v>
      </c>
      <c r="AW210" s="9">
        <f t="shared" si="105"/>
        <v>0</v>
      </c>
      <c r="AX210" s="9">
        <f t="shared" si="106"/>
        <v>0</v>
      </c>
      <c r="AY210" s="60" t="s">
        <v>780</v>
      </c>
      <c r="AZ210" s="60" t="s">
        <v>853</v>
      </c>
      <c r="BA210" s="11" t="s">
        <v>1092</v>
      </c>
      <c r="BC210" s="9">
        <f t="shared" si="107"/>
        <v>0</v>
      </c>
      <c r="BD210" s="9">
        <f t="shared" si="108"/>
        <v>0</v>
      </c>
      <c r="BE210" s="9">
        <v>0</v>
      </c>
      <c r="BF210" s="9">
        <f>210</f>
        <v>210</v>
      </c>
      <c r="BH210" s="9">
        <f t="shared" si="109"/>
        <v>0</v>
      </c>
      <c r="BI210" s="9">
        <f t="shared" si="110"/>
        <v>0</v>
      </c>
      <c r="BJ210" s="9">
        <f t="shared" si="111"/>
        <v>0</v>
      </c>
      <c r="BK210" s="9"/>
      <c r="BL210" s="9">
        <v>722</v>
      </c>
      <c r="BW210" s="9">
        <v>21</v>
      </c>
    </row>
    <row r="211" spans="1:75" ht="13.5" customHeight="1">
      <c r="A211" s="16" t="s">
        <v>1148</v>
      </c>
      <c r="B211" s="32" t="s">
        <v>5</v>
      </c>
      <c r="C211" s="32" t="s">
        <v>873</v>
      </c>
      <c r="D211" s="69" t="s">
        <v>920</v>
      </c>
      <c r="E211" s="70"/>
      <c r="F211" s="32" t="s">
        <v>1026</v>
      </c>
      <c r="G211" s="9">
        <v>264.5</v>
      </c>
      <c r="H211" s="68">
        <v>0</v>
      </c>
      <c r="I211" s="9">
        <f t="shared" si="92"/>
        <v>0</v>
      </c>
      <c r="K211" s="23"/>
      <c r="Z211" s="9">
        <f t="shared" si="93"/>
        <v>0</v>
      </c>
      <c r="AB211" s="9">
        <f t="shared" si="94"/>
        <v>0</v>
      </c>
      <c r="AC211" s="9">
        <f t="shared" si="95"/>
        <v>0</v>
      </c>
      <c r="AD211" s="9">
        <f t="shared" si="96"/>
        <v>0</v>
      </c>
      <c r="AE211" s="9">
        <f t="shared" si="97"/>
        <v>0</v>
      </c>
      <c r="AF211" s="9">
        <f t="shared" si="98"/>
        <v>0</v>
      </c>
      <c r="AG211" s="9">
        <f t="shared" si="99"/>
        <v>0</v>
      </c>
      <c r="AH211" s="9">
        <f t="shared" si="100"/>
        <v>0</v>
      </c>
      <c r="AI211" s="11" t="s">
        <v>5</v>
      </c>
      <c r="AJ211" s="9">
        <f t="shared" si="101"/>
        <v>0</v>
      </c>
      <c r="AK211" s="9">
        <f t="shared" si="102"/>
        <v>0</v>
      </c>
      <c r="AL211" s="9">
        <f t="shared" si="103"/>
        <v>0</v>
      </c>
      <c r="AN211" s="9">
        <v>21</v>
      </c>
      <c r="AO211" s="9">
        <f t="shared" si="112"/>
        <v>0</v>
      </c>
      <c r="AP211" s="9">
        <f t="shared" si="113"/>
        <v>0</v>
      </c>
      <c r="AQ211" s="60" t="s">
        <v>1238</v>
      </c>
      <c r="AV211" s="9">
        <f t="shared" si="104"/>
        <v>0</v>
      </c>
      <c r="AW211" s="9">
        <f t="shared" si="105"/>
        <v>0</v>
      </c>
      <c r="AX211" s="9">
        <f t="shared" si="106"/>
        <v>0</v>
      </c>
      <c r="AY211" s="60" t="s">
        <v>780</v>
      </c>
      <c r="AZ211" s="60" t="s">
        <v>853</v>
      </c>
      <c r="BA211" s="11" t="s">
        <v>1092</v>
      </c>
      <c r="BC211" s="9">
        <f t="shared" si="107"/>
        <v>0</v>
      </c>
      <c r="BD211" s="9">
        <f t="shared" si="108"/>
        <v>0</v>
      </c>
      <c r="BE211" s="9">
        <v>0</v>
      </c>
      <c r="BF211" s="9">
        <f>211</f>
        <v>211</v>
      </c>
      <c r="BH211" s="9">
        <f t="shared" si="109"/>
        <v>0</v>
      </c>
      <c r="BI211" s="9">
        <f t="shared" si="110"/>
        <v>0</v>
      </c>
      <c r="BJ211" s="9">
        <f t="shared" si="111"/>
        <v>0</v>
      </c>
      <c r="BK211" s="9"/>
      <c r="BL211" s="9">
        <v>722</v>
      </c>
      <c r="BW211" s="9">
        <v>21</v>
      </c>
    </row>
    <row r="212" spans="1:75" ht="13.5" customHeight="1">
      <c r="A212" s="16" t="s">
        <v>305</v>
      </c>
      <c r="B212" s="32" t="s">
        <v>5</v>
      </c>
      <c r="C212" s="32" t="s">
        <v>534</v>
      </c>
      <c r="D212" s="69" t="s">
        <v>741</v>
      </c>
      <c r="E212" s="70"/>
      <c r="F212" s="32" t="s">
        <v>1026</v>
      </c>
      <c r="G212" s="9">
        <v>264.5</v>
      </c>
      <c r="H212" s="68">
        <v>0</v>
      </c>
      <c r="I212" s="9">
        <f t="shared" si="92"/>
        <v>0</v>
      </c>
      <c r="K212" s="23"/>
      <c r="Z212" s="9">
        <f t="shared" si="93"/>
        <v>0</v>
      </c>
      <c r="AB212" s="9">
        <f t="shared" si="94"/>
        <v>0</v>
      </c>
      <c r="AC212" s="9">
        <f t="shared" si="95"/>
        <v>0</v>
      </c>
      <c r="AD212" s="9">
        <f t="shared" si="96"/>
        <v>0</v>
      </c>
      <c r="AE212" s="9">
        <f t="shared" si="97"/>
        <v>0</v>
      </c>
      <c r="AF212" s="9">
        <f t="shared" si="98"/>
        <v>0</v>
      </c>
      <c r="AG212" s="9">
        <f t="shared" si="99"/>
        <v>0</v>
      </c>
      <c r="AH212" s="9">
        <f t="shared" si="100"/>
        <v>0</v>
      </c>
      <c r="AI212" s="11" t="s">
        <v>5</v>
      </c>
      <c r="AJ212" s="9">
        <f t="shared" si="101"/>
        <v>0</v>
      </c>
      <c r="AK212" s="9">
        <f t="shared" si="102"/>
        <v>0</v>
      </c>
      <c r="AL212" s="9">
        <f t="shared" si="103"/>
        <v>0</v>
      </c>
      <c r="AN212" s="9">
        <v>21</v>
      </c>
      <c r="AO212" s="9">
        <f t="shared" si="112"/>
        <v>0</v>
      </c>
      <c r="AP212" s="9">
        <f t="shared" si="113"/>
        <v>0</v>
      </c>
      <c r="AQ212" s="60" t="s">
        <v>1238</v>
      </c>
      <c r="AV212" s="9">
        <f t="shared" si="104"/>
        <v>0</v>
      </c>
      <c r="AW212" s="9">
        <f t="shared" si="105"/>
        <v>0</v>
      </c>
      <c r="AX212" s="9">
        <f t="shared" si="106"/>
        <v>0</v>
      </c>
      <c r="AY212" s="60" t="s">
        <v>780</v>
      </c>
      <c r="AZ212" s="60" t="s">
        <v>853</v>
      </c>
      <c r="BA212" s="11" t="s">
        <v>1092</v>
      </c>
      <c r="BC212" s="9">
        <f t="shared" si="107"/>
        <v>0</v>
      </c>
      <c r="BD212" s="9">
        <f t="shared" si="108"/>
        <v>0</v>
      </c>
      <c r="BE212" s="9">
        <v>0</v>
      </c>
      <c r="BF212" s="9">
        <f>212</f>
        <v>212</v>
      </c>
      <c r="BH212" s="9">
        <f t="shared" si="109"/>
        <v>0</v>
      </c>
      <c r="BI212" s="9">
        <f t="shared" si="110"/>
        <v>0</v>
      </c>
      <c r="BJ212" s="9">
        <f t="shared" si="111"/>
        <v>0</v>
      </c>
      <c r="BK212" s="9"/>
      <c r="BL212" s="9">
        <v>722</v>
      </c>
      <c r="BW212" s="9">
        <v>21</v>
      </c>
    </row>
    <row r="213" spans="1:75" ht="13.5" customHeight="1">
      <c r="A213" s="16" t="s">
        <v>1324</v>
      </c>
      <c r="B213" s="32" t="s">
        <v>5</v>
      </c>
      <c r="C213" s="32" t="s">
        <v>492</v>
      </c>
      <c r="D213" s="69" t="s">
        <v>1070</v>
      </c>
      <c r="E213" s="70"/>
      <c r="F213" s="32" t="s">
        <v>1026</v>
      </c>
      <c r="G213" s="9">
        <v>264.5</v>
      </c>
      <c r="H213" s="68">
        <v>0</v>
      </c>
      <c r="I213" s="9">
        <f t="shared" si="92"/>
        <v>0</v>
      </c>
      <c r="K213" s="23"/>
      <c r="Z213" s="9">
        <f t="shared" si="93"/>
        <v>0</v>
      </c>
      <c r="AB213" s="9">
        <f t="shared" si="94"/>
        <v>0</v>
      </c>
      <c r="AC213" s="9">
        <f t="shared" si="95"/>
        <v>0</v>
      </c>
      <c r="AD213" s="9">
        <f t="shared" si="96"/>
        <v>0</v>
      </c>
      <c r="AE213" s="9">
        <f t="shared" si="97"/>
        <v>0</v>
      </c>
      <c r="AF213" s="9">
        <f t="shared" si="98"/>
        <v>0</v>
      </c>
      <c r="AG213" s="9">
        <f t="shared" si="99"/>
        <v>0</v>
      </c>
      <c r="AH213" s="9">
        <f t="shared" si="100"/>
        <v>0</v>
      </c>
      <c r="AI213" s="11" t="s">
        <v>5</v>
      </c>
      <c r="AJ213" s="9">
        <f t="shared" si="101"/>
        <v>0</v>
      </c>
      <c r="AK213" s="9">
        <f t="shared" si="102"/>
        <v>0</v>
      </c>
      <c r="AL213" s="9">
        <f t="shared" si="103"/>
        <v>0</v>
      </c>
      <c r="AN213" s="9">
        <v>21</v>
      </c>
      <c r="AO213" s="9">
        <f t="shared" si="112"/>
        <v>0</v>
      </c>
      <c r="AP213" s="9">
        <f t="shared" si="113"/>
        <v>0</v>
      </c>
      <c r="AQ213" s="60" t="s">
        <v>1238</v>
      </c>
      <c r="AV213" s="9">
        <f t="shared" si="104"/>
        <v>0</v>
      </c>
      <c r="AW213" s="9">
        <f t="shared" si="105"/>
        <v>0</v>
      </c>
      <c r="AX213" s="9">
        <f t="shared" si="106"/>
        <v>0</v>
      </c>
      <c r="AY213" s="60" t="s">
        <v>780</v>
      </c>
      <c r="AZ213" s="60" t="s">
        <v>853</v>
      </c>
      <c r="BA213" s="11" t="s">
        <v>1092</v>
      </c>
      <c r="BC213" s="9">
        <f t="shared" si="107"/>
        <v>0</v>
      </c>
      <c r="BD213" s="9">
        <f t="shared" si="108"/>
        <v>0</v>
      </c>
      <c r="BE213" s="9">
        <v>0</v>
      </c>
      <c r="BF213" s="9">
        <f>213</f>
        <v>213</v>
      </c>
      <c r="BH213" s="9">
        <f t="shared" si="109"/>
        <v>0</v>
      </c>
      <c r="BI213" s="9">
        <f t="shared" si="110"/>
        <v>0</v>
      </c>
      <c r="BJ213" s="9">
        <f t="shared" si="111"/>
        <v>0</v>
      </c>
      <c r="BK213" s="9"/>
      <c r="BL213" s="9">
        <v>722</v>
      </c>
      <c r="BW213" s="9">
        <v>21</v>
      </c>
    </row>
    <row r="214" spans="1:75" ht="13.5" customHeight="1">
      <c r="A214" s="16" t="s">
        <v>533</v>
      </c>
      <c r="B214" s="32" t="s">
        <v>5</v>
      </c>
      <c r="C214" s="32" t="s">
        <v>1135</v>
      </c>
      <c r="D214" s="69" t="s">
        <v>705</v>
      </c>
      <c r="E214" s="70"/>
      <c r="F214" s="32" t="s">
        <v>798</v>
      </c>
      <c r="G214" s="9">
        <v>25</v>
      </c>
      <c r="H214" s="68">
        <v>0</v>
      </c>
      <c r="I214" s="9">
        <f t="shared" si="92"/>
        <v>0</v>
      </c>
      <c r="K214" s="23"/>
      <c r="Z214" s="9">
        <f t="shared" si="93"/>
        <v>0</v>
      </c>
      <c r="AB214" s="9">
        <f t="shared" si="94"/>
        <v>0</v>
      </c>
      <c r="AC214" s="9">
        <f t="shared" si="95"/>
        <v>0</v>
      </c>
      <c r="AD214" s="9">
        <f t="shared" si="96"/>
        <v>0</v>
      </c>
      <c r="AE214" s="9">
        <f t="shared" si="97"/>
        <v>0</v>
      </c>
      <c r="AF214" s="9">
        <f t="shared" si="98"/>
        <v>0</v>
      </c>
      <c r="AG214" s="9">
        <f t="shared" si="99"/>
        <v>0</v>
      </c>
      <c r="AH214" s="9">
        <f t="shared" si="100"/>
        <v>0</v>
      </c>
      <c r="AI214" s="11" t="s">
        <v>5</v>
      </c>
      <c r="AJ214" s="9">
        <f t="shared" si="101"/>
        <v>0</v>
      </c>
      <c r="AK214" s="9">
        <f t="shared" si="102"/>
        <v>0</v>
      </c>
      <c r="AL214" s="9">
        <f t="shared" si="103"/>
        <v>0</v>
      </c>
      <c r="AN214" s="9">
        <v>21</v>
      </c>
      <c r="AO214" s="9">
        <f t="shared" si="112"/>
        <v>0</v>
      </c>
      <c r="AP214" s="9">
        <f t="shared" si="113"/>
        <v>0</v>
      </c>
      <c r="AQ214" s="60" t="s">
        <v>1238</v>
      </c>
      <c r="AV214" s="9">
        <f t="shared" si="104"/>
        <v>0</v>
      </c>
      <c r="AW214" s="9">
        <f t="shared" si="105"/>
        <v>0</v>
      </c>
      <c r="AX214" s="9">
        <f t="shared" si="106"/>
        <v>0</v>
      </c>
      <c r="AY214" s="60" t="s">
        <v>780</v>
      </c>
      <c r="AZ214" s="60" t="s">
        <v>853</v>
      </c>
      <c r="BA214" s="11" t="s">
        <v>1092</v>
      </c>
      <c r="BC214" s="9">
        <f t="shared" si="107"/>
        <v>0</v>
      </c>
      <c r="BD214" s="9">
        <f t="shared" si="108"/>
        <v>0</v>
      </c>
      <c r="BE214" s="9">
        <v>0</v>
      </c>
      <c r="BF214" s="9">
        <f>214</f>
        <v>214</v>
      </c>
      <c r="BH214" s="9">
        <f t="shared" si="109"/>
        <v>0</v>
      </c>
      <c r="BI214" s="9">
        <f t="shared" si="110"/>
        <v>0</v>
      </c>
      <c r="BJ214" s="9">
        <f t="shared" si="111"/>
        <v>0</v>
      </c>
      <c r="BK214" s="9"/>
      <c r="BL214" s="9">
        <v>722</v>
      </c>
      <c r="BW214" s="9">
        <v>21</v>
      </c>
    </row>
    <row r="215" spans="1:75" ht="13.5" customHeight="1">
      <c r="A215" s="16" t="s">
        <v>1132</v>
      </c>
      <c r="B215" s="32" t="s">
        <v>5</v>
      </c>
      <c r="C215" s="32" t="s">
        <v>1406</v>
      </c>
      <c r="D215" s="69" t="s">
        <v>495</v>
      </c>
      <c r="E215" s="70"/>
      <c r="F215" s="32" t="s">
        <v>861</v>
      </c>
      <c r="G215" s="9">
        <v>1</v>
      </c>
      <c r="H215" s="68">
        <v>0</v>
      </c>
      <c r="I215" s="9">
        <f t="shared" si="92"/>
        <v>0</v>
      </c>
      <c r="K215" s="23"/>
      <c r="Z215" s="9">
        <f t="shared" si="93"/>
        <v>0</v>
      </c>
      <c r="AB215" s="9">
        <f t="shared" si="94"/>
        <v>0</v>
      </c>
      <c r="AC215" s="9">
        <f t="shared" si="95"/>
        <v>0</v>
      </c>
      <c r="AD215" s="9">
        <f t="shared" si="96"/>
        <v>0</v>
      </c>
      <c r="AE215" s="9">
        <f t="shared" si="97"/>
        <v>0</v>
      </c>
      <c r="AF215" s="9">
        <f t="shared" si="98"/>
        <v>0</v>
      </c>
      <c r="AG215" s="9">
        <f t="shared" si="99"/>
        <v>0</v>
      </c>
      <c r="AH215" s="9">
        <f t="shared" si="100"/>
        <v>0</v>
      </c>
      <c r="AI215" s="11" t="s">
        <v>5</v>
      </c>
      <c r="AJ215" s="9">
        <f t="shared" si="101"/>
        <v>0</v>
      </c>
      <c r="AK215" s="9">
        <f t="shared" si="102"/>
        <v>0</v>
      </c>
      <c r="AL215" s="9">
        <f t="shared" si="103"/>
        <v>0</v>
      </c>
      <c r="AN215" s="9">
        <v>21</v>
      </c>
      <c r="AO215" s="9">
        <f t="shared" si="112"/>
        <v>0</v>
      </c>
      <c r="AP215" s="9">
        <f t="shared" si="113"/>
        <v>0</v>
      </c>
      <c r="AQ215" s="60" t="s">
        <v>1238</v>
      </c>
      <c r="AV215" s="9">
        <f t="shared" si="104"/>
        <v>0</v>
      </c>
      <c r="AW215" s="9">
        <f t="shared" si="105"/>
        <v>0</v>
      </c>
      <c r="AX215" s="9">
        <f t="shared" si="106"/>
        <v>0</v>
      </c>
      <c r="AY215" s="60" t="s">
        <v>780</v>
      </c>
      <c r="AZ215" s="60" t="s">
        <v>853</v>
      </c>
      <c r="BA215" s="11" t="s">
        <v>1092</v>
      </c>
      <c r="BC215" s="9">
        <f t="shared" si="107"/>
        <v>0</v>
      </c>
      <c r="BD215" s="9">
        <f t="shared" si="108"/>
        <v>0</v>
      </c>
      <c r="BE215" s="9">
        <v>0</v>
      </c>
      <c r="BF215" s="9">
        <f>215</f>
        <v>215</v>
      </c>
      <c r="BH215" s="9">
        <f t="shared" si="109"/>
        <v>0</v>
      </c>
      <c r="BI215" s="9">
        <f t="shared" si="110"/>
        <v>0</v>
      </c>
      <c r="BJ215" s="9">
        <f t="shared" si="111"/>
        <v>0</v>
      </c>
      <c r="BK215" s="9"/>
      <c r="BL215" s="9">
        <v>722</v>
      </c>
      <c r="BW215" s="9">
        <v>21</v>
      </c>
    </row>
    <row r="216" spans="1:75" ht="13.5" customHeight="1">
      <c r="A216" s="16" t="s">
        <v>902</v>
      </c>
      <c r="B216" s="32" t="s">
        <v>5</v>
      </c>
      <c r="C216" s="32" t="s">
        <v>906</v>
      </c>
      <c r="D216" s="69" t="s">
        <v>1250</v>
      </c>
      <c r="E216" s="70"/>
      <c r="F216" s="32" t="s">
        <v>861</v>
      </c>
      <c r="G216" s="9">
        <v>1</v>
      </c>
      <c r="H216" s="68">
        <v>0</v>
      </c>
      <c r="I216" s="9">
        <f t="shared" si="92"/>
        <v>0</v>
      </c>
      <c r="K216" s="23"/>
      <c r="Z216" s="9">
        <f t="shared" si="93"/>
        <v>0</v>
      </c>
      <c r="AB216" s="9">
        <f t="shared" si="94"/>
        <v>0</v>
      </c>
      <c r="AC216" s="9">
        <f t="shared" si="95"/>
        <v>0</v>
      </c>
      <c r="AD216" s="9">
        <f t="shared" si="96"/>
        <v>0</v>
      </c>
      <c r="AE216" s="9">
        <f t="shared" si="97"/>
        <v>0</v>
      </c>
      <c r="AF216" s="9">
        <f t="shared" si="98"/>
        <v>0</v>
      </c>
      <c r="AG216" s="9">
        <f t="shared" si="99"/>
        <v>0</v>
      </c>
      <c r="AH216" s="9">
        <f t="shared" si="100"/>
        <v>0</v>
      </c>
      <c r="AI216" s="11" t="s">
        <v>5</v>
      </c>
      <c r="AJ216" s="9">
        <f t="shared" si="101"/>
        <v>0</v>
      </c>
      <c r="AK216" s="9">
        <f t="shared" si="102"/>
        <v>0</v>
      </c>
      <c r="AL216" s="9">
        <f t="shared" si="103"/>
        <v>0</v>
      </c>
      <c r="AN216" s="9">
        <v>21</v>
      </c>
      <c r="AO216" s="9">
        <f t="shared" si="112"/>
        <v>0</v>
      </c>
      <c r="AP216" s="9">
        <f t="shared" si="113"/>
        <v>0</v>
      </c>
      <c r="AQ216" s="60" t="s">
        <v>1238</v>
      </c>
      <c r="AV216" s="9">
        <f t="shared" si="104"/>
        <v>0</v>
      </c>
      <c r="AW216" s="9">
        <f t="shared" si="105"/>
        <v>0</v>
      </c>
      <c r="AX216" s="9">
        <f t="shared" si="106"/>
        <v>0</v>
      </c>
      <c r="AY216" s="60" t="s">
        <v>780</v>
      </c>
      <c r="AZ216" s="60" t="s">
        <v>853</v>
      </c>
      <c r="BA216" s="11" t="s">
        <v>1092</v>
      </c>
      <c r="BC216" s="9">
        <f t="shared" si="107"/>
        <v>0</v>
      </c>
      <c r="BD216" s="9">
        <f t="shared" si="108"/>
        <v>0</v>
      </c>
      <c r="BE216" s="9">
        <v>0</v>
      </c>
      <c r="BF216" s="9">
        <f>216</f>
        <v>216</v>
      </c>
      <c r="BH216" s="9">
        <f t="shared" si="109"/>
        <v>0</v>
      </c>
      <c r="BI216" s="9">
        <f t="shared" si="110"/>
        <v>0</v>
      </c>
      <c r="BJ216" s="9">
        <f t="shared" si="111"/>
        <v>0</v>
      </c>
      <c r="BK216" s="9"/>
      <c r="BL216" s="9">
        <v>722</v>
      </c>
      <c r="BW216" s="9">
        <v>21</v>
      </c>
    </row>
    <row r="217" spans="1:75" ht="13.5" customHeight="1">
      <c r="A217" s="16" t="s">
        <v>1155</v>
      </c>
      <c r="B217" s="32" t="s">
        <v>5</v>
      </c>
      <c r="C217" s="32" t="s">
        <v>111</v>
      </c>
      <c r="D217" s="69" t="s">
        <v>1232</v>
      </c>
      <c r="E217" s="70"/>
      <c r="F217" s="32" t="s">
        <v>861</v>
      </c>
      <c r="G217" s="9">
        <v>1</v>
      </c>
      <c r="H217" s="68">
        <v>0</v>
      </c>
      <c r="I217" s="9">
        <f t="shared" si="92"/>
        <v>0</v>
      </c>
      <c r="K217" s="23"/>
      <c r="Z217" s="9">
        <f t="shared" si="93"/>
        <v>0</v>
      </c>
      <c r="AB217" s="9">
        <f t="shared" si="94"/>
        <v>0</v>
      </c>
      <c r="AC217" s="9">
        <f t="shared" si="95"/>
        <v>0</v>
      </c>
      <c r="AD217" s="9">
        <f t="shared" si="96"/>
        <v>0</v>
      </c>
      <c r="AE217" s="9">
        <f t="shared" si="97"/>
        <v>0</v>
      </c>
      <c r="AF217" s="9">
        <f t="shared" si="98"/>
        <v>0</v>
      </c>
      <c r="AG217" s="9">
        <f t="shared" si="99"/>
        <v>0</v>
      </c>
      <c r="AH217" s="9">
        <f t="shared" si="100"/>
        <v>0</v>
      </c>
      <c r="AI217" s="11" t="s">
        <v>5</v>
      </c>
      <c r="AJ217" s="9">
        <f t="shared" si="101"/>
        <v>0</v>
      </c>
      <c r="AK217" s="9">
        <f t="shared" si="102"/>
        <v>0</v>
      </c>
      <c r="AL217" s="9">
        <f t="shared" si="103"/>
        <v>0</v>
      </c>
      <c r="AN217" s="9">
        <v>21</v>
      </c>
      <c r="AO217" s="9">
        <f t="shared" si="112"/>
        <v>0</v>
      </c>
      <c r="AP217" s="9">
        <f t="shared" si="113"/>
        <v>0</v>
      </c>
      <c r="AQ217" s="60" t="s">
        <v>1238</v>
      </c>
      <c r="AV217" s="9">
        <f t="shared" si="104"/>
        <v>0</v>
      </c>
      <c r="AW217" s="9">
        <f t="shared" si="105"/>
        <v>0</v>
      </c>
      <c r="AX217" s="9">
        <f t="shared" si="106"/>
        <v>0</v>
      </c>
      <c r="AY217" s="60" t="s">
        <v>780</v>
      </c>
      <c r="AZ217" s="60" t="s">
        <v>853</v>
      </c>
      <c r="BA217" s="11" t="s">
        <v>1092</v>
      </c>
      <c r="BC217" s="9">
        <f t="shared" si="107"/>
        <v>0</v>
      </c>
      <c r="BD217" s="9">
        <f t="shared" si="108"/>
        <v>0</v>
      </c>
      <c r="BE217" s="9">
        <v>0</v>
      </c>
      <c r="BF217" s="9">
        <f>217</f>
        <v>217</v>
      </c>
      <c r="BH217" s="9">
        <f t="shared" si="109"/>
        <v>0</v>
      </c>
      <c r="BI217" s="9">
        <f t="shared" si="110"/>
        <v>0</v>
      </c>
      <c r="BJ217" s="9">
        <f t="shared" si="111"/>
        <v>0</v>
      </c>
      <c r="BK217" s="9"/>
      <c r="BL217" s="9">
        <v>722</v>
      </c>
      <c r="BW217" s="9">
        <v>21</v>
      </c>
    </row>
    <row r="218" spans="1:47" ht="15" customHeight="1">
      <c r="A218" s="39" t="s">
        <v>852</v>
      </c>
      <c r="B218" s="48" t="s">
        <v>5</v>
      </c>
      <c r="C218" s="48" t="s">
        <v>693</v>
      </c>
      <c r="D218" s="122" t="s">
        <v>1314</v>
      </c>
      <c r="E218" s="123"/>
      <c r="F218" s="51" t="s">
        <v>1142</v>
      </c>
      <c r="G218" s="51" t="s">
        <v>1142</v>
      </c>
      <c r="H218" s="51" t="s">
        <v>1142</v>
      </c>
      <c r="I218" s="55">
        <f>SUM(I219:I262)</f>
        <v>0</v>
      </c>
      <c r="K218" s="23"/>
      <c r="AI218" s="11" t="s">
        <v>5</v>
      </c>
      <c r="AS218" s="55">
        <f>SUM(AJ219:AJ262)</f>
        <v>0</v>
      </c>
      <c r="AT218" s="55">
        <f>SUM(AK219:AK262)</f>
        <v>0</v>
      </c>
      <c r="AU218" s="55">
        <f>SUM(AL219:AL262)</f>
        <v>0</v>
      </c>
    </row>
    <row r="219" spans="1:75" ht="13.5" customHeight="1">
      <c r="A219" s="16" t="s">
        <v>225</v>
      </c>
      <c r="B219" s="32" t="s">
        <v>5</v>
      </c>
      <c r="C219" s="32" t="s">
        <v>1136</v>
      </c>
      <c r="D219" s="69" t="s">
        <v>343</v>
      </c>
      <c r="E219" s="70"/>
      <c r="F219" s="32" t="s">
        <v>861</v>
      </c>
      <c r="G219" s="9">
        <v>1</v>
      </c>
      <c r="H219" s="68">
        <v>0</v>
      </c>
      <c r="I219" s="9">
        <f aca="true" t="shared" si="114" ref="I219:I262">G219*H219</f>
        <v>0</v>
      </c>
      <c r="K219" s="23"/>
      <c r="Z219" s="9">
        <f aca="true" t="shared" si="115" ref="Z219:Z262">IF(AQ219="5",BJ219,0)</f>
        <v>0</v>
      </c>
      <c r="AB219" s="9">
        <f aca="true" t="shared" si="116" ref="AB219:AB262">IF(AQ219="1",BH219,0)</f>
        <v>0</v>
      </c>
      <c r="AC219" s="9">
        <f aca="true" t="shared" si="117" ref="AC219:AC262">IF(AQ219="1",BI219,0)</f>
        <v>0</v>
      </c>
      <c r="AD219" s="9">
        <f aca="true" t="shared" si="118" ref="AD219:AD262">IF(AQ219="7",BH219,0)</f>
        <v>0</v>
      </c>
      <c r="AE219" s="9">
        <f aca="true" t="shared" si="119" ref="AE219:AE262">IF(AQ219="7",BI219,0)</f>
        <v>0</v>
      </c>
      <c r="AF219" s="9">
        <f aca="true" t="shared" si="120" ref="AF219:AF262">IF(AQ219="2",BH219,0)</f>
        <v>0</v>
      </c>
      <c r="AG219" s="9">
        <f aca="true" t="shared" si="121" ref="AG219:AG262">IF(AQ219="2",BI219,0)</f>
        <v>0</v>
      </c>
      <c r="AH219" s="9">
        <f aca="true" t="shared" si="122" ref="AH219:AH262">IF(AQ219="0",BJ219,0)</f>
        <v>0</v>
      </c>
      <c r="AI219" s="11" t="s">
        <v>5</v>
      </c>
      <c r="AJ219" s="9">
        <f aca="true" t="shared" si="123" ref="AJ219:AJ262">IF(AN219=0,I219,0)</f>
        <v>0</v>
      </c>
      <c r="AK219" s="9">
        <f aca="true" t="shared" si="124" ref="AK219:AK262">IF(AN219=12,I219,0)</f>
        <v>0</v>
      </c>
      <c r="AL219" s="9">
        <f aca="true" t="shared" si="125" ref="AL219:AL262">IF(AN219=21,I219,0)</f>
        <v>0</v>
      </c>
      <c r="AN219" s="9">
        <v>21</v>
      </c>
      <c r="AO219" s="9">
        <f aca="true" t="shared" si="126" ref="AO219:AO241">H219*0.53</f>
        <v>0</v>
      </c>
      <c r="AP219" s="9">
        <f aca="true" t="shared" si="127" ref="AP219:AP241">H219*(1-0.53)</f>
        <v>0</v>
      </c>
      <c r="AQ219" s="60" t="s">
        <v>1238</v>
      </c>
      <c r="AV219" s="9">
        <f aca="true" t="shared" si="128" ref="AV219:AV262">AW219+AX219</f>
        <v>0</v>
      </c>
      <c r="AW219" s="9">
        <f aca="true" t="shared" si="129" ref="AW219:AW262">G219*AO219</f>
        <v>0</v>
      </c>
      <c r="AX219" s="9">
        <f aca="true" t="shared" si="130" ref="AX219:AX262">G219*AP219</f>
        <v>0</v>
      </c>
      <c r="AY219" s="60" t="s">
        <v>1002</v>
      </c>
      <c r="AZ219" s="60" t="s">
        <v>853</v>
      </c>
      <c r="BA219" s="11" t="s">
        <v>1092</v>
      </c>
      <c r="BC219" s="9">
        <f aca="true" t="shared" si="131" ref="BC219:BC262">AW219+AX219</f>
        <v>0</v>
      </c>
      <c r="BD219" s="9">
        <f aca="true" t="shared" si="132" ref="BD219:BD262">H219/(100-BE219)*100</f>
        <v>0</v>
      </c>
      <c r="BE219" s="9">
        <v>0</v>
      </c>
      <c r="BF219" s="9">
        <f>219</f>
        <v>219</v>
      </c>
      <c r="BH219" s="9">
        <f aca="true" t="shared" si="133" ref="BH219:BH262">G219*AO219</f>
        <v>0</v>
      </c>
      <c r="BI219" s="9">
        <f aca="true" t="shared" si="134" ref="BI219:BI262">G219*AP219</f>
        <v>0</v>
      </c>
      <c r="BJ219" s="9">
        <f aca="true" t="shared" si="135" ref="BJ219:BJ262">G219*H219</f>
        <v>0</v>
      </c>
      <c r="BK219" s="9"/>
      <c r="BL219" s="9">
        <v>728</v>
      </c>
      <c r="BW219" s="9">
        <v>21</v>
      </c>
    </row>
    <row r="220" spans="1:75" ht="13.5" customHeight="1">
      <c r="A220" s="16" t="s">
        <v>609</v>
      </c>
      <c r="B220" s="32" t="s">
        <v>5</v>
      </c>
      <c r="C220" s="32" t="s">
        <v>1344</v>
      </c>
      <c r="D220" s="69" t="s">
        <v>322</v>
      </c>
      <c r="E220" s="70"/>
      <c r="F220" s="32" t="s">
        <v>861</v>
      </c>
      <c r="G220" s="9">
        <v>1</v>
      </c>
      <c r="H220" s="68">
        <v>0</v>
      </c>
      <c r="I220" s="9">
        <f t="shared" si="114"/>
        <v>0</v>
      </c>
      <c r="K220" s="23"/>
      <c r="Z220" s="9">
        <f t="shared" si="115"/>
        <v>0</v>
      </c>
      <c r="AB220" s="9">
        <f t="shared" si="116"/>
        <v>0</v>
      </c>
      <c r="AC220" s="9">
        <f t="shared" si="117"/>
        <v>0</v>
      </c>
      <c r="AD220" s="9">
        <f t="shared" si="118"/>
        <v>0</v>
      </c>
      <c r="AE220" s="9">
        <f t="shared" si="119"/>
        <v>0</v>
      </c>
      <c r="AF220" s="9">
        <f t="shared" si="120"/>
        <v>0</v>
      </c>
      <c r="AG220" s="9">
        <f t="shared" si="121"/>
        <v>0</v>
      </c>
      <c r="AH220" s="9">
        <f t="shared" si="122"/>
        <v>0</v>
      </c>
      <c r="AI220" s="11" t="s">
        <v>5</v>
      </c>
      <c r="AJ220" s="9">
        <f t="shared" si="123"/>
        <v>0</v>
      </c>
      <c r="AK220" s="9">
        <f t="shared" si="124"/>
        <v>0</v>
      </c>
      <c r="AL220" s="9">
        <f t="shared" si="125"/>
        <v>0</v>
      </c>
      <c r="AN220" s="9">
        <v>21</v>
      </c>
      <c r="AO220" s="9">
        <f t="shared" si="126"/>
        <v>0</v>
      </c>
      <c r="AP220" s="9">
        <f t="shared" si="127"/>
        <v>0</v>
      </c>
      <c r="AQ220" s="60" t="s">
        <v>1238</v>
      </c>
      <c r="AV220" s="9">
        <f t="shared" si="128"/>
        <v>0</v>
      </c>
      <c r="AW220" s="9">
        <f t="shared" si="129"/>
        <v>0</v>
      </c>
      <c r="AX220" s="9">
        <f t="shared" si="130"/>
        <v>0</v>
      </c>
      <c r="AY220" s="60" t="s">
        <v>1002</v>
      </c>
      <c r="AZ220" s="60" t="s">
        <v>853</v>
      </c>
      <c r="BA220" s="11" t="s">
        <v>1092</v>
      </c>
      <c r="BC220" s="9">
        <f t="shared" si="131"/>
        <v>0</v>
      </c>
      <c r="BD220" s="9">
        <f t="shared" si="132"/>
        <v>0</v>
      </c>
      <c r="BE220" s="9">
        <v>0</v>
      </c>
      <c r="BF220" s="9">
        <f>220</f>
        <v>220</v>
      </c>
      <c r="BH220" s="9">
        <f t="shared" si="133"/>
        <v>0</v>
      </c>
      <c r="BI220" s="9">
        <f t="shared" si="134"/>
        <v>0</v>
      </c>
      <c r="BJ220" s="9">
        <f t="shared" si="135"/>
        <v>0</v>
      </c>
      <c r="BK220" s="9"/>
      <c r="BL220" s="9">
        <v>728</v>
      </c>
      <c r="BW220" s="9">
        <v>21</v>
      </c>
    </row>
    <row r="221" spans="1:75" ht="13.5" customHeight="1">
      <c r="A221" s="16" t="s">
        <v>679</v>
      </c>
      <c r="B221" s="32" t="s">
        <v>5</v>
      </c>
      <c r="C221" s="32" t="s">
        <v>230</v>
      </c>
      <c r="D221" s="69" t="s">
        <v>376</v>
      </c>
      <c r="E221" s="70"/>
      <c r="F221" s="32" t="s">
        <v>861</v>
      </c>
      <c r="G221" s="9">
        <v>1</v>
      </c>
      <c r="H221" s="68">
        <v>0</v>
      </c>
      <c r="I221" s="9">
        <f t="shared" si="114"/>
        <v>0</v>
      </c>
      <c r="K221" s="23"/>
      <c r="Z221" s="9">
        <f t="shared" si="115"/>
        <v>0</v>
      </c>
      <c r="AB221" s="9">
        <f t="shared" si="116"/>
        <v>0</v>
      </c>
      <c r="AC221" s="9">
        <f t="shared" si="117"/>
        <v>0</v>
      </c>
      <c r="AD221" s="9">
        <f t="shared" si="118"/>
        <v>0</v>
      </c>
      <c r="AE221" s="9">
        <f t="shared" si="119"/>
        <v>0</v>
      </c>
      <c r="AF221" s="9">
        <f t="shared" si="120"/>
        <v>0</v>
      </c>
      <c r="AG221" s="9">
        <f t="shared" si="121"/>
        <v>0</v>
      </c>
      <c r="AH221" s="9">
        <f t="shared" si="122"/>
        <v>0</v>
      </c>
      <c r="AI221" s="11" t="s">
        <v>5</v>
      </c>
      <c r="AJ221" s="9">
        <f t="shared" si="123"/>
        <v>0</v>
      </c>
      <c r="AK221" s="9">
        <f t="shared" si="124"/>
        <v>0</v>
      </c>
      <c r="AL221" s="9">
        <f t="shared" si="125"/>
        <v>0</v>
      </c>
      <c r="AN221" s="9">
        <v>21</v>
      </c>
      <c r="AO221" s="9">
        <f t="shared" si="126"/>
        <v>0</v>
      </c>
      <c r="AP221" s="9">
        <f t="shared" si="127"/>
        <v>0</v>
      </c>
      <c r="AQ221" s="60" t="s">
        <v>1238</v>
      </c>
      <c r="AV221" s="9">
        <f t="shared" si="128"/>
        <v>0</v>
      </c>
      <c r="AW221" s="9">
        <f t="shared" si="129"/>
        <v>0</v>
      </c>
      <c r="AX221" s="9">
        <f t="shared" si="130"/>
        <v>0</v>
      </c>
      <c r="AY221" s="60" t="s">
        <v>1002</v>
      </c>
      <c r="AZ221" s="60" t="s">
        <v>853</v>
      </c>
      <c r="BA221" s="11" t="s">
        <v>1092</v>
      </c>
      <c r="BC221" s="9">
        <f t="shared" si="131"/>
        <v>0</v>
      </c>
      <c r="BD221" s="9">
        <f t="shared" si="132"/>
        <v>0</v>
      </c>
      <c r="BE221" s="9">
        <v>0</v>
      </c>
      <c r="BF221" s="9">
        <f>221</f>
        <v>221</v>
      </c>
      <c r="BH221" s="9">
        <f t="shared" si="133"/>
        <v>0</v>
      </c>
      <c r="BI221" s="9">
        <f t="shared" si="134"/>
        <v>0</v>
      </c>
      <c r="BJ221" s="9">
        <f t="shared" si="135"/>
        <v>0</v>
      </c>
      <c r="BK221" s="9"/>
      <c r="BL221" s="9">
        <v>728</v>
      </c>
      <c r="BW221" s="9">
        <v>21</v>
      </c>
    </row>
    <row r="222" spans="1:75" ht="13.5" customHeight="1">
      <c r="A222" s="16" t="s">
        <v>1114</v>
      </c>
      <c r="B222" s="32" t="s">
        <v>5</v>
      </c>
      <c r="C222" s="32" t="s">
        <v>614</v>
      </c>
      <c r="D222" s="69" t="s">
        <v>702</v>
      </c>
      <c r="E222" s="70"/>
      <c r="F222" s="32" t="s">
        <v>861</v>
      </c>
      <c r="G222" s="9">
        <v>1</v>
      </c>
      <c r="H222" s="68">
        <v>0</v>
      </c>
      <c r="I222" s="9">
        <f t="shared" si="114"/>
        <v>0</v>
      </c>
      <c r="K222" s="23"/>
      <c r="Z222" s="9">
        <f t="shared" si="115"/>
        <v>0</v>
      </c>
      <c r="AB222" s="9">
        <f t="shared" si="116"/>
        <v>0</v>
      </c>
      <c r="AC222" s="9">
        <f t="shared" si="117"/>
        <v>0</v>
      </c>
      <c r="AD222" s="9">
        <f t="shared" si="118"/>
        <v>0</v>
      </c>
      <c r="AE222" s="9">
        <f t="shared" si="119"/>
        <v>0</v>
      </c>
      <c r="AF222" s="9">
        <f t="shared" si="120"/>
        <v>0</v>
      </c>
      <c r="AG222" s="9">
        <f t="shared" si="121"/>
        <v>0</v>
      </c>
      <c r="AH222" s="9">
        <f t="shared" si="122"/>
        <v>0</v>
      </c>
      <c r="AI222" s="11" t="s">
        <v>5</v>
      </c>
      <c r="AJ222" s="9">
        <f t="shared" si="123"/>
        <v>0</v>
      </c>
      <c r="AK222" s="9">
        <f t="shared" si="124"/>
        <v>0</v>
      </c>
      <c r="AL222" s="9">
        <f t="shared" si="125"/>
        <v>0</v>
      </c>
      <c r="AN222" s="9">
        <v>21</v>
      </c>
      <c r="AO222" s="9">
        <f t="shared" si="126"/>
        <v>0</v>
      </c>
      <c r="AP222" s="9">
        <f t="shared" si="127"/>
        <v>0</v>
      </c>
      <c r="AQ222" s="60" t="s">
        <v>1238</v>
      </c>
      <c r="AV222" s="9">
        <f t="shared" si="128"/>
        <v>0</v>
      </c>
      <c r="AW222" s="9">
        <f t="shared" si="129"/>
        <v>0</v>
      </c>
      <c r="AX222" s="9">
        <f t="shared" si="130"/>
        <v>0</v>
      </c>
      <c r="AY222" s="60" t="s">
        <v>1002</v>
      </c>
      <c r="AZ222" s="60" t="s">
        <v>853</v>
      </c>
      <c r="BA222" s="11" t="s">
        <v>1092</v>
      </c>
      <c r="BC222" s="9">
        <f t="shared" si="131"/>
        <v>0</v>
      </c>
      <c r="BD222" s="9">
        <f t="shared" si="132"/>
        <v>0</v>
      </c>
      <c r="BE222" s="9">
        <v>0</v>
      </c>
      <c r="BF222" s="9">
        <f>222</f>
        <v>222</v>
      </c>
      <c r="BH222" s="9">
        <f t="shared" si="133"/>
        <v>0</v>
      </c>
      <c r="BI222" s="9">
        <f t="shared" si="134"/>
        <v>0</v>
      </c>
      <c r="BJ222" s="9">
        <f t="shared" si="135"/>
        <v>0</v>
      </c>
      <c r="BK222" s="9"/>
      <c r="BL222" s="9">
        <v>728</v>
      </c>
      <c r="BW222" s="9">
        <v>21</v>
      </c>
    </row>
    <row r="223" spans="1:75" ht="13.5" customHeight="1">
      <c r="A223" s="16" t="s">
        <v>1257</v>
      </c>
      <c r="B223" s="32" t="s">
        <v>5</v>
      </c>
      <c r="C223" s="32" t="s">
        <v>511</v>
      </c>
      <c r="D223" s="69" t="s">
        <v>506</v>
      </c>
      <c r="E223" s="70"/>
      <c r="F223" s="32" t="s">
        <v>861</v>
      </c>
      <c r="G223" s="9">
        <v>3</v>
      </c>
      <c r="H223" s="68">
        <v>0</v>
      </c>
      <c r="I223" s="9">
        <f t="shared" si="114"/>
        <v>0</v>
      </c>
      <c r="K223" s="23"/>
      <c r="Z223" s="9">
        <f t="shared" si="115"/>
        <v>0</v>
      </c>
      <c r="AB223" s="9">
        <f t="shared" si="116"/>
        <v>0</v>
      </c>
      <c r="AC223" s="9">
        <f t="shared" si="117"/>
        <v>0</v>
      </c>
      <c r="AD223" s="9">
        <f t="shared" si="118"/>
        <v>0</v>
      </c>
      <c r="AE223" s="9">
        <f t="shared" si="119"/>
        <v>0</v>
      </c>
      <c r="AF223" s="9">
        <f t="shared" si="120"/>
        <v>0</v>
      </c>
      <c r="AG223" s="9">
        <f t="shared" si="121"/>
        <v>0</v>
      </c>
      <c r="AH223" s="9">
        <f t="shared" si="122"/>
        <v>0</v>
      </c>
      <c r="AI223" s="11" t="s">
        <v>5</v>
      </c>
      <c r="AJ223" s="9">
        <f t="shared" si="123"/>
        <v>0</v>
      </c>
      <c r="AK223" s="9">
        <f t="shared" si="124"/>
        <v>0</v>
      </c>
      <c r="AL223" s="9">
        <f t="shared" si="125"/>
        <v>0</v>
      </c>
      <c r="AN223" s="9">
        <v>21</v>
      </c>
      <c r="AO223" s="9">
        <f t="shared" si="126"/>
        <v>0</v>
      </c>
      <c r="AP223" s="9">
        <f t="shared" si="127"/>
        <v>0</v>
      </c>
      <c r="AQ223" s="60" t="s">
        <v>1238</v>
      </c>
      <c r="AV223" s="9">
        <f t="shared" si="128"/>
        <v>0</v>
      </c>
      <c r="AW223" s="9">
        <f t="shared" si="129"/>
        <v>0</v>
      </c>
      <c r="AX223" s="9">
        <f t="shared" si="130"/>
        <v>0</v>
      </c>
      <c r="AY223" s="60" t="s">
        <v>1002</v>
      </c>
      <c r="AZ223" s="60" t="s">
        <v>853</v>
      </c>
      <c r="BA223" s="11" t="s">
        <v>1092</v>
      </c>
      <c r="BC223" s="9">
        <f t="shared" si="131"/>
        <v>0</v>
      </c>
      <c r="BD223" s="9">
        <f t="shared" si="132"/>
        <v>0</v>
      </c>
      <c r="BE223" s="9">
        <v>0</v>
      </c>
      <c r="BF223" s="9">
        <f>223</f>
        <v>223</v>
      </c>
      <c r="BH223" s="9">
        <f t="shared" si="133"/>
        <v>0</v>
      </c>
      <c r="BI223" s="9">
        <f t="shared" si="134"/>
        <v>0</v>
      </c>
      <c r="BJ223" s="9">
        <f t="shared" si="135"/>
        <v>0</v>
      </c>
      <c r="BK223" s="9"/>
      <c r="BL223" s="9">
        <v>728</v>
      </c>
      <c r="BW223" s="9">
        <v>21</v>
      </c>
    </row>
    <row r="224" spans="1:75" ht="13.5" customHeight="1">
      <c r="A224" s="16" t="s">
        <v>7</v>
      </c>
      <c r="B224" s="32" t="s">
        <v>5</v>
      </c>
      <c r="C224" s="32" t="s">
        <v>1293</v>
      </c>
      <c r="D224" s="69" t="s">
        <v>1074</v>
      </c>
      <c r="E224" s="70"/>
      <c r="F224" s="32" t="s">
        <v>861</v>
      </c>
      <c r="G224" s="9">
        <v>3</v>
      </c>
      <c r="H224" s="68">
        <v>0</v>
      </c>
      <c r="I224" s="9">
        <f t="shared" si="114"/>
        <v>0</v>
      </c>
      <c r="K224" s="23"/>
      <c r="Z224" s="9">
        <f t="shared" si="115"/>
        <v>0</v>
      </c>
      <c r="AB224" s="9">
        <f t="shared" si="116"/>
        <v>0</v>
      </c>
      <c r="AC224" s="9">
        <f t="shared" si="117"/>
        <v>0</v>
      </c>
      <c r="AD224" s="9">
        <f t="shared" si="118"/>
        <v>0</v>
      </c>
      <c r="AE224" s="9">
        <f t="shared" si="119"/>
        <v>0</v>
      </c>
      <c r="AF224" s="9">
        <f t="shared" si="120"/>
        <v>0</v>
      </c>
      <c r="AG224" s="9">
        <f t="shared" si="121"/>
        <v>0</v>
      </c>
      <c r="AH224" s="9">
        <f t="shared" si="122"/>
        <v>0</v>
      </c>
      <c r="AI224" s="11" t="s">
        <v>5</v>
      </c>
      <c r="AJ224" s="9">
        <f t="shared" si="123"/>
        <v>0</v>
      </c>
      <c r="AK224" s="9">
        <f t="shared" si="124"/>
        <v>0</v>
      </c>
      <c r="AL224" s="9">
        <f t="shared" si="125"/>
        <v>0</v>
      </c>
      <c r="AN224" s="9">
        <v>21</v>
      </c>
      <c r="AO224" s="9">
        <f t="shared" si="126"/>
        <v>0</v>
      </c>
      <c r="AP224" s="9">
        <f t="shared" si="127"/>
        <v>0</v>
      </c>
      <c r="AQ224" s="60" t="s">
        <v>1238</v>
      </c>
      <c r="AV224" s="9">
        <f t="shared" si="128"/>
        <v>0</v>
      </c>
      <c r="AW224" s="9">
        <f t="shared" si="129"/>
        <v>0</v>
      </c>
      <c r="AX224" s="9">
        <f t="shared" si="130"/>
        <v>0</v>
      </c>
      <c r="AY224" s="60" t="s">
        <v>1002</v>
      </c>
      <c r="AZ224" s="60" t="s">
        <v>853</v>
      </c>
      <c r="BA224" s="11" t="s">
        <v>1092</v>
      </c>
      <c r="BC224" s="9">
        <f t="shared" si="131"/>
        <v>0</v>
      </c>
      <c r="BD224" s="9">
        <f t="shared" si="132"/>
        <v>0</v>
      </c>
      <c r="BE224" s="9">
        <v>0</v>
      </c>
      <c r="BF224" s="9">
        <f>224</f>
        <v>224</v>
      </c>
      <c r="BH224" s="9">
        <f t="shared" si="133"/>
        <v>0</v>
      </c>
      <c r="BI224" s="9">
        <f t="shared" si="134"/>
        <v>0</v>
      </c>
      <c r="BJ224" s="9">
        <f t="shared" si="135"/>
        <v>0</v>
      </c>
      <c r="BK224" s="9"/>
      <c r="BL224" s="9">
        <v>728</v>
      </c>
      <c r="BW224" s="9">
        <v>21</v>
      </c>
    </row>
    <row r="225" spans="1:75" ht="13.5" customHeight="1">
      <c r="A225" s="16" t="s">
        <v>48</v>
      </c>
      <c r="B225" s="32" t="s">
        <v>5</v>
      </c>
      <c r="C225" s="32" t="s">
        <v>1289</v>
      </c>
      <c r="D225" s="69" t="s">
        <v>702</v>
      </c>
      <c r="E225" s="70"/>
      <c r="F225" s="32" t="s">
        <v>861</v>
      </c>
      <c r="G225" s="9">
        <v>3</v>
      </c>
      <c r="H225" s="68">
        <v>0</v>
      </c>
      <c r="I225" s="9">
        <f t="shared" si="114"/>
        <v>0</v>
      </c>
      <c r="K225" s="23"/>
      <c r="Z225" s="9">
        <f t="shared" si="115"/>
        <v>0</v>
      </c>
      <c r="AB225" s="9">
        <f t="shared" si="116"/>
        <v>0</v>
      </c>
      <c r="AC225" s="9">
        <f t="shared" si="117"/>
        <v>0</v>
      </c>
      <c r="AD225" s="9">
        <f t="shared" si="118"/>
        <v>0</v>
      </c>
      <c r="AE225" s="9">
        <f t="shared" si="119"/>
        <v>0</v>
      </c>
      <c r="AF225" s="9">
        <f t="shared" si="120"/>
        <v>0</v>
      </c>
      <c r="AG225" s="9">
        <f t="shared" si="121"/>
        <v>0</v>
      </c>
      <c r="AH225" s="9">
        <f t="shared" si="122"/>
        <v>0</v>
      </c>
      <c r="AI225" s="11" t="s">
        <v>5</v>
      </c>
      <c r="AJ225" s="9">
        <f t="shared" si="123"/>
        <v>0</v>
      </c>
      <c r="AK225" s="9">
        <f t="shared" si="124"/>
        <v>0</v>
      </c>
      <c r="AL225" s="9">
        <f t="shared" si="125"/>
        <v>0</v>
      </c>
      <c r="AN225" s="9">
        <v>21</v>
      </c>
      <c r="AO225" s="9">
        <f t="shared" si="126"/>
        <v>0</v>
      </c>
      <c r="AP225" s="9">
        <f t="shared" si="127"/>
        <v>0</v>
      </c>
      <c r="AQ225" s="60" t="s">
        <v>1238</v>
      </c>
      <c r="AV225" s="9">
        <f t="shared" si="128"/>
        <v>0</v>
      </c>
      <c r="AW225" s="9">
        <f t="shared" si="129"/>
        <v>0</v>
      </c>
      <c r="AX225" s="9">
        <f t="shared" si="130"/>
        <v>0</v>
      </c>
      <c r="AY225" s="60" t="s">
        <v>1002</v>
      </c>
      <c r="AZ225" s="60" t="s">
        <v>853</v>
      </c>
      <c r="BA225" s="11" t="s">
        <v>1092</v>
      </c>
      <c r="BC225" s="9">
        <f t="shared" si="131"/>
        <v>0</v>
      </c>
      <c r="BD225" s="9">
        <f t="shared" si="132"/>
        <v>0</v>
      </c>
      <c r="BE225" s="9">
        <v>0</v>
      </c>
      <c r="BF225" s="9">
        <f>225</f>
        <v>225</v>
      </c>
      <c r="BH225" s="9">
        <f t="shared" si="133"/>
        <v>0</v>
      </c>
      <c r="BI225" s="9">
        <f t="shared" si="134"/>
        <v>0</v>
      </c>
      <c r="BJ225" s="9">
        <f t="shared" si="135"/>
        <v>0</v>
      </c>
      <c r="BK225" s="9"/>
      <c r="BL225" s="9">
        <v>728</v>
      </c>
      <c r="BW225" s="9">
        <v>21</v>
      </c>
    </row>
    <row r="226" spans="1:75" ht="13.5" customHeight="1">
      <c r="A226" s="16" t="s">
        <v>74</v>
      </c>
      <c r="B226" s="32" t="s">
        <v>5</v>
      </c>
      <c r="C226" s="32" t="s">
        <v>158</v>
      </c>
      <c r="D226" s="69" t="s">
        <v>714</v>
      </c>
      <c r="E226" s="70"/>
      <c r="F226" s="32" t="s">
        <v>1026</v>
      </c>
      <c r="G226" s="9">
        <v>0.9</v>
      </c>
      <c r="H226" s="68">
        <v>0</v>
      </c>
      <c r="I226" s="9">
        <f t="shared" si="114"/>
        <v>0</v>
      </c>
      <c r="K226" s="23"/>
      <c r="Z226" s="9">
        <f t="shared" si="115"/>
        <v>0</v>
      </c>
      <c r="AB226" s="9">
        <f t="shared" si="116"/>
        <v>0</v>
      </c>
      <c r="AC226" s="9">
        <f t="shared" si="117"/>
        <v>0</v>
      </c>
      <c r="AD226" s="9">
        <f t="shared" si="118"/>
        <v>0</v>
      </c>
      <c r="AE226" s="9">
        <f t="shared" si="119"/>
        <v>0</v>
      </c>
      <c r="AF226" s="9">
        <f t="shared" si="120"/>
        <v>0</v>
      </c>
      <c r="AG226" s="9">
        <f t="shared" si="121"/>
        <v>0</v>
      </c>
      <c r="AH226" s="9">
        <f t="shared" si="122"/>
        <v>0</v>
      </c>
      <c r="AI226" s="11" t="s">
        <v>5</v>
      </c>
      <c r="AJ226" s="9">
        <f t="shared" si="123"/>
        <v>0</v>
      </c>
      <c r="AK226" s="9">
        <f t="shared" si="124"/>
        <v>0</v>
      </c>
      <c r="AL226" s="9">
        <f t="shared" si="125"/>
        <v>0</v>
      </c>
      <c r="AN226" s="9">
        <v>21</v>
      </c>
      <c r="AO226" s="9">
        <f t="shared" si="126"/>
        <v>0</v>
      </c>
      <c r="AP226" s="9">
        <f t="shared" si="127"/>
        <v>0</v>
      </c>
      <c r="AQ226" s="60" t="s">
        <v>1238</v>
      </c>
      <c r="AV226" s="9">
        <f t="shared" si="128"/>
        <v>0</v>
      </c>
      <c r="AW226" s="9">
        <f t="shared" si="129"/>
        <v>0</v>
      </c>
      <c r="AX226" s="9">
        <f t="shared" si="130"/>
        <v>0</v>
      </c>
      <c r="AY226" s="60" t="s">
        <v>1002</v>
      </c>
      <c r="AZ226" s="60" t="s">
        <v>853</v>
      </c>
      <c r="BA226" s="11" t="s">
        <v>1092</v>
      </c>
      <c r="BC226" s="9">
        <f t="shared" si="131"/>
        <v>0</v>
      </c>
      <c r="BD226" s="9">
        <f t="shared" si="132"/>
        <v>0</v>
      </c>
      <c r="BE226" s="9">
        <v>0</v>
      </c>
      <c r="BF226" s="9">
        <f>226</f>
        <v>226</v>
      </c>
      <c r="BH226" s="9">
        <f t="shared" si="133"/>
        <v>0</v>
      </c>
      <c r="BI226" s="9">
        <f t="shared" si="134"/>
        <v>0</v>
      </c>
      <c r="BJ226" s="9">
        <f t="shared" si="135"/>
        <v>0</v>
      </c>
      <c r="BK226" s="9"/>
      <c r="BL226" s="9">
        <v>728</v>
      </c>
      <c r="BW226" s="9">
        <v>21</v>
      </c>
    </row>
    <row r="227" spans="1:75" ht="13.5" customHeight="1">
      <c r="A227" s="16" t="s">
        <v>912</v>
      </c>
      <c r="B227" s="32" t="s">
        <v>5</v>
      </c>
      <c r="C227" s="32" t="s">
        <v>1380</v>
      </c>
      <c r="D227" s="69" t="s">
        <v>1140</v>
      </c>
      <c r="E227" s="70"/>
      <c r="F227" s="32" t="s">
        <v>1026</v>
      </c>
      <c r="G227" s="9">
        <v>3.6</v>
      </c>
      <c r="H227" s="68">
        <v>0</v>
      </c>
      <c r="I227" s="9">
        <f t="shared" si="114"/>
        <v>0</v>
      </c>
      <c r="K227" s="23"/>
      <c r="Z227" s="9">
        <f t="shared" si="115"/>
        <v>0</v>
      </c>
      <c r="AB227" s="9">
        <f t="shared" si="116"/>
        <v>0</v>
      </c>
      <c r="AC227" s="9">
        <f t="shared" si="117"/>
        <v>0</v>
      </c>
      <c r="AD227" s="9">
        <f t="shared" si="118"/>
        <v>0</v>
      </c>
      <c r="AE227" s="9">
        <f t="shared" si="119"/>
        <v>0</v>
      </c>
      <c r="AF227" s="9">
        <f t="shared" si="120"/>
        <v>0</v>
      </c>
      <c r="AG227" s="9">
        <f t="shared" si="121"/>
        <v>0</v>
      </c>
      <c r="AH227" s="9">
        <f t="shared" si="122"/>
        <v>0</v>
      </c>
      <c r="AI227" s="11" t="s">
        <v>5</v>
      </c>
      <c r="AJ227" s="9">
        <f t="shared" si="123"/>
        <v>0</v>
      </c>
      <c r="AK227" s="9">
        <f t="shared" si="124"/>
        <v>0</v>
      </c>
      <c r="AL227" s="9">
        <f t="shared" si="125"/>
        <v>0</v>
      </c>
      <c r="AN227" s="9">
        <v>21</v>
      </c>
      <c r="AO227" s="9">
        <f t="shared" si="126"/>
        <v>0</v>
      </c>
      <c r="AP227" s="9">
        <f t="shared" si="127"/>
        <v>0</v>
      </c>
      <c r="AQ227" s="60" t="s">
        <v>1238</v>
      </c>
      <c r="AV227" s="9">
        <f t="shared" si="128"/>
        <v>0</v>
      </c>
      <c r="AW227" s="9">
        <f t="shared" si="129"/>
        <v>0</v>
      </c>
      <c r="AX227" s="9">
        <f t="shared" si="130"/>
        <v>0</v>
      </c>
      <c r="AY227" s="60" t="s">
        <v>1002</v>
      </c>
      <c r="AZ227" s="60" t="s">
        <v>853</v>
      </c>
      <c r="BA227" s="11" t="s">
        <v>1092</v>
      </c>
      <c r="BC227" s="9">
        <f t="shared" si="131"/>
        <v>0</v>
      </c>
      <c r="BD227" s="9">
        <f t="shared" si="132"/>
        <v>0</v>
      </c>
      <c r="BE227" s="9">
        <v>0</v>
      </c>
      <c r="BF227" s="9">
        <f>227</f>
        <v>227</v>
      </c>
      <c r="BH227" s="9">
        <f t="shared" si="133"/>
        <v>0</v>
      </c>
      <c r="BI227" s="9">
        <f t="shared" si="134"/>
        <v>0</v>
      </c>
      <c r="BJ227" s="9">
        <f t="shared" si="135"/>
        <v>0</v>
      </c>
      <c r="BK227" s="9"/>
      <c r="BL227" s="9">
        <v>728</v>
      </c>
      <c r="BW227" s="9">
        <v>21</v>
      </c>
    </row>
    <row r="228" spans="1:75" ht="13.5" customHeight="1">
      <c r="A228" s="16" t="s">
        <v>1397</v>
      </c>
      <c r="B228" s="32" t="s">
        <v>5</v>
      </c>
      <c r="C228" s="32" t="s">
        <v>612</v>
      </c>
      <c r="D228" s="69" t="s">
        <v>173</v>
      </c>
      <c r="E228" s="70"/>
      <c r="F228" s="32" t="s">
        <v>1026</v>
      </c>
      <c r="G228" s="9">
        <v>18.5</v>
      </c>
      <c r="H228" s="68">
        <v>0</v>
      </c>
      <c r="I228" s="9">
        <f t="shared" si="114"/>
        <v>0</v>
      </c>
      <c r="K228" s="23"/>
      <c r="Z228" s="9">
        <f t="shared" si="115"/>
        <v>0</v>
      </c>
      <c r="AB228" s="9">
        <f t="shared" si="116"/>
        <v>0</v>
      </c>
      <c r="AC228" s="9">
        <f t="shared" si="117"/>
        <v>0</v>
      </c>
      <c r="AD228" s="9">
        <f t="shared" si="118"/>
        <v>0</v>
      </c>
      <c r="AE228" s="9">
        <f t="shared" si="119"/>
        <v>0</v>
      </c>
      <c r="AF228" s="9">
        <f t="shared" si="120"/>
        <v>0</v>
      </c>
      <c r="AG228" s="9">
        <f t="shared" si="121"/>
        <v>0</v>
      </c>
      <c r="AH228" s="9">
        <f t="shared" si="122"/>
        <v>0</v>
      </c>
      <c r="AI228" s="11" t="s">
        <v>5</v>
      </c>
      <c r="AJ228" s="9">
        <f t="shared" si="123"/>
        <v>0</v>
      </c>
      <c r="AK228" s="9">
        <f t="shared" si="124"/>
        <v>0</v>
      </c>
      <c r="AL228" s="9">
        <f t="shared" si="125"/>
        <v>0</v>
      </c>
      <c r="AN228" s="9">
        <v>21</v>
      </c>
      <c r="AO228" s="9">
        <f t="shared" si="126"/>
        <v>0</v>
      </c>
      <c r="AP228" s="9">
        <f t="shared" si="127"/>
        <v>0</v>
      </c>
      <c r="AQ228" s="60" t="s">
        <v>1238</v>
      </c>
      <c r="AV228" s="9">
        <f t="shared" si="128"/>
        <v>0</v>
      </c>
      <c r="AW228" s="9">
        <f t="shared" si="129"/>
        <v>0</v>
      </c>
      <c r="AX228" s="9">
        <f t="shared" si="130"/>
        <v>0</v>
      </c>
      <c r="AY228" s="60" t="s">
        <v>1002</v>
      </c>
      <c r="AZ228" s="60" t="s">
        <v>853</v>
      </c>
      <c r="BA228" s="11" t="s">
        <v>1092</v>
      </c>
      <c r="BC228" s="9">
        <f t="shared" si="131"/>
        <v>0</v>
      </c>
      <c r="BD228" s="9">
        <f t="shared" si="132"/>
        <v>0</v>
      </c>
      <c r="BE228" s="9">
        <v>0</v>
      </c>
      <c r="BF228" s="9">
        <f>228</f>
        <v>228</v>
      </c>
      <c r="BH228" s="9">
        <f t="shared" si="133"/>
        <v>0</v>
      </c>
      <c r="BI228" s="9">
        <f t="shared" si="134"/>
        <v>0</v>
      </c>
      <c r="BJ228" s="9">
        <f t="shared" si="135"/>
        <v>0</v>
      </c>
      <c r="BK228" s="9"/>
      <c r="BL228" s="9">
        <v>728</v>
      </c>
      <c r="BW228" s="9">
        <v>21</v>
      </c>
    </row>
    <row r="229" spans="1:75" ht="13.5" customHeight="1">
      <c r="A229" s="16" t="s">
        <v>355</v>
      </c>
      <c r="B229" s="32" t="s">
        <v>5</v>
      </c>
      <c r="C229" s="32" t="s">
        <v>789</v>
      </c>
      <c r="D229" s="69" t="s">
        <v>72</v>
      </c>
      <c r="E229" s="70"/>
      <c r="F229" s="32" t="s">
        <v>1026</v>
      </c>
      <c r="G229" s="9">
        <v>6.5</v>
      </c>
      <c r="H229" s="68">
        <v>0</v>
      </c>
      <c r="I229" s="9">
        <f t="shared" si="114"/>
        <v>0</v>
      </c>
      <c r="K229" s="23"/>
      <c r="Z229" s="9">
        <f t="shared" si="115"/>
        <v>0</v>
      </c>
      <c r="AB229" s="9">
        <f t="shared" si="116"/>
        <v>0</v>
      </c>
      <c r="AC229" s="9">
        <f t="shared" si="117"/>
        <v>0</v>
      </c>
      <c r="AD229" s="9">
        <f t="shared" si="118"/>
        <v>0</v>
      </c>
      <c r="AE229" s="9">
        <f t="shared" si="119"/>
        <v>0</v>
      </c>
      <c r="AF229" s="9">
        <f t="shared" si="120"/>
        <v>0</v>
      </c>
      <c r="AG229" s="9">
        <f t="shared" si="121"/>
        <v>0</v>
      </c>
      <c r="AH229" s="9">
        <f t="shared" si="122"/>
        <v>0</v>
      </c>
      <c r="AI229" s="11" t="s">
        <v>5</v>
      </c>
      <c r="AJ229" s="9">
        <f t="shared" si="123"/>
        <v>0</v>
      </c>
      <c r="AK229" s="9">
        <f t="shared" si="124"/>
        <v>0</v>
      </c>
      <c r="AL229" s="9">
        <f t="shared" si="125"/>
        <v>0</v>
      </c>
      <c r="AN229" s="9">
        <v>21</v>
      </c>
      <c r="AO229" s="9">
        <f t="shared" si="126"/>
        <v>0</v>
      </c>
      <c r="AP229" s="9">
        <f t="shared" si="127"/>
        <v>0</v>
      </c>
      <c r="AQ229" s="60" t="s">
        <v>1238</v>
      </c>
      <c r="AV229" s="9">
        <f t="shared" si="128"/>
        <v>0</v>
      </c>
      <c r="AW229" s="9">
        <f t="shared" si="129"/>
        <v>0</v>
      </c>
      <c r="AX229" s="9">
        <f t="shared" si="130"/>
        <v>0</v>
      </c>
      <c r="AY229" s="60" t="s">
        <v>1002</v>
      </c>
      <c r="AZ229" s="60" t="s">
        <v>853</v>
      </c>
      <c r="BA229" s="11" t="s">
        <v>1092</v>
      </c>
      <c r="BC229" s="9">
        <f t="shared" si="131"/>
        <v>0</v>
      </c>
      <c r="BD229" s="9">
        <f t="shared" si="132"/>
        <v>0</v>
      </c>
      <c r="BE229" s="9">
        <v>0</v>
      </c>
      <c r="BF229" s="9">
        <f>229</f>
        <v>229</v>
      </c>
      <c r="BH229" s="9">
        <f t="shared" si="133"/>
        <v>0</v>
      </c>
      <c r="BI229" s="9">
        <f t="shared" si="134"/>
        <v>0</v>
      </c>
      <c r="BJ229" s="9">
        <f t="shared" si="135"/>
        <v>0</v>
      </c>
      <c r="BK229" s="9"/>
      <c r="BL229" s="9">
        <v>728</v>
      </c>
      <c r="BW229" s="9">
        <v>21</v>
      </c>
    </row>
    <row r="230" spans="1:75" ht="13.5" customHeight="1">
      <c r="A230" s="16" t="s">
        <v>84</v>
      </c>
      <c r="B230" s="32" t="s">
        <v>5</v>
      </c>
      <c r="C230" s="32" t="s">
        <v>864</v>
      </c>
      <c r="D230" s="69" t="s">
        <v>49</v>
      </c>
      <c r="E230" s="70"/>
      <c r="F230" s="32" t="s">
        <v>861</v>
      </c>
      <c r="G230" s="9">
        <v>1</v>
      </c>
      <c r="H230" s="68">
        <v>0</v>
      </c>
      <c r="I230" s="9">
        <f t="shared" si="114"/>
        <v>0</v>
      </c>
      <c r="K230" s="23"/>
      <c r="Z230" s="9">
        <f t="shared" si="115"/>
        <v>0</v>
      </c>
      <c r="AB230" s="9">
        <f t="shared" si="116"/>
        <v>0</v>
      </c>
      <c r="AC230" s="9">
        <f t="shared" si="117"/>
        <v>0</v>
      </c>
      <c r="AD230" s="9">
        <f t="shared" si="118"/>
        <v>0</v>
      </c>
      <c r="AE230" s="9">
        <f t="shared" si="119"/>
        <v>0</v>
      </c>
      <c r="AF230" s="9">
        <f t="shared" si="120"/>
        <v>0</v>
      </c>
      <c r="AG230" s="9">
        <f t="shared" si="121"/>
        <v>0</v>
      </c>
      <c r="AH230" s="9">
        <f t="shared" si="122"/>
        <v>0</v>
      </c>
      <c r="AI230" s="11" t="s">
        <v>5</v>
      </c>
      <c r="AJ230" s="9">
        <f t="shared" si="123"/>
        <v>0</v>
      </c>
      <c r="AK230" s="9">
        <f t="shared" si="124"/>
        <v>0</v>
      </c>
      <c r="AL230" s="9">
        <f t="shared" si="125"/>
        <v>0</v>
      </c>
      <c r="AN230" s="9">
        <v>21</v>
      </c>
      <c r="AO230" s="9">
        <f t="shared" si="126"/>
        <v>0</v>
      </c>
      <c r="AP230" s="9">
        <f t="shared" si="127"/>
        <v>0</v>
      </c>
      <c r="AQ230" s="60" t="s">
        <v>1238</v>
      </c>
      <c r="AV230" s="9">
        <f t="shared" si="128"/>
        <v>0</v>
      </c>
      <c r="AW230" s="9">
        <f t="shared" si="129"/>
        <v>0</v>
      </c>
      <c r="AX230" s="9">
        <f t="shared" si="130"/>
        <v>0</v>
      </c>
      <c r="AY230" s="60" t="s">
        <v>1002</v>
      </c>
      <c r="AZ230" s="60" t="s">
        <v>853</v>
      </c>
      <c r="BA230" s="11" t="s">
        <v>1092</v>
      </c>
      <c r="BC230" s="9">
        <f t="shared" si="131"/>
        <v>0</v>
      </c>
      <c r="BD230" s="9">
        <f t="shared" si="132"/>
        <v>0</v>
      </c>
      <c r="BE230" s="9">
        <v>0</v>
      </c>
      <c r="BF230" s="9">
        <f>230</f>
        <v>230</v>
      </c>
      <c r="BH230" s="9">
        <f t="shared" si="133"/>
        <v>0</v>
      </c>
      <c r="BI230" s="9">
        <f t="shared" si="134"/>
        <v>0</v>
      </c>
      <c r="BJ230" s="9">
        <f t="shared" si="135"/>
        <v>0</v>
      </c>
      <c r="BK230" s="9"/>
      <c r="BL230" s="9">
        <v>728</v>
      </c>
      <c r="BW230" s="9">
        <v>21</v>
      </c>
    </row>
    <row r="231" spans="1:75" ht="13.5" customHeight="1">
      <c r="A231" s="16" t="s">
        <v>193</v>
      </c>
      <c r="B231" s="32" t="s">
        <v>5</v>
      </c>
      <c r="C231" s="32" t="s">
        <v>1379</v>
      </c>
      <c r="D231" s="69" t="s">
        <v>995</v>
      </c>
      <c r="E231" s="70"/>
      <c r="F231" s="32" t="s">
        <v>1026</v>
      </c>
      <c r="G231" s="9">
        <v>14.1</v>
      </c>
      <c r="H231" s="68">
        <v>0</v>
      </c>
      <c r="I231" s="9">
        <f t="shared" si="114"/>
        <v>0</v>
      </c>
      <c r="K231" s="23"/>
      <c r="Z231" s="9">
        <f t="shared" si="115"/>
        <v>0</v>
      </c>
      <c r="AB231" s="9">
        <f t="shared" si="116"/>
        <v>0</v>
      </c>
      <c r="AC231" s="9">
        <f t="shared" si="117"/>
        <v>0</v>
      </c>
      <c r="AD231" s="9">
        <f t="shared" si="118"/>
        <v>0</v>
      </c>
      <c r="AE231" s="9">
        <f t="shared" si="119"/>
        <v>0</v>
      </c>
      <c r="AF231" s="9">
        <f t="shared" si="120"/>
        <v>0</v>
      </c>
      <c r="AG231" s="9">
        <f t="shared" si="121"/>
        <v>0</v>
      </c>
      <c r="AH231" s="9">
        <f t="shared" si="122"/>
        <v>0</v>
      </c>
      <c r="AI231" s="11" t="s">
        <v>5</v>
      </c>
      <c r="AJ231" s="9">
        <f t="shared" si="123"/>
        <v>0</v>
      </c>
      <c r="AK231" s="9">
        <f t="shared" si="124"/>
        <v>0</v>
      </c>
      <c r="AL231" s="9">
        <f t="shared" si="125"/>
        <v>0</v>
      </c>
      <c r="AN231" s="9">
        <v>21</v>
      </c>
      <c r="AO231" s="9">
        <f t="shared" si="126"/>
        <v>0</v>
      </c>
      <c r="AP231" s="9">
        <f t="shared" si="127"/>
        <v>0</v>
      </c>
      <c r="AQ231" s="60" t="s">
        <v>1238</v>
      </c>
      <c r="AV231" s="9">
        <f t="shared" si="128"/>
        <v>0</v>
      </c>
      <c r="AW231" s="9">
        <f t="shared" si="129"/>
        <v>0</v>
      </c>
      <c r="AX231" s="9">
        <f t="shared" si="130"/>
        <v>0</v>
      </c>
      <c r="AY231" s="60" t="s">
        <v>1002</v>
      </c>
      <c r="AZ231" s="60" t="s">
        <v>853</v>
      </c>
      <c r="BA231" s="11" t="s">
        <v>1092</v>
      </c>
      <c r="BC231" s="9">
        <f t="shared" si="131"/>
        <v>0</v>
      </c>
      <c r="BD231" s="9">
        <f t="shared" si="132"/>
        <v>0</v>
      </c>
      <c r="BE231" s="9">
        <v>0</v>
      </c>
      <c r="BF231" s="9">
        <f>231</f>
        <v>231</v>
      </c>
      <c r="BH231" s="9">
        <f t="shared" si="133"/>
        <v>0</v>
      </c>
      <c r="BI231" s="9">
        <f t="shared" si="134"/>
        <v>0</v>
      </c>
      <c r="BJ231" s="9">
        <f t="shared" si="135"/>
        <v>0</v>
      </c>
      <c r="BK231" s="9"/>
      <c r="BL231" s="9">
        <v>728</v>
      </c>
      <c r="BW231" s="9">
        <v>21</v>
      </c>
    </row>
    <row r="232" spans="1:75" ht="13.5" customHeight="1">
      <c r="A232" s="16" t="s">
        <v>1129</v>
      </c>
      <c r="B232" s="32" t="s">
        <v>5</v>
      </c>
      <c r="C232" s="32" t="s">
        <v>1276</v>
      </c>
      <c r="D232" s="69" t="s">
        <v>648</v>
      </c>
      <c r="E232" s="70"/>
      <c r="F232" s="32" t="s">
        <v>861</v>
      </c>
      <c r="G232" s="9">
        <v>4</v>
      </c>
      <c r="H232" s="68">
        <v>0</v>
      </c>
      <c r="I232" s="9">
        <f t="shared" si="114"/>
        <v>0</v>
      </c>
      <c r="K232" s="23"/>
      <c r="Z232" s="9">
        <f t="shared" si="115"/>
        <v>0</v>
      </c>
      <c r="AB232" s="9">
        <f t="shared" si="116"/>
        <v>0</v>
      </c>
      <c r="AC232" s="9">
        <f t="shared" si="117"/>
        <v>0</v>
      </c>
      <c r="AD232" s="9">
        <f t="shared" si="118"/>
        <v>0</v>
      </c>
      <c r="AE232" s="9">
        <f t="shared" si="119"/>
        <v>0</v>
      </c>
      <c r="AF232" s="9">
        <f t="shared" si="120"/>
        <v>0</v>
      </c>
      <c r="AG232" s="9">
        <f t="shared" si="121"/>
        <v>0</v>
      </c>
      <c r="AH232" s="9">
        <f t="shared" si="122"/>
        <v>0</v>
      </c>
      <c r="AI232" s="11" t="s">
        <v>5</v>
      </c>
      <c r="AJ232" s="9">
        <f t="shared" si="123"/>
        <v>0</v>
      </c>
      <c r="AK232" s="9">
        <f t="shared" si="124"/>
        <v>0</v>
      </c>
      <c r="AL232" s="9">
        <f t="shared" si="125"/>
        <v>0</v>
      </c>
      <c r="AN232" s="9">
        <v>21</v>
      </c>
      <c r="AO232" s="9">
        <f t="shared" si="126"/>
        <v>0</v>
      </c>
      <c r="AP232" s="9">
        <f t="shared" si="127"/>
        <v>0</v>
      </c>
      <c r="AQ232" s="60" t="s">
        <v>1238</v>
      </c>
      <c r="AV232" s="9">
        <f t="shared" si="128"/>
        <v>0</v>
      </c>
      <c r="AW232" s="9">
        <f t="shared" si="129"/>
        <v>0</v>
      </c>
      <c r="AX232" s="9">
        <f t="shared" si="130"/>
        <v>0</v>
      </c>
      <c r="AY232" s="60" t="s">
        <v>1002</v>
      </c>
      <c r="AZ232" s="60" t="s">
        <v>853</v>
      </c>
      <c r="BA232" s="11" t="s">
        <v>1092</v>
      </c>
      <c r="BC232" s="9">
        <f t="shared" si="131"/>
        <v>0</v>
      </c>
      <c r="BD232" s="9">
        <f t="shared" si="132"/>
        <v>0</v>
      </c>
      <c r="BE232" s="9">
        <v>0</v>
      </c>
      <c r="BF232" s="9">
        <f>232</f>
        <v>232</v>
      </c>
      <c r="BH232" s="9">
        <f t="shared" si="133"/>
        <v>0</v>
      </c>
      <c r="BI232" s="9">
        <f t="shared" si="134"/>
        <v>0</v>
      </c>
      <c r="BJ232" s="9">
        <f t="shared" si="135"/>
        <v>0</v>
      </c>
      <c r="BK232" s="9"/>
      <c r="BL232" s="9">
        <v>728</v>
      </c>
      <c r="BW232" s="9">
        <v>21</v>
      </c>
    </row>
    <row r="233" spans="1:75" ht="27" customHeight="1">
      <c r="A233" s="16" t="s">
        <v>751</v>
      </c>
      <c r="B233" s="32" t="s">
        <v>5</v>
      </c>
      <c r="C233" s="32" t="s">
        <v>1182</v>
      </c>
      <c r="D233" s="69" t="s">
        <v>591</v>
      </c>
      <c r="E233" s="70"/>
      <c r="F233" s="32" t="s">
        <v>861</v>
      </c>
      <c r="G233" s="9">
        <v>2</v>
      </c>
      <c r="H233" s="68">
        <v>0</v>
      </c>
      <c r="I233" s="9">
        <f t="shared" si="114"/>
        <v>0</v>
      </c>
      <c r="K233" s="23"/>
      <c r="Z233" s="9">
        <f t="shared" si="115"/>
        <v>0</v>
      </c>
      <c r="AB233" s="9">
        <f t="shared" si="116"/>
        <v>0</v>
      </c>
      <c r="AC233" s="9">
        <f t="shared" si="117"/>
        <v>0</v>
      </c>
      <c r="AD233" s="9">
        <f t="shared" si="118"/>
        <v>0</v>
      </c>
      <c r="AE233" s="9">
        <f t="shared" si="119"/>
        <v>0</v>
      </c>
      <c r="AF233" s="9">
        <f t="shared" si="120"/>
        <v>0</v>
      </c>
      <c r="AG233" s="9">
        <f t="shared" si="121"/>
        <v>0</v>
      </c>
      <c r="AH233" s="9">
        <f t="shared" si="122"/>
        <v>0</v>
      </c>
      <c r="AI233" s="11" t="s">
        <v>5</v>
      </c>
      <c r="AJ233" s="9">
        <f t="shared" si="123"/>
        <v>0</v>
      </c>
      <c r="AK233" s="9">
        <f t="shared" si="124"/>
        <v>0</v>
      </c>
      <c r="AL233" s="9">
        <f t="shared" si="125"/>
        <v>0</v>
      </c>
      <c r="AN233" s="9">
        <v>21</v>
      </c>
      <c r="AO233" s="9">
        <f t="shared" si="126"/>
        <v>0</v>
      </c>
      <c r="AP233" s="9">
        <f t="shared" si="127"/>
        <v>0</v>
      </c>
      <c r="AQ233" s="60" t="s">
        <v>1238</v>
      </c>
      <c r="AV233" s="9">
        <f t="shared" si="128"/>
        <v>0</v>
      </c>
      <c r="AW233" s="9">
        <f t="shared" si="129"/>
        <v>0</v>
      </c>
      <c r="AX233" s="9">
        <f t="shared" si="130"/>
        <v>0</v>
      </c>
      <c r="AY233" s="60" t="s">
        <v>1002</v>
      </c>
      <c r="AZ233" s="60" t="s">
        <v>853</v>
      </c>
      <c r="BA233" s="11" t="s">
        <v>1092</v>
      </c>
      <c r="BC233" s="9">
        <f t="shared" si="131"/>
        <v>0</v>
      </c>
      <c r="BD233" s="9">
        <f t="shared" si="132"/>
        <v>0</v>
      </c>
      <c r="BE233" s="9">
        <v>0</v>
      </c>
      <c r="BF233" s="9">
        <f>233</f>
        <v>233</v>
      </c>
      <c r="BH233" s="9">
        <f t="shared" si="133"/>
        <v>0</v>
      </c>
      <c r="BI233" s="9">
        <f t="shared" si="134"/>
        <v>0</v>
      </c>
      <c r="BJ233" s="9">
        <f t="shared" si="135"/>
        <v>0</v>
      </c>
      <c r="BK233" s="9"/>
      <c r="BL233" s="9">
        <v>728</v>
      </c>
      <c r="BW233" s="9">
        <v>21</v>
      </c>
    </row>
    <row r="234" spans="1:75" ht="27" customHeight="1">
      <c r="A234" s="16" t="s">
        <v>354</v>
      </c>
      <c r="B234" s="32" t="s">
        <v>5</v>
      </c>
      <c r="C234" s="32" t="s">
        <v>654</v>
      </c>
      <c r="D234" s="69" t="s">
        <v>62</v>
      </c>
      <c r="E234" s="70"/>
      <c r="F234" s="32" t="s">
        <v>861</v>
      </c>
      <c r="G234" s="9">
        <v>4</v>
      </c>
      <c r="H234" s="68">
        <v>0</v>
      </c>
      <c r="I234" s="9">
        <f t="shared" si="114"/>
        <v>0</v>
      </c>
      <c r="K234" s="23"/>
      <c r="Z234" s="9">
        <f t="shared" si="115"/>
        <v>0</v>
      </c>
      <c r="AB234" s="9">
        <f t="shared" si="116"/>
        <v>0</v>
      </c>
      <c r="AC234" s="9">
        <f t="shared" si="117"/>
        <v>0</v>
      </c>
      <c r="AD234" s="9">
        <f t="shared" si="118"/>
        <v>0</v>
      </c>
      <c r="AE234" s="9">
        <f t="shared" si="119"/>
        <v>0</v>
      </c>
      <c r="AF234" s="9">
        <f t="shared" si="120"/>
        <v>0</v>
      </c>
      <c r="AG234" s="9">
        <f t="shared" si="121"/>
        <v>0</v>
      </c>
      <c r="AH234" s="9">
        <f t="shared" si="122"/>
        <v>0</v>
      </c>
      <c r="AI234" s="11" t="s">
        <v>5</v>
      </c>
      <c r="AJ234" s="9">
        <f t="shared" si="123"/>
        <v>0</v>
      </c>
      <c r="AK234" s="9">
        <f t="shared" si="124"/>
        <v>0</v>
      </c>
      <c r="AL234" s="9">
        <f t="shared" si="125"/>
        <v>0</v>
      </c>
      <c r="AN234" s="9">
        <v>21</v>
      </c>
      <c r="AO234" s="9">
        <f t="shared" si="126"/>
        <v>0</v>
      </c>
      <c r="AP234" s="9">
        <f t="shared" si="127"/>
        <v>0</v>
      </c>
      <c r="AQ234" s="60" t="s">
        <v>1238</v>
      </c>
      <c r="AV234" s="9">
        <f t="shared" si="128"/>
        <v>0</v>
      </c>
      <c r="AW234" s="9">
        <f t="shared" si="129"/>
        <v>0</v>
      </c>
      <c r="AX234" s="9">
        <f t="shared" si="130"/>
        <v>0</v>
      </c>
      <c r="AY234" s="60" t="s">
        <v>1002</v>
      </c>
      <c r="AZ234" s="60" t="s">
        <v>853</v>
      </c>
      <c r="BA234" s="11" t="s">
        <v>1092</v>
      </c>
      <c r="BC234" s="9">
        <f t="shared" si="131"/>
        <v>0</v>
      </c>
      <c r="BD234" s="9">
        <f t="shared" si="132"/>
        <v>0</v>
      </c>
      <c r="BE234" s="9">
        <v>0</v>
      </c>
      <c r="BF234" s="9">
        <f>234</f>
        <v>234</v>
      </c>
      <c r="BH234" s="9">
        <f t="shared" si="133"/>
        <v>0</v>
      </c>
      <c r="BI234" s="9">
        <f t="shared" si="134"/>
        <v>0</v>
      </c>
      <c r="BJ234" s="9">
        <f t="shared" si="135"/>
        <v>0</v>
      </c>
      <c r="BK234" s="9"/>
      <c r="BL234" s="9">
        <v>728</v>
      </c>
      <c r="BW234" s="9">
        <v>21</v>
      </c>
    </row>
    <row r="235" spans="1:75" ht="27" customHeight="1">
      <c r="A235" s="16" t="s">
        <v>1014</v>
      </c>
      <c r="B235" s="32" t="s">
        <v>5</v>
      </c>
      <c r="C235" s="32" t="s">
        <v>224</v>
      </c>
      <c r="D235" s="69" t="s">
        <v>835</v>
      </c>
      <c r="E235" s="70"/>
      <c r="F235" s="32" t="s">
        <v>861</v>
      </c>
      <c r="G235" s="9">
        <v>1</v>
      </c>
      <c r="H235" s="68">
        <v>0</v>
      </c>
      <c r="I235" s="9">
        <f t="shared" si="114"/>
        <v>0</v>
      </c>
      <c r="K235" s="23"/>
      <c r="Z235" s="9">
        <f t="shared" si="115"/>
        <v>0</v>
      </c>
      <c r="AB235" s="9">
        <f t="shared" si="116"/>
        <v>0</v>
      </c>
      <c r="AC235" s="9">
        <f t="shared" si="117"/>
        <v>0</v>
      </c>
      <c r="AD235" s="9">
        <f t="shared" si="118"/>
        <v>0</v>
      </c>
      <c r="AE235" s="9">
        <f t="shared" si="119"/>
        <v>0</v>
      </c>
      <c r="AF235" s="9">
        <f t="shared" si="120"/>
        <v>0</v>
      </c>
      <c r="AG235" s="9">
        <f t="shared" si="121"/>
        <v>0</v>
      </c>
      <c r="AH235" s="9">
        <f t="shared" si="122"/>
        <v>0</v>
      </c>
      <c r="AI235" s="11" t="s">
        <v>5</v>
      </c>
      <c r="AJ235" s="9">
        <f t="shared" si="123"/>
        <v>0</v>
      </c>
      <c r="AK235" s="9">
        <f t="shared" si="124"/>
        <v>0</v>
      </c>
      <c r="AL235" s="9">
        <f t="shared" si="125"/>
        <v>0</v>
      </c>
      <c r="AN235" s="9">
        <v>21</v>
      </c>
      <c r="AO235" s="9">
        <f t="shared" si="126"/>
        <v>0</v>
      </c>
      <c r="AP235" s="9">
        <f t="shared" si="127"/>
        <v>0</v>
      </c>
      <c r="AQ235" s="60" t="s">
        <v>1238</v>
      </c>
      <c r="AV235" s="9">
        <f t="shared" si="128"/>
        <v>0</v>
      </c>
      <c r="AW235" s="9">
        <f t="shared" si="129"/>
        <v>0</v>
      </c>
      <c r="AX235" s="9">
        <f t="shared" si="130"/>
        <v>0</v>
      </c>
      <c r="AY235" s="60" t="s">
        <v>1002</v>
      </c>
      <c r="AZ235" s="60" t="s">
        <v>853</v>
      </c>
      <c r="BA235" s="11" t="s">
        <v>1092</v>
      </c>
      <c r="BC235" s="9">
        <f t="shared" si="131"/>
        <v>0</v>
      </c>
      <c r="BD235" s="9">
        <f t="shared" si="132"/>
        <v>0</v>
      </c>
      <c r="BE235" s="9">
        <v>0</v>
      </c>
      <c r="BF235" s="9">
        <f>235</f>
        <v>235</v>
      </c>
      <c r="BH235" s="9">
        <f t="shared" si="133"/>
        <v>0</v>
      </c>
      <c r="BI235" s="9">
        <f t="shared" si="134"/>
        <v>0</v>
      </c>
      <c r="BJ235" s="9">
        <f t="shared" si="135"/>
        <v>0</v>
      </c>
      <c r="BK235" s="9"/>
      <c r="BL235" s="9">
        <v>728</v>
      </c>
      <c r="BW235" s="9">
        <v>21</v>
      </c>
    </row>
    <row r="236" spans="1:75" ht="13.5" customHeight="1">
      <c r="A236" s="16" t="s">
        <v>1297</v>
      </c>
      <c r="B236" s="32" t="s">
        <v>5</v>
      </c>
      <c r="C236" s="32" t="s">
        <v>175</v>
      </c>
      <c r="D236" s="69" t="s">
        <v>1298</v>
      </c>
      <c r="E236" s="70"/>
      <c r="F236" s="32" t="s">
        <v>861</v>
      </c>
      <c r="G236" s="9">
        <v>1</v>
      </c>
      <c r="H236" s="68">
        <v>0</v>
      </c>
      <c r="I236" s="9">
        <f t="shared" si="114"/>
        <v>0</v>
      </c>
      <c r="K236" s="23"/>
      <c r="Z236" s="9">
        <f t="shared" si="115"/>
        <v>0</v>
      </c>
      <c r="AB236" s="9">
        <f t="shared" si="116"/>
        <v>0</v>
      </c>
      <c r="AC236" s="9">
        <f t="shared" si="117"/>
        <v>0</v>
      </c>
      <c r="AD236" s="9">
        <f t="shared" si="118"/>
        <v>0</v>
      </c>
      <c r="AE236" s="9">
        <f t="shared" si="119"/>
        <v>0</v>
      </c>
      <c r="AF236" s="9">
        <f t="shared" si="120"/>
        <v>0</v>
      </c>
      <c r="AG236" s="9">
        <f t="shared" si="121"/>
        <v>0</v>
      </c>
      <c r="AH236" s="9">
        <f t="shared" si="122"/>
        <v>0</v>
      </c>
      <c r="AI236" s="11" t="s">
        <v>5</v>
      </c>
      <c r="AJ236" s="9">
        <f t="shared" si="123"/>
        <v>0</v>
      </c>
      <c r="AK236" s="9">
        <f t="shared" si="124"/>
        <v>0</v>
      </c>
      <c r="AL236" s="9">
        <f t="shared" si="125"/>
        <v>0</v>
      </c>
      <c r="AN236" s="9">
        <v>21</v>
      </c>
      <c r="AO236" s="9">
        <f t="shared" si="126"/>
        <v>0</v>
      </c>
      <c r="AP236" s="9">
        <f t="shared" si="127"/>
        <v>0</v>
      </c>
      <c r="AQ236" s="60" t="s">
        <v>1238</v>
      </c>
      <c r="AV236" s="9">
        <f t="shared" si="128"/>
        <v>0</v>
      </c>
      <c r="AW236" s="9">
        <f t="shared" si="129"/>
        <v>0</v>
      </c>
      <c r="AX236" s="9">
        <f t="shared" si="130"/>
        <v>0</v>
      </c>
      <c r="AY236" s="60" t="s">
        <v>1002</v>
      </c>
      <c r="AZ236" s="60" t="s">
        <v>853</v>
      </c>
      <c r="BA236" s="11" t="s">
        <v>1092</v>
      </c>
      <c r="BC236" s="9">
        <f t="shared" si="131"/>
        <v>0</v>
      </c>
      <c r="BD236" s="9">
        <f t="shared" si="132"/>
        <v>0</v>
      </c>
      <c r="BE236" s="9">
        <v>0</v>
      </c>
      <c r="BF236" s="9">
        <f>236</f>
        <v>236</v>
      </c>
      <c r="BH236" s="9">
        <f t="shared" si="133"/>
        <v>0</v>
      </c>
      <c r="BI236" s="9">
        <f t="shared" si="134"/>
        <v>0</v>
      </c>
      <c r="BJ236" s="9">
        <f t="shared" si="135"/>
        <v>0</v>
      </c>
      <c r="BK236" s="9"/>
      <c r="BL236" s="9">
        <v>728</v>
      </c>
      <c r="BW236" s="9">
        <v>21</v>
      </c>
    </row>
    <row r="237" spans="1:75" ht="13.5" customHeight="1">
      <c r="A237" s="16" t="s">
        <v>311</v>
      </c>
      <c r="B237" s="32" t="s">
        <v>5</v>
      </c>
      <c r="C237" s="32" t="s">
        <v>615</v>
      </c>
      <c r="D237" s="69" t="s">
        <v>886</v>
      </c>
      <c r="E237" s="70"/>
      <c r="F237" s="32" t="s">
        <v>861</v>
      </c>
      <c r="G237" s="9">
        <v>1</v>
      </c>
      <c r="H237" s="68">
        <v>0</v>
      </c>
      <c r="I237" s="9">
        <f t="shared" si="114"/>
        <v>0</v>
      </c>
      <c r="K237" s="23"/>
      <c r="Z237" s="9">
        <f t="shared" si="115"/>
        <v>0</v>
      </c>
      <c r="AB237" s="9">
        <f t="shared" si="116"/>
        <v>0</v>
      </c>
      <c r="AC237" s="9">
        <f t="shared" si="117"/>
        <v>0</v>
      </c>
      <c r="AD237" s="9">
        <f t="shared" si="118"/>
        <v>0</v>
      </c>
      <c r="AE237" s="9">
        <f t="shared" si="119"/>
        <v>0</v>
      </c>
      <c r="AF237" s="9">
        <f t="shared" si="120"/>
        <v>0</v>
      </c>
      <c r="AG237" s="9">
        <f t="shared" si="121"/>
        <v>0</v>
      </c>
      <c r="AH237" s="9">
        <f t="shared" si="122"/>
        <v>0</v>
      </c>
      <c r="AI237" s="11" t="s">
        <v>5</v>
      </c>
      <c r="AJ237" s="9">
        <f t="shared" si="123"/>
        <v>0</v>
      </c>
      <c r="AK237" s="9">
        <f t="shared" si="124"/>
        <v>0</v>
      </c>
      <c r="AL237" s="9">
        <f t="shared" si="125"/>
        <v>0</v>
      </c>
      <c r="AN237" s="9">
        <v>21</v>
      </c>
      <c r="AO237" s="9">
        <f t="shared" si="126"/>
        <v>0</v>
      </c>
      <c r="AP237" s="9">
        <f t="shared" si="127"/>
        <v>0</v>
      </c>
      <c r="AQ237" s="60" t="s">
        <v>1238</v>
      </c>
      <c r="AV237" s="9">
        <f t="shared" si="128"/>
        <v>0</v>
      </c>
      <c r="AW237" s="9">
        <f t="shared" si="129"/>
        <v>0</v>
      </c>
      <c r="AX237" s="9">
        <f t="shared" si="130"/>
        <v>0</v>
      </c>
      <c r="AY237" s="60" t="s">
        <v>1002</v>
      </c>
      <c r="AZ237" s="60" t="s">
        <v>853</v>
      </c>
      <c r="BA237" s="11" t="s">
        <v>1092</v>
      </c>
      <c r="BC237" s="9">
        <f t="shared" si="131"/>
        <v>0</v>
      </c>
      <c r="BD237" s="9">
        <f t="shared" si="132"/>
        <v>0</v>
      </c>
      <c r="BE237" s="9">
        <v>0</v>
      </c>
      <c r="BF237" s="9">
        <f>237</f>
        <v>237</v>
      </c>
      <c r="BH237" s="9">
        <f t="shared" si="133"/>
        <v>0</v>
      </c>
      <c r="BI237" s="9">
        <f t="shared" si="134"/>
        <v>0</v>
      </c>
      <c r="BJ237" s="9">
        <f t="shared" si="135"/>
        <v>0</v>
      </c>
      <c r="BK237" s="9"/>
      <c r="BL237" s="9">
        <v>728</v>
      </c>
      <c r="BW237" s="9">
        <v>21</v>
      </c>
    </row>
    <row r="238" spans="1:75" ht="13.5" customHeight="1">
      <c r="A238" s="16" t="s">
        <v>1340</v>
      </c>
      <c r="B238" s="32" t="s">
        <v>5</v>
      </c>
      <c r="C238" s="32" t="s">
        <v>586</v>
      </c>
      <c r="D238" s="69" t="s">
        <v>463</v>
      </c>
      <c r="E238" s="70"/>
      <c r="F238" s="32" t="s">
        <v>861</v>
      </c>
      <c r="G238" s="9">
        <v>1</v>
      </c>
      <c r="H238" s="68">
        <v>0</v>
      </c>
      <c r="I238" s="9">
        <f t="shared" si="114"/>
        <v>0</v>
      </c>
      <c r="K238" s="23"/>
      <c r="Z238" s="9">
        <f t="shared" si="115"/>
        <v>0</v>
      </c>
      <c r="AB238" s="9">
        <f t="shared" si="116"/>
        <v>0</v>
      </c>
      <c r="AC238" s="9">
        <f t="shared" si="117"/>
        <v>0</v>
      </c>
      <c r="AD238" s="9">
        <f t="shared" si="118"/>
        <v>0</v>
      </c>
      <c r="AE238" s="9">
        <f t="shared" si="119"/>
        <v>0</v>
      </c>
      <c r="AF238" s="9">
        <f t="shared" si="120"/>
        <v>0</v>
      </c>
      <c r="AG238" s="9">
        <f t="shared" si="121"/>
        <v>0</v>
      </c>
      <c r="AH238" s="9">
        <f t="shared" si="122"/>
        <v>0</v>
      </c>
      <c r="AI238" s="11" t="s">
        <v>5</v>
      </c>
      <c r="AJ238" s="9">
        <f t="shared" si="123"/>
        <v>0</v>
      </c>
      <c r="AK238" s="9">
        <f t="shared" si="124"/>
        <v>0</v>
      </c>
      <c r="AL238" s="9">
        <f t="shared" si="125"/>
        <v>0</v>
      </c>
      <c r="AN238" s="9">
        <v>21</v>
      </c>
      <c r="AO238" s="9">
        <f t="shared" si="126"/>
        <v>0</v>
      </c>
      <c r="AP238" s="9">
        <f t="shared" si="127"/>
        <v>0</v>
      </c>
      <c r="AQ238" s="60" t="s">
        <v>1238</v>
      </c>
      <c r="AV238" s="9">
        <f t="shared" si="128"/>
        <v>0</v>
      </c>
      <c r="AW238" s="9">
        <f t="shared" si="129"/>
        <v>0</v>
      </c>
      <c r="AX238" s="9">
        <f t="shared" si="130"/>
        <v>0</v>
      </c>
      <c r="AY238" s="60" t="s">
        <v>1002</v>
      </c>
      <c r="AZ238" s="60" t="s">
        <v>853</v>
      </c>
      <c r="BA238" s="11" t="s">
        <v>1092</v>
      </c>
      <c r="BC238" s="9">
        <f t="shared" si="131"/>
        <v>0</v>
      </c>
      <c r="BD238" s="9">
        <f t="shared" si="132"/>
        <v>0</v>
      </c>
      <c r="BE238" s="9">
        <v>0</v>
      </c>
      <c r="BF238" s="9">
        <f>238</f>
        <v>238</v>
      </c>
      <c r="BH238" s="9">
        <f t="shared" si="133"/>
        <v>0</v>
      </c>
      <c r="BI238" s="9">
        <f t="shared" si="134"/>
        <v>0</v>
      </c>
      <c r="BJ238" s="9">
        <f t="shared" si="135"/>
        <v>0</v>
      </c>
      <c r="BK238" s="9"/>
      <c r="BL238" s="9">
        <v>728</v>
      </c>
      <c r="BW238" s="9">
        <v>21</v>
      </c>
    </row>
    <row r="239" spans="1:75" ht="13.5" customHeight="1">
      <c r="A239" s="16" t="s">
        <v>420</v>
      </c>
      <c r="B239" s="32" t="s">
        <v>5</v>
      </c>
      <c r="C239" s="32" t="s">
        <v>1261</v>
      </c>
      <c r="D239" s="69" t="s">
        <v>260</v>
      </c>
      <c r="E239" s="70"/>
      <c r="F239" s="32" t="s">
        <v>861</v>
      </c>
      <c r="G239" s="9">
        <v>1</v>
      </c>
      <c r="H239" s="68">
        <v>0</v>
      </c>
      <c r="I239" s="9">
        <f t="shared" si="114"/>
        <v>0</v>
      </c>
      <c r="K239" s="23"/>
      <c r="Z239" s="9">
        <f t="shared" si="115"/>
        <v>0</v>
      </c>
      <c r="AB239" s="9">
        <f t="shared" si="116"/>
        <v>0</v>
      </c>
      <c r="AC239" s="9">
        <f t="shared" si="117"/>
        <v>0</v>
      </c>
      <c r="AD239" s="9">
        <f t="shared" si="118"/>
        <v>0</v>
      </c>
      <c r="AE239" s="9">
        <f t="shared" si="119"/>
        <v>0</v>
      </c>
      <c r="AF239" s="9">
        <f t="shared" si="120"/>
        <v>0</v>
      </c>
      <c r="AG239" s="9">
        <f t="shared" si="121"/>
        <v>0</v>
      </c>
      <c r="AH239" s="9">
        <f t="shared" si="122"/>
        <v>0</v>
      </c>
      <c r="AI239" s="11" t="s">
        <v>5</v>
      </c>
      <c r="AJ239" s="9">
        <f t="shared" si="123"/>
        <v>0</v>
      </c>
      <c r="AK239" s="9">
        <f t="shared" si="124"/>
        <v>0</v>
      </c>
      <c r="AL239" s="9">
        <f t="shared" si="125"/>
        <v>0</v>
      </c>
      <c r="AN239" s="9">
        <v>21</v>
      </c>
      <c r="AO239" s="9">
        <f t="shared" si="126"/>
        <v>0</v>
      </c>
      <c r="AP239" s="9">
        <f t="shared" si="127"/>
        <v>0</v>
      </c>
      <c r="AQ239" s="60" t="s">
        <v>1238</v>
      </c>
      <c r="AV239" s="9">
        <f t="shared" si="128"/>
        <v>0</v>
      </c>
      <c r="AW239" s="9">
        <f t="shared" si="129"/>
        <v>0</v>
      </c>
      <c r="AX239" s="9">
        <f t="shared" si="130"/>
        <v>0</v>
      </c>
      <c r="AY239" s="60" t="s">
        <v>1002</v>
      </c>
      <c r="AZ239" s="60" t="s">
        <v>853</v>
      </c>
      <c r="BA239" s="11" t="s">
        <v>1092</v>
      </c>
      <c r="BC239" s="9">
        <f t="shared" si="131"/>
        <v>0</v>
      </c>
      <c r="BD239" s="9">
        <f t="shared" si="132"/>
        <v>0</v>
      </c>
      <c r="BE239" s="9">
        <v>0</v>
      </c>
      <c r="BF239" s="9">
        <f>239</f>
        <v>239</v>
      </c>
      <c r="BH239" s="9">
        <f t="shared" si="133"/>
        <v>0</v>
      </c>
      <c r="BI239" s="9">
        <f t="shared" si="134"/>
        <v>0</v>
      </c>
      <c r="BJ239" s="9">
        <f t="shared" si="135"/>
        <v>0</v>
      </c>
      <c r="BK239" s="9"/>
      <c r="BL239" s="9">
        <v>728</v>
      </c>
      <c r="BW239" s="9">
        <v>21</v>
      </c>
    </row>
    <row r="240" spans="1:75" ht="13.5" customHeight="1">
      <c r="A240" s="16" t="s">
        <v>1004</v>
      </c>
      <c r="B240" s="32" t="s">
        <v>5</v>
      </c>
      <c r="C240" s="32" t="s">
        <v>932</v>
      </c>
      <c r="D240" s="69" t="s">
        <v>28</v>
      </c>
      <c r="E240" s="70"/>
      <c r="F240" s="32" t="s">
        <v>861</v>
      </c>
      <c r="G240" s="9">
        <v>4</v>
      </c>
      <c r="H240" s="68">
        <v>0</v>
      </c>
      <c r="I240" s="9">
        <f t="shared" si="114"/>
        <v>0</v>
      </c>
      <c r="K240" s="23"/>
      <c r="Z240" s="9">
        <f t="shared" si="115"/>
        <v>0</v>
      </c>
      <c r="AB240" s="9">
        <f t="shared" si="116"/>
        <v>0</v>
      </c>
      <c r="AC240" s="9">
        <f t="shared" si="117"/>
        <v>0</v>
      </c>
      <c r="AD240" s="9">
        <f t="shared" si="118"/>
        <v>0</v>
      </c>
      <c r="AE240" s="9">
        <f t="shared" si="119"/>
        <v>0</v>
      </c>
      <c r="AF240" s="9">
        <f t="shared" si="120"/>
        <v>0</v>
      </c>
      <c r="AG240" s="9">
        <f t="shared" si="121"/>
        <v>0</v>
      </c>
      <c r="AH240" s="9">
        <f t="shared" si="122"/>
        <v>0</v>
      </c>
      <c r="AI240" s="11" t="s">
        <v>5</v>
      </c>
      <c r="AJ240" s="9">
        <f t="shared" si="123"/>
        <v>0</v>
      </c>
      <c r="AK240" s="9">
        <f t="shared" si="124"/>
        <v>0</v>
      </c>
      <c r="AL240" s="9">
        <f t="shared" si="125"/>
        <v>0</v>
      </c>
      <c r="AN240" s="9">
        <v>21</v>
      </c>
      <c r="AO240" s="9">
        <f t="shared" si="126"/>
        <v>0</v>
      </c>
      <c r="AP240" s="9">
        <f t="shared" si="127"/>
        <v>0</v>
      </c>
      <c r="AQ240" s="60" t="s">
        <v>1238</v>
      </c>
      <c r="AV240" s="9">
        <f t="shared" si="128"/>
        <v>0</v>
      </c>
      <c r="AW240" s="9">
        <f t="shared" si="129"/>
        <v>0</v>
      </c>
      <c r="AX240" s="9">
        <f t="shared" si="130"/>
        <v>0</v>
      </c>
      <c r="AY240" s="60" t="s">
        <v>1002</v>
      </c>
      <c r="AZ240" s="60" t="s">
        <v>853</v>
      </c>
      <c r="BA240" s="11" t="s">
        <v>1092</v>
      </c>
      <c r="BC240" s="9">
        <f t="shared" si="131"/>
        <v>0</v>
      </c>
      <c r="BD240" s="9">
        <f t="shared" si="132"/>
        <v>0</v>
      </c>
      <c r="BE240" s="9">
        <v>0</v>
      </c>
      <c r="BF240" s="9">
        <f>240</f>
        <v>240</v>
      </c>
      <c r="BH240" s="9">
        <f t="shared" si="133"/>
        <v>0</v>
      </c>
      <c r="BI240" s="9">
        <f t="shared" si="134"/>
        <v>0</v>
      </c>
      <c r="BJ240" s="9">
        <f t="shared" si="135"/>
        <v>0</v>
      </c>
      <c r="BK240" s="9"/>
      <c r="BL240" s="9">
        <v>728</v>
      </c>
      <c r="BW240" s="9">
        <v>21</v>
      </c>
    </row>
    <row r="241" spans="1:75" ht="13.5" customHeight="1">
      <c r="A241" s="16" t="s">
        <v>657</v>
      </c>
      <c r="B241" s="32" t="s">
        <v>5</v>
      </c>
      <c r="C241" s="32" t="s">
        <v>309</v>
      </c>
      <c r="D241" s="69" t="s">
        <v>398</v>
      </c>
      <c r="E241" s="70"/>
      <c r="F241" s="32" t="s">
        <v>861</v>
      </c>
      <c r="G241" s="9">
        <v>8</v>
      </c>
      <c r="H241" s="68">
        <v>0</v>
      </c>
      <c r="I241" s="9">
        <f t="shared" si="114"/>
        <v>0</v>
      </c>
      <c r="K241" s="23"/>
      <c r="Z241" s="9">
        <f t="shared" si="115"/>
        <v>0</v>
      </c>
      <c r="AB241" s="9">
        <f t="shared" si="116"/>
        <v>0</v>
      </c>
      <c r="AC241" s="9">
        <f t="shared" si="117"/>
        <v>0</v>
      </c>
      <c r="AD241" s="9">
        <f t="shared" si="118"/>
        <v>0</v>
      </c>
      <c r="AE241" s="9">
        <f t="shared" si="119"/>
        <v>0</v>
      </c>
      <c r="AF241" s="9">
        <f t="shared" si="120"/>
        <v>0</v>
      </c>
      <c r="AG241" s="9">
        <f t="shared" si="121"/>
        <v>0</v>
      </c>
      <c r="AH241" s="9">
        <f t="shared" si="122"/>
        <v>0</v>
      </c>
      <c r="AI241" s="11" t="s">
        <v>5</v>
      </c>
      <c r="AJ241" s="9">
        <f t="shared" si="123"/>
        <v>0</v>
      </c>
      <c r="AK241" s="9">
        <f t="shared" si="124"/>
        <v>0</v>
      </c>
      <c r="AL241" s="9">
        <f t="shared" si="125"/>
        <v>0</v>
      </c>
      <c r="AN241" s="9">
        <v>21</v>
      </c>
      <c r="AO241" s="9">
        <f t="shared" si="126"/>
        <v>0</v>
      </c>
      <c r="AP241" s="9">
        <f t="shared" si="127"/>
        <v>0</v>
      </c>
      <c r="AQ241" s="60" t="s">
        <v>1238</v>
      </c>
      <c r="AV241" s="9">
        <f t="shared" si="128"/>
        <v>0</v>
      </c>
      <c r="AW241" s="9">
        <f t="shared" si="129"/>
        <v>0</v>
      </c>
      <c r="AX241" s="9">
        <f t="shared" si="130"/>
        <v>0</v>
      </c>
      <c r="AY241" s="60" t="s">
        <v>1002</v>
      </c>
      <c r="AZ241" s="60" t="s">
        <v>853</v>
      </c>
      <c r="BA241" s="11" t="s">
        <v>1092</v>
      </c>
      <c r="BC241" s="9">
        <f t="shared" si="131"/>
        <v>0</v>
      </c>
      <c r="BD241" s="9">
        <f t="shared" si="132"/>
        <v>0</v>
      </c>
      <c r="BE241" s="9">
        <v>0</v>
      </c>
      <c r="BF241" s="9">
        <f>241</f>
        <v>241</v>
      </c>
      <c r="BH241" s="9">
        <f t="shared" si="133"/>
        <v>0</v>
      </c>
      <c r="BI241" s="9">
        <f t="shared" si="134"/>
        <v>0</v>
      </c>
      <c r="BJ241" s="9">
        <f t="shared" si="135"/>
        <v>0</v>
      </c>
      <c r="BK241" s="9"/>
      <c r="BL241" s="9">
        <v>728</v>
      </c>
      <c r="BW241" s="9">
        <v>21</v>
      </c>
    </row>
    <row r="242" spans="1:75" ht="13.5" customHeight="1">
      <c r="A242" s="16" t="s">
        <v>32</v>
      </c>
      <c r="B242" s="32" t="s">
        <v>5</v>
      </c>
      <c r="C242" s="32" t="s">
        <v>186</v>
      </c>
      <c r="D242" s="69" t="s">
        <v>471</v>
      </c>
      <c r="E242" s="70"/>
      <c r="F242" s="32" t="s">
        <v>1213</v>
      </c>
      <c r="G242" s="9">
        <v>18.506</v>
      </c>
      <c r="H242" s="68">
        <v>0</v>
      </c>
      <c r="I242" s="9">
        <f t="shared" si="114"/>
        <v>0</v>
      </c>
      <c r="K242" s="23"/>
      <c r="Z242" s="9">
        <f t="shared" si="115"/>
        <v>0</v>
      </c>
      <c r="AB242" s="9">
        <f t="shared" si="116"/>
        <v>0</v>
      </c>
      <c r="AC242" s="9">
        <f t="shared" si="117"/>
        <v>0</v>
      </c>
      <c r="AD242" s="9">
        <f t="shared" si="118"/>
        <v>0</v>
      </c>
      <c r="AE242" s="9">
        <f t="shared" si="119"/>
        <v>0</v>
      </c>
      <c r="AF242" s="9">
        <f t="shared" si="120"/>
        <v>0</v>
      </c>
      <c r="AG242" s="9">
        <f t="shared" si="121"/>
        <v>0</v>
      </c>
      <c r="AH242" s="9">
        <f t="shared" si="122"/>
        <v>0</v>
      </c>
      <c r="AI242" s="11" t="s">
        <v>5</v>
      </c>
      <c r="AJ242" s="9">
        <f t="shared" si="123"/>
        <v>0</v>
      </c>
      <c r="AK242" s="9">
        <f t="shared" si="124"/>
        <v>0</v>
      </c>
      <c r="AL242" s="9">
        <f t="shared" si="125"/>
        <v>0</v>
      </c>
      <c r="AN242" s="9">
        <v>21</v>
      </c>
      <c r="AO242" s="9">
        <f>H242*0.530000328245019</f>
        <v>0</v>
      </c>
      <c r="AP242" s="9">
        <f>H242*(1-0.530000328245019)</f>
        <v>0</v>
      </c>
      <c r="AQ242" s="60" t="s">
        <v>1238</v>
      </c>
      <c r="AV242" s="9">
        <f t="shared" si="128"/>
        <v>0</v>
      </c>
      <c r="AW242" s="9">
        <f t="shared" si="129"/>
        <v>0</v>
      </c>
      <c r="AX242" s="9">
        <f t="shared" si="130"/>
        <v>0</v>
      </c>
      <c r="AY242" s="60" t="s">
        <v>1002</v>
      </c>
      <c r="AZ242" s="60" t="s">
        <v>853</v>
      </c>
      <c r="BA242" s="11" t="s">
        <v>1092</v>
      </c>
      <c r="BC242" s="9">
        <f t="shared" si="131"/>
        <v>0</v>
      </c>
      <c r="BD242" s="9">
        <f t="shared" si="132"/>
        <v>0</v>
      </c>
      <c r="BE242" s="9">
        <v>0</v>
      </c>
      <c r="BF242" s="9">
        <f>242</f>
        <v>242</v>
      </c>
      <c r="BH242" s="9">
        <f t="shared" si="133"/>
        <v>0</v>
      </c>
      <c r="BI242" s="9">
        <f t="shared" si="134"/>
        <v>0</v>
      </c>
      <c r="BJ242" s="9">
        <f t="shared" si="135"/>
        <v>0</v>
      </c>
      <c r="BK242" s="9"/>
      <c r="BL242" s="9">
        <v>728</v>
      </c>
      <c r="BW242" s="9">
        <v>21</v>
      </c>
    </row>
    <row r="243" spans="1:75" ht="13.5" customHeight="1">
      <c r="A243" s="16" t="s">
        <v>927</v>
      </c>
      <c r="B243" s="32" t="s">
        <v>5</v>
      </c>
      <c r="C243" s="32" t="s">
        <v>360</v>
      </c>
      <c r="D243" s="69" t="s">
        <v>833</v>
      </c>
      <c r="E243" s="70"/>
      <c r="F243" s="32" t="s">
        <v>1159</v>
      </c>
      <c r="G243" s="9">
        <v>27</v>
      </c>
      <c r="H243" s="68">
        <v>0</v>
      </c>
      <c r="I243" s="9">
        <f t="shared" si="114"/>
        <v>0</v>
      </c>
      <c r="K243" s="23"/>
      <c r="Z243" s="9">
        <f t="shared" si="115"/>
        <v>0</v>
      </c>
      <c r="AB243" s="9">
        <f t="shared" si="116"/>
        <v>0</v>
      </c>
      <c r="AC243" s="9">
        <f t="shared" si="117"/>
        <v>0</v>
      </c>
      <c r="AD243" s="9">
        <f t="shared" si="118"/>
        <v>0</v>
      </c>
      <c r="AE243" s="9">
        <f t="shared" si="119"/>
        <v>0</v>
      </c>
      <c r="AF243" s="9">
        <f t="shared" si="120"/>
        <v>0</v>
      </c>
      <c r="AG243" s="9">
        <f t="shared" si="121"/>
        <v>0</v>
      </c>
      <c r="AH243" s="9">
        <f t="shared" si="122"/>
        <v>0</v>
      </c>
      <c r="AI243" s="11" t="s">
        <v>5</v>
      </c>
      <c r="AJ243" s="9">
        <f t="shared" si="123"/>
        <v>0</v>
      </c>
      <c r="AK243" s="9">
        <f t="shared" si="124"/>
        <v>0</v>
      </c>
      <c r="AL243" s="9">
        <f t="shared" si="125"/>
        <v>0</v>
      </c>
      <c r="AN243" s="9">
        <v>21</v>
      </c>
      <c r="AO243" s="9">
        <f>H243*0.53</f>
        <v>0</v>
      </c>
      <c r="AP243" s="9">
        <f>H243*(1-0.53)</f>
        <v>0</v>
      </c>
      <c r="AQ243" s="60" t="s">
        <v>1238</v>
      </c>
      <c r="AV243" s="9">
        <f t="shared" si="128"/>
        <v>0</v>
      </c>
      <c r="AW243" s="9">
        <f t="shared" si="129"/>
        <v>0</v>
      </c>
      <c r="AX243" s="9">
        <f t="shared" si="130"/>
        <v>0</v>
      </c>
      <c r="AY243" s="60" t="s">
        <v>1002</v>
      </c>
      <c r="AZ243" s="60" t="s">
        <v>853</v>
      </c>
      <c r="BA243" s="11" t="s">
        <v>1092</v>
      </c>
      <c r="BC243" s="9">
        <f t="shared" si="131"/>
        <v>0</v>
      </c>
      <c r="BD243" s="9">
        <f t="shared" si="132"/>
        <v>0</v>
      </c>
      <c r="BE243" s="9">
        <v>0</v>
      </c>
      <c r="BF243" s="9">
        <f>243</f>
        <v>243</v>
      </c>
      <c r="BH243" s="9">
        <f t="shared" si="133"/>
        <v>0</v>
      </c>
      <c r="BI243" s="9">
        <f t="shared" si="134"/>
        <v>0</v>
      </c>
      <c r="BJ243" s="9">
        <f t="shared" si="135"/>
        <v>0</v>
      </c>
      <c r="BK243" s="9"/>
      <c r="BL243" s="9">
        <v>728</v>
      </c>
      <c r="BW243" s="9">
        <v>21</v>
      </c>
    </row>
    <row r="244" spans="1:75" ht="13.5" customHeight="1">
      <c r="A244" s="16" t="s">
        <v>1345</v>
      </c>
      <c r="B244" s="32" t="s">
        <v>5</v>
      </c>
      <c r="C244" s="32" t="s">
        <v>406</v>
      </c>
      <c r="D244" s="69" t="s">
        <v>329</v>
      </c>
      <c r="E244" s="70"/>
      <c r="F244" s="32" t="s">
        <v>1159</v>
      </c>
      <c r="G244" s="9">
        <v>18</v>
      </c>
      <c r="H244" s="68">
        <v>0</v>
      </c>
      <c r="I244" s="9">
        <f t="shared" si="114"/>
        <v>0</v>
      </c>
      <c r="K244" s="23"/>
      <c r="Z244" s="9">
        <f t="shared" si="115"/>
        <v>0</v>
      </c>
      <c r="AB244" s="9">
        <f t="shared" si="116"/>
        <v>0</v>
      </c>
      <c r="AC244" s="9">
        <f t="shared" si="117"/>
        <v>0</v>
      </c>
      <c r="AD244" s="9">
        <f t="shared" si="118"/>
        <v>0</v>
      </c>
      <c r="AE244" s="9">
        <f t="shared" si="119"/>
        <v>0</v>
      </c>
      <c r="AF244" s="9">
        <f t="shared" si="120"/>
        <v>0</v>
      </c>
      <c r="AG244" s="9">
        <f t="shared" si="121"/>
        <v>0</v>
      </c>
      <c r="AH244" s="9">
        <f t="shared" si="122"/>
        <v>0</v>
      </c>
      <c r="AI244" s="11" t="s">
        <v>5</v>
      </c>
      <c r="AJ244" s="9">
        <f t="shared" si="123"/>
        <v>0</v>
      </c>
      <c r="AK244" s="9">
        <f t="shared" si="124"/>
        <v>0</v>
      </c>
      <c r="AL244" s="9">
        <f t="shared" si="125"/>
        <v>0</v>
      </c>
      <c r="AN244" s="9">
        <v>21</v>
      </c>
      <c r="AO244" s="9">
        <f>H244*0.53</f>
        <v>0</v>
      </c>
      <c r="AP244" s="9">
        <f>H244*(1-0.53)</f>
        <v>0</v>
      </c>
      <c r="AQ244" s="60" t="s">
        <v>1238</v>
      </c>
      <c r="AV244" s="9">
        <f t="shared" si="128"/>
        <v>0</v>
      </c>
      <c r="AW244" s="9">
        <f t="shared" si="129"/>
        <v>0</v>
      </c>
      <c r="AX244" s="9">
        <f t="shared" si="130"/>
        <v>0</v>
      </c>
      <c r="AY244" s="60" t="s">
        <v>1002</v>
      </c>
      <c r="AZ244" s="60" t="s">
        <v>853</v>
      </c>
      <c r="BA244" s="11" t="s">
        <v>1092</v>
      </c>
      <c r="BC244" s="9">
        <f t="shared" si="131"/>
        <v>0</v>
      </c>
      <c r="BD244" s="9">
        <f t="shared" si="132"/>
        <v>0</v>
      </c>
      <c r="BE244" s="9">
        <v>0</v>
      </c>
      <c r="BF244" s="9">
        <f>244</f>
        <v>244</v>
      </c>
      <c r="BH244" s="9">
        <f t="shared" si="133"/>
        <v>0</v>
      </c>
      <c r="BI244" s="9">
        <f t="shared" si="134"/>
        <v>0</v>
      </c>
      <c r="BJ244" s="9">
        <f t="shared" si="135"/>
        <v>0</v>
      </c>
      <c r="BK244" s="9"/>
      <c r="BL244" s="9">
        <v>728</v>
      </c>
      <c r="BW244" s="9">
        <v>21</v>
      </c>
    </row>
    <row r="245" spans="1:75" ht="27" customHeight="1">
      <c r="A245" s="16" t="s">
        <v>1219</v>
      </c>
      <c r="B245" s="32" t="s">
        <v>5</v>
      </c>
      <c r="C245" s="32" t="s">
        <v>1318</v>
      </c>
      <c r="D245" s="69" t="s">
        <v>1149</v>
      </c>
      <c r="E245" s="70"/>
      <c r="F245" s="32" t="s">
        <v>317</v>
      </c>
      <c r="G245" s="9">
        <v>1</v>
      </c>
      <c r="H245" s="68">
        <v>0</v>
      </c>
      <c r="I245" s="9">
        <f t="shared" si="114"/>
        <v>0</v>
      </c>
      <c r="K245" s="23"/>
      <c r="Z245" s="9">
        <f t="shared" si="115"/>
        <v>0</v>
      </c>
      <c r="AB245" s="9">
        <f t="shared" si="116"/>
        <v>0</v>
      </c>
      <c r="AC245" s="9">
        <f t="shared" si="117"/>
        <v>0</v>
      </c>
      <c r="AD245" s="9">
        <f t="shared" si="118"/>
        <v>0</v>
      </c>
      <c r="AE245" s="9">
        <f t="shared" si="119"/>
        <v>0</v>
      </c>
      <c r="AF245" s="9">
        <f t="shared" si="120"/>
        <v>0</v>
      </c>
      <c r="AG245" s="9">
        <f t="shared" si="121"/>
        <v>0</v>
      </c>
      <c r="AH245" s="9">
        <f t="shared" si="122"/>
        <v>0</v>
      </c>
      <c r="AI245" s="11" t="s">
        <v>5</v>
      </c>
      <c r="AJ245" s="9">
        <f t="shared" si="123"/>
        <v>0</v>
      </c>
      <c r="AK245" s="9">
        <f t="shared" si="124"/>
        <v>0</v>
      </c>
      <c r="AL245" s="9">
        <f t="shared" si="125"/>
        <v>0</v>
      </c>
      <c r="AN245" s="9">
        <v>21</v>
      </c>
      <c r="AO245" s="9">
        <f aca="true" t="shared" si="136" ref="AO245:AO262">H245*0</f>
        <v>0</v>
      </c>
      <c r="AP245" s="9">
        <f aca="true" t="shared" si="137" ref="AP245:AP262">H245*(1-0)</f>
        <v>0</v>
      </c>
      <c r="AQ245" s="60" t="s">
        <v>1238</v>
      </c>
      <c r="AV245" s="9">
        <f t="shared" si="128"/>
        <v>0</v>
      </c>
      <c r="AW245" s="9">
        <f t="shared" si="129"/>
        <v>0</v>
      </c>
      <c r="AX245" s="9">
        <f t="shared" si="130"/>
        <v>0</v>
      </c>
      <c r="AY245" s="60" t="s">
        <v>1002</v>
      </c>
      <c r="AZ245" s="60" t="s">
        <v>853</v>
      </c>
      <c r="BA245" s="11" t="s">
        <v>1092</v>
      </c>
      <c r="BC245" s="9">
        <f t="shared" si="131"/>
        <v>0</v>
      </c>
      <c r="BD245" s="9">
        <f t="shared" si="132"/>
        <v>0</v>
      </c>
      <c r="BE245" s="9">
        <v>0</v>
      </c>
      <c r="BF245" s="9">
        <f>245</f>
        <v>245</v>
      </c>
      <c r="BH245" s="9">
        <f t="shared" si="133"/>
        <v>0</v>
      </c>
      <c r="BI245" s="9">
        <f t="shared" si="134"/>
        <v>0</v>
      </c>
      <c r="BJ245" s="9">
        <f t="shared" si="135"/>
        <v>0</v>
      </c>
      <c r="BK245" s="9"/>
      <c r="BL245" s="9">
        <v>728</v>
      </c>
      <c r="BW245" s="9">
        <v>21</v>
      </c>
    </row>
    <row r="246" spans="1:75" ht="27" customHeight="1">
      <c r="A246" s="16" t="s">
        <v>948</v>
      </c>
      <c r="B246" s="32" t="s">
        <v>5</v>
      </c>
      <c r="C246" s="32" t="s">
        <v>700</v>
      </c>
      <c r="D246" s="69" t="s">
        <v>487</v>
      </c>
      <c r="E246" s="70"/>
      <c r="F246" s="32" t="s">
        <v>317</v>
      </c>
      <c r="G246" s="9">
        <v>3</v>
      </c>
      <c r="H246" s="68">
        <v>0</v>
      </c>
      <c r="I246" s="9">
        <f t="shared" si="114"/>
        <v>0</v>
      </c>
      <c r="K246" s="23"/>
      <c r="Z246" s="9">
        <f t="shared" si="115"/>
        <v>0</v>
      </c>
      <c r="AB246" s="9">
        <f t="shared" si="116"/>
        <v>0</v>
      </c>
      <c r="AC246" s="9">
        <f t="shared" si="117"/>
        <v>0</v>
      </c>
      <c r="AD246" s="9">
        <f t="shared" si="118"/>
        <v>0</v>
      </c>
      <c r="AE246" s="9">
        <f t="shared" si="119"/>
        <v>0</v>
      </c>
      <c r="AF246" s="9">
        <f t="shared" si="120"/>
        <v>0</v>
      </c>
      <c r="AG246" s="9">
        <f t="shared" si="121"/>
        <v>0</v>
      </c>
      <c r="AH246" s="9">
        <f t="shared" si="122"/>
        <v>0</v>
      </c>
      <c r="AI246" s="11" t="s">
        <v>5</v>
      </c>
      <c r="AJ246" s="9">
        <f t="shared" si="123"/>
        <v>0</v>
      </c>
      <c r="AK246" s="9">
        <f t="shared" si="124"/>
        <v>0</v>
      </c>
      <c r="AL246" s="9">
        <f t="shared" si="125"/>
        <v>0</v>
      </c>
      <c r="AN246" s="9">
        <v>21</v>
      </c>
      <c r="AO246" s="9">
        <f t="shared" si="136"/>
        <v>0</v>
      </c>
      <c r="AP246" s="9">
        <f t="shared" si="137"/>
        <v>0</v>
      </c>
      <c r="AQ246" s="60" t="s">
        <v>1238</v>
      </c>
      <c r="AV246" s="9">
        <f t="shared" si="128"/>
        <v>0</v>
      </c>
      <c r="AW246" s="9">
        <f t="shared" si="129"/>
        <v>0</v>
      </c>
      <c r="AX246" s="9">
        <f t="shared" si="130"/>
        <v>0</v>
      </c>
      <c r="AY246" s="60" t="s">
        <v>1002</v>
      </c>
      <c r="AZ246" s="60" t="s">
        <v>853</v>
      </c>
      <c r="BA246" s="11" t="s">
        <v>1092</v>
      </c>
      <c r="BC246" s="9">
        <f t="shared" si="131"/>
        <v>0</v>
      </c>
      <c r="BD246" s="9">
        <f t="shared" si="132"/>
        <v>0</v>
      </c>
      <c r="BE246" s="9">
        <v>0</v>
      </c>
      <c r="BF246" s="9">
        <f>246</f>
        <v>246</v>
      </c>
      <c r="BH246" s="9">
        <f t="shared" si="133"/>
        <v>0</v>
      </c>
      <c r="BI246" s="9">
        <f t="shared" si="134"/>
        <v>0</v>
      </c>
      <c r="BJ246" s="9">
        <f t="shared" si="135"/>
        <v>0</v>
      </c>
      <c r="BK246" s="9"/>
      <c r="BL246" s="9">
        <v>728</v>
      </c>
      <c r="BW246" s="9">
        <v>21</v>
      </c>
    </row>
    <row r="247" spans="1:75" ht="13.5" customHeight="1">
      <c r="A247" s="16" t="s">
        <v>777</v>
      </c>
      <c r="B247" s="32" t="s">
        <v>5</v>
      </c>
      <c r="C247" s="32" t="s">
        <v>664</v>
      </c>
      <c r="D247" s="69" t="s">
        <v>129</v>
      </c>
      <c r="E247" s="70"/>
      <c r="F247" s="32" t="s">
        <v>1026</v>
      </c>
      <c r="G247" s="9">
        <v>14.5</v>
      </c>
      <c r="H247" s="68">
        <v>0</v>
      </c>
      <c r="I247" s="9">
        <f t="shared" si="114"/>
        <v>0</v>
      </c>
      <c r="K247" s="23"/>
      <c r="Z247" s="9">
        <f t="shared" si="115"/>
        <v>0</v>
      </c>
      <c r="AB247" s="9">
        <f t="shared" si="116"/>
        <v>0</v>
      </c>
      <c r="AC247" s="9">
        <f t="shared" si="117"/>
        <v>0</v>
      </c>
      <c r="AD247" s="9">
        <f t="shared" si="118"/>
        <v>0</v>
      </c>
      <c r="AE247" s="9">
        <f t="shared" si="119"/>
        <v>0</v>
      </c>
      <c r="AF247" s="9">
        <f t="shared" si="120"/>
        <v>0</v>
      </c>
      <c r="AG247" s="9">
        <f t="shared" si="121"/>
        <v>0</v>
      </c>
      <c r="AH247" s="9">
        <f t="shared" si="122"/>
        <v>0</v>
      </c>
      <c r="AI247" s="11" t="s">
        <v>5</v>
      </c>
      <c r="AJ247" s="9">
        <f t="shared" si="123"/>
        <v>0</v>
      </c>
      <c r="AK247" s="9">
        <f t="shared" si="124"/>
        <v>0</v>
      </c>
      <c r="AL247" s="9">
        <f t="shared" si="125"/>
        <v>0</v>
      </c>
      <c r="AN247" s="9">
        <v>21</v>
      </c>
      <c r="AO247" s="9">
        <f t="shared" si="136"/>
        <v>0</v>
      </c>
      <c r="AP247" s="9">
        <f t="shared" si="137"/>
        <v>0</v>
      </c>
      <c r="AQ247" s="60" t="s">
        <v>1238</v>
      </c>
      <c r="AV247" s="9">
        <f t="shared" si="128"/>
        <v>0</v>
      </c>
      <c r="AW247" s="9">
        <f t="shared" si="129"/>
        <v>0</v>
      </c>
      <c r="AX247" s="9">
        <f t="shared" si="130"/>
        <v>0</v>
      </c>
      <c r="AY247" s="60" t="s">
        <v>1002</v>
      </c>
      <c r="AZ247" s="60" t="s">
        <v>853</v>
      </c>
      <c r="BA247" s="11" t="s">
        <v>1092</v>
      </c>
      <c r="BC247" s="9">
        <f t="shared" si="131"/>
        <v>0</v>
      </c>
      <c r="BD247" s="9">
        <f t="shared" si="132"/>
        <v>0</v>
      </c>
      <c r="BE247" s="9">
        <v>0</v>
      </c>
      <c r="BF247" s="9">
        <f>247</f>
        <v>247</v>
      </c>
      <c r="BH247" s="9">
        <f t="shared" si="133"/>
        <v>0</v>
      </c>
      <c r="BI247" s="9">
        <f t="shared" si="134"/>
        <v>0</v>
      </c>
      <c r="BJ247" s="9">
        <f t="shared" si="135"/>
        <v>0</v>
      </c>
      <c r="BK247" s="9"/>
      <c r="BL247" s="9">
        <v>728</v>
      </c>
      <c r="BW247" s="9">
        <v>21</v>
      </c>
    </row>
    <row r="248" spans="1:75" ht="27" customHeight="1">
      <c r="A248" s="16" t="s">
        <v>116</v>
      </c>
      <c r="B248" s="32" t="s">
        <v>5</v>
      </c>
      <c r="C248" s="32" t="s">
        <v>1396</v>
      </c>
      <c r="D248" s="69" t="s">
        <v>1073</v>
      </c>
      <c r="E248" s="70"/>
      <c r="F248" s="32" t="s">
        <v>861</v>
      </c>
      <c r="G248" s="9">
        <v>2</v>
      </c>
      <c r="H248" s="68">
        <v>0</v>
      </c>
      <c r="I248" s="9">
        <f t="shared" si="114"/>
        <v>0</v>
      </c>
      <c r="K248" s="23"/>
      <c r="Z248" s="9">
        <f t="shared" si="115"/>
        <v>0</v>
      </c>
      <c r="AB248" s="9">
        <f t="shared" si="116"/>
        <v>0</v>
      </c>
      <c r="AC248" s="9">
        <f t="shared" si="117"/>
        <v>0</v>
      </c>
      <c r="AD248" s="9">
        <f t="shared" si="118"/>
        <v>0</v>
      </c>
      <c r="AE248" s="9">
        <f t="shared" si="119"/>
        <v>0</v>
      </c>
      <c r="AF248" s="9">
        <f t="shared" si="120"/>
        <v>0</v>
      </c>
      <c r="AG248" s="9">
        <f t="shared" si="121"/>
        <v>0</v>
      </c>
      <c r="AH248" s="9">
        <f t="shared" si="122"/>
        <v>0</v>
      </c>
      <c r="AI248" s="11" t="s">
        <v>5</v>
      </c>
      <c r="AJ248" s="9">
        <f t="shared" si="123"/>
        <v>0</v>
      </c>
      <c r="AK248" s="9">
        <f t="shared" si="124"/>
        <v>0</v>
      </c>
      <c r="AL248" s="9">
        <f t="shared" si="125"/>
        <v>0</v>
      </c>
      <c r="AN248" s="9">
        <v>21</v>
      </c>
      <c r="AO248" s="9">
        <f t="shared" si="136"/>
        <v>0</v>
      </c>
      <c r="AP248" s="9">
        <f t="shared" si="137"/>
        <v>0</v>
      </c>
      <c r="AQ248" s="60" t="s">
        <v>1238</v>
      </c>
      <c r="AV248" s="9">
        <f t="shared" si="128"/>
        <v>0</v>
      </c>
      <c r="AW248" s="9">
        <f t="shared" si="129"/>
        <v>0</v>
      </c>
      <c r="AX248" s="9">
        <f t="shared" si="130"/>
        <v>0</v>
      </c>
      <c r="AY248" s="60" t="s">
        <v>1002</v>
      </c>
      <c r="AZ248" s="60" t="s">
        <v>853</v>
      </c>
      <c r="BA248" s="11" t="s">
        <v>1092</v>
      </c>
      <c r="BC248" s="9">
        <f t="shared" si="131"/>
        <v>0</v>
      </c>
      <c r="BD248" s="9">
        <f t="shared" si="132"/>
        <v>0</v>
      </c>
      <c r="BE248" s="9">
        <v>0</v>
      </c>
      <c r="BF248" s="9">
        <f>248</f>
        <v>248</v>
      </c>
      <c r="BH248" s="9">
        <f t="shared" si="133"/>
        <v>0</v>
      </c>
      <c r="BI248" s="9">
        <f t="shared" si="134"/>
        <v>0</v>
      </c>
      <c r="BJ248" s="9">
        <f t="shared" si="135"/>
        <v>0</v>
      </c>
      <c r="BK248" s="9"/>
      <c r="BL248" s="9">
        <v>728</v>
      </c>
      <c r="BW248" s="9">
        <v>21</v>
      </c>
    </row>
    <row r="249" spans="1:75" ht="27" customHeight="1">
      <c r="A249" s="16" t="s">
        <v>842</v>
      </c>
      <c r="B249" s="32" t="s">
        <v>5</v>
      </c>
      <c r="C249" s="32" t="s">
        <v>694</v>
      </c>
      <c r="D249" s="69" t="s">
        <v>1260</v>
      </c>
      <c r="E249" s="70"/>
      <c r="F249" s="32" t="s">
        <v>861</v>
      </c>
      <c r="G249" s="9">
        <v>8</v>
      </c>
      <c r="H249" s="68">
        <v>0</v>
      </c>
      <c r="I249" s="9">
        <f t="shared" si="114"/>
        <v>0</v>
      </c>
      <c r="K249" s="23"/>
      <c r="Z249" s="9">
        <f t="shared" si="115"/>
        <v>0</v>
      </c>
      <c r="AB249" s="9">
        <f t="shared" si="116"/>
        <v>0</v>
      </c>
      <c r="AC249" s="9">
        <f t="shared" si="117"/>
        <v>0</v>
      </c>
      <c r="AD249" s="9">
        <f t="shared" si="118"/>
        <v>0</v>
      </c>
      <c r="AE249" s="9">
        <f t="shared" si="119"/>
        <v>0</v>
      </c>
      <c r="AF249" s="9">
        <f t="shared" si="120"/>
        <v>0</v>
      </c>
      <c r="AG249" s="9">
        <f t="shared" si="121"/>
        <v>0</v>
      </c>
      <c r="AH249" s="9">
        <f t="shared" si="122"/>
        <v>0</v>
      </c>
      <c r="AI249" s="11" t="s">
        <v>5</v>
      </c>
      <c r="AJ249" s="9">
        <f t="shared" si="123"/>
        <v>0</v>
      </c>
      <c r="AK249" s="9">
        <f t="shared" si="124"/>
        <v>0</v>
      </c>
      <c r="AL249" s="9">
        <f t="shared" si="125"/>
        <v>0</v>
      </c>
      <c r="AN249" s="9">
        <v>21</v>
      </c>
      <c r="AO249" s="9">
        <f t="shared" si="136"/>
        <v>0</v>
      </c>
      <c r="AP249" s="9">
        <f t="shared" si="137"/>
        <v>0</v>
      </c>
      <c r="AQ249" s="60" t="s">
        <v>1238</v>
      </c>
      <c r="AV249" s="9">
        <f t="shared" si="128"/>
        <v>0</v>
      </c>
      <c r="AW249" s="9">
        <f t="shared" si="129"/>
        <v>0</v>
      </c>
      <c r="AX249" s="9">
        <f t="shared" si="130"/>
        <v>0</v>
      </c>
      <c r="AY249" s="60" t="s">
        <v>1002</v>
      </c>
      <c r="AZ249" s="60" t="s">
        <v>853</v>
      </c>
      <c r="BA249" s="11" t="s">
        <v>1092</v>
      </c>
      <c r="BC249" s="9">
        <f t="shared" si="131"/>
        <v>0</v>
      </c>
      <c r="BD249" s="9">
        <f t="shared" si="132"/>
        <v>0</v>
      </c>
      <c r="BE249" s="9">
        <v>0</v>
      </c>
      <c r="BF249" s="9">
        <f>249</f>
        <v>249</v>
      </c>
      <c r="BH249" s="9">
        <f t="shared" si="133"/>
        <v>0</v>
      </c>
      <c r="BI249" s="9">
        <f t="shared" si="134"/>
        <v>0</v>
      </c>
      <c r="BJ249" s="9">
        <f t="shared" si="135"/>
        <v>0</v>
      </c>
      <c r="BK249" s="9"/>
      <c r="BL249" s="9">
        <v>728</v>
      </c>
      <c r="BW249" s="9">
        <v>21</v>
      </c>
    </row>
    <row r="250" spans="1:75" ht="27" customHeight="1">
      <c r="A250" s="16" t="s">
        <v>955</v>
      </c>
      <c r="B250" s="32" t="s">
        <v>5</v>
      </c>
      <c r="C250" s="32" t="s">
        <v>1355</v>
      </c>
      <c r="D250" s="69" t="s">
        <v>392</v>
      </c>
      <c r="E250" s="70"/>
      <c r="F250" s="32" t="s">
        <v>264</v>
      </c>
      <c r="G250" s="9">
        <v>1</v>
      </c>
      <c r="H250" s="68">
        <v>0</v>
      </c>
      <c r="I250" s="9">
        <f t="shared" si="114"/>
        <v>0</v>
      </c>
      <c r="K250" s="23"/>
      <c r="Z250" s="9">
        <f t="shared" si="115"/>
        <v>0</v>
      </c>
      <c r="AB250" s="9">
        <f t="shared" si="116"/>
        <v>0</v>
      </c>
      <c r="AC250" s="9">
        <f t="shared" si="117"/>
        <v>0</v>
      </c>
      <c r="AD250" s="9">
        <f t="shared" si="118"/>
        <v>0</v>
      </c>
      <c r="AE250" s="9">
        <f t="shared" si="119"/>
        <v>0</v>
      </c>
      <c r="AF250" s="9">
        <f t="shared" si="120"/>
        <v>0</v>
      </c>
      <c r="AG250" s="9">
        <f t="shared" si="121"/>
        <v>0</v>
      </c>
      <c r="AH250" s="9">
        <f t="shared" si="122"/>
        <v>0</v>
      </c>
      <c r="AI250" s="11" t="s">
        <v>5</v>
      </c>
      <c r="AJ250" s="9">
        <f t="shared" si="123"/>
        <v>0</v>
      </c>
      <c r="AK250" s="9">
        <f t="shared" si="124"/>
        <v>0</v>
      </c>
      <c r="AL250" s="9">
        <f t="shared" si="125"/>
        <v>0</v>
      </c>
      <c r="AN250" s="9">
        <v>21</v>
      </c>
      <c r="AO250" s="9">
        <f t="shared" si="136"/>
        <v>0</v>
      </c>
      <c r="AP250" s="9">
        <f t="shared" si="137"/>
        <v>0</v>
      </c>
      <c r="AQ250" s="60" t="s">
        <v>1238</v>
      </c>
      <c r="AV250" s="9">
        <f t="shared" si="128"/>
        <v>0</v>
      </c>
      <c r="AW250" s="9">
        <f t="shared" si="129"/>
        <v>0</v>
      </c>
      <c r="AX250" s="9">
        <f t="shared" si="130"/>
        <v>0</v>
      </c>
      <c r="AY250" s="60" t="s">
        <v>1002</v>
      </c>
      <c r="AZ250" s="60" t="s">
        <v>853</v>
      </c>
      <c r="BA250" s="11" t="s">
        <v>1092</v>
      </c>
      <c r="BC250" s="9">
        <f t="shared" si="131"/>
        <v>0</v>
      </c>
      <c r="BD250" s="9">
        <f t="shared" si="132"/>
        <v>0</v>
      </c>
      <c r="BE250" s="9">
        <v>0</v>
      </c>
      <c r="BF250" s="9">
        <f>250</f>
        <v>250</v>
      </c>
      <c r="BH250" s="9">
        <f t="shared" si="133"/>
        <v>0</v>
      </c>
      <c r="BI250" s="9">
        <f t="shared" si="134"/>
        <v>0</v>
      </c>
      <c r="BJ250" s="9">
        <f t="shared" si="135"/>
        <v>0</v>
      </c>
      <c r="BK250" s="9"/>
      <c r="BL250" s="9">
        <v>728</v>
      </c>
      <c r="BW250" s="9">
        <v>21</v>
      </c>
    </row>
    <row r="251" spans="1:75" ht="13.5" customHeight="1">
      <c r="A251" s="16" t="s">
        <v>306</v>
      </c>
      <c r="B251" s="32" t="s">
        <v>5</v>
      </c>
      <c r="C251" s="32" t="s">
        <v>272</v>
      </c>
      <c r="D251" s="69" t="s">
        <v>817</v>
      </c>
      <c r="E251" s="70"/>
      <c r="F251" s="32" t="s">
        <v>798</v>
      </c>
      <c r="G251" s="9">
        <v>15</v>
      </c>
      <c r="H251" s="68">
        <v>0</v>
      </c>
      <c r="I251" s="9">
        <f t="shared" si="114"/>
        <v>0</v>
      </c>
      <c r="K251" s="23"/>
      <c r="Z251" s="9">
        <f t="shared" si="115"/>
        <v>0</v>
      </c>
      <c r="AB251" s="9">
        <f t="shared" si="116"/>
        <v>0</v>
      </c>
      <c r="AC251" s="9">
        <f t="shared" si="117"/>
        <v>0</v>
      </c>
      <c r="AD251" s="9">
        <f t="shared" si="118"/>
        <v>0</v>
      </c>
      <c r="AE251" s="9">
        <f t="shared" si="119"/>
        <v>0</v>
      </c>
      <c r="AF251" s="9">
        <f t="shared" si="120"/>
        <v>0</v>
      </c>
      <c r="AG251" s="9">
        <f t="shared" si="121"/>
        <v>0</v>
      </c>
      <c r="AH251" s="9">
        <f t="shared" si="122"/>
        <v>0</v>
      </c>
      <c r="AI251" s="11" t="s">
        <v>5</v>
      </c>
      <c r="AJ251" s="9">
        <f t="shared" si="123"/>
        <v>0</v>
      </c>
      <c r="AK251" s="9">
        <f t="shared" si="124"/>
        <v>0</v>
      </c>
      <c r="AL251" s="9">
        <f t="shared" si="125"/>
        <v>0</v>
      </c>
      <c r="AN251" s="9">
        <v>21</v>
      </c>
      <c r="AO251" s="9">
        <f t="shared" si="136"/>
        <v>0</v>
      </c>
      <c r="AP251" s="9">
        <f t="shared" si="137"/>
        <v>0</v>
      </c>
      <c r="AQ251" s="60" t="s">
        <v>1238</v>
      </c>
      <c r="AV251" s="9">
        <f t="shared" si="128"/>
        <v>0</v>
      </c>
      <c r="AW251" s="9">
        <f t="shared" si="129"/>
        <v>0</v>
      </c>
      <c r="AX251" s="9">
        <f t="shared" si="130"/>
        <v>0</v>
      </c>
      <c r="AY251" s="60" t="s">
        <v>1002</v>
      </c>
      <c r="AZ251" s="60" t="s">
        <v>853</v>
      </c>
      <c r="BA251" s="11" t="s">
        <v>1092</v>
      </c>
      <c r="BC251" s="9">
        <f t="shared" si="131"/>
        <v>0</v>
      </c>
      <c r="BD251" s="9">
        <f t="shared" si="132"/>
        <v>0</v>
      </c>
      <c r="BE251" s="9">
        <v>0</v>
      </c>
      <c r="BF251" s="9">
        <f>251</f>
        <v>251</v>
      </c>
      <c r="BH251" s="9">
        <f t="shared" si="133"/>
        <v>0</v>
      </c>
      <c r="BI251" s="9">
        <f t="shared" si="134"/>
        <v>0</v>
      </c>
      <c r="BJ251" s="9">
        <f t="shared" si="135"/>
        <v>0</v>
      </c>
      <c r="BK251" s="9"/>
      <c r="BL251" s="9">
        <v>728</v>
      </c>
      <c r="BW251" s="9">
        <v>21</v>
      </c>
    </row>
    <row r="252" spans="1:75" ht="13.5" customHeight="1">
      <c r="A252" s="16" t="s">
        <v>1401</v>
      </c>
      <c r="B252" s="32" t="s">
        <v>5</v>
      </c>
      <c r="C252" s="32" t="s">
        <v>735</v>
      </c>
      <c r="D252" s="69" t="s">
        <v>866</v>
      </c>
      <c r="E252" s="70"/>
      <c r="F252" s="32" t="s">
        <v>861</v>
      </c>
      <c r="G252" s="9">
        <v>1</v>
      </c>
      <c r="H252" s="68">
        <v>0</v>
      </c>
      <c r="I252" s="9">
        <f t="shared" si="114"/>
        <v>0</v>
      </c>
      <c r="K252" s="23"/>
      <c r="Z252" s="9">
        <f t="shared" si="115"/>
        <v>0</v>
      </c>
      <c r="AB252" s="9">
        <f t="shared" si="116"/>
        <v>0</v>
      </c>
      <c r="AC252" s="9">
        <f t="shared" si="117"/>
        <v>0</v>
      </c>
      <c r="AD252" s="9">
        <f t="shared" si="118"/>
        <v>0</v>
      </c>
      <c r="AE252" s="9">
        <f t="shared" si="119"/>
        <v>0</v>
      </c>
      <c r="AF252" s="9">
        <f t="shared" si="120"/>
        <v>0</v>
      </c>
      <c r="AG252" s="9">
        <f t="shared" si="121"/>
        <v>0</v>
      </c>
      <c r="AH252" s="9">
        <f t="shared" si="122"/>
        <v>0</v>
      </c>
      <c r="AI252" s="11" t="s">
        <v>5</v>
      </c>
      <c r="AJ252" s="9">
        <f t="shared" si="123"/>
        <v>0</v>
      </c>
      <c r="AK252" s="9">
        <f t="shared" si="124"/>
        <v>0</v>
      </c>
      <c r="AL252" s="9">
        <f t="shared" si="125"/>
        <v>0</v>
      </c>
      <c r="AN252" s="9">
        <v>21</v>
      </c>
      <c r="AO252" s="9">
        <f t="shared" si="136"/>
        <v>0</v>
      </c>
      <c r="AP252" s="9">
        <f t="shared" si="137"/>
        <v>0</v>
      </c>
      <c r="AQ252" s="60" t="s">
        <v>1238</v>
      </c>
      <c r="AV252" s="9">
        <f t="shared" si="128"/>
        <v>0</v>
      </c>
      <c r="AW252" s="9">
        <f t="shared" si="129"/>
        <v>0</v>
      </c>
      <c r="AX252" s="9">
        <f t="shared" si="130"/>
        <v>0</v>
      </c>
      <c r="AY252" s="60" t="s">
        <v>1002</v>
      </c>
      <c r="AZ252" s="60" t="s">
        <v>853</v>
      </c>
      <c r="BA252" s="11" t="s">
        <v>1092</v>
      </c>
      <c r="BC252" s="9">
        <f t="shared" si="131"/>
        <v>0</v>
      </c>
      <c r="BD252" s="9">
        <f t="shared" si="132"/>
        <v>0</v>
      </c>
      <c r="BE252" s="9">
        <v>0</v>
      </c>
      <c r="BF252" s="9">
        <f>252</f>
        <v>252</v>
      </c>
      <c r="BH252" s="9">
        <f t="shared" si="133"/>
        <v>0</v>
      </c>
      <c r="BI252" s="9">
        <f t="shared" si="134"/>
        <v>0</v>
      </c>
      <c r="BJ252" s="9">
        <f t="shared" si="135"/>
        <v>0</v>
      </c>
      <c r="BK252" s="9"/>
      <c r="BL252" s="9">
        <v>728</v>
      </c>
      <c r="BW252" s="9">
        <v>21</v>
      </c>
    </row>
    <row r="253" spans="1:75" ht="13.5" customHeight="1">
      <c r="A253" s="16" t="s">
        <v>707</v>
      </c>
      <c r="B253" s="32" t="s">
        <v>5</v>
      </c>
      <c r="C253" s="32" t="s">
        <v>918</v>
      </c>
      <c r="D253" s="69" t="s">
        <v>588</v>
      </c>
      <c r="E253" s="70"/>
      <c r="F253" s="32" t="s">
        <v>861</v>
      </c>
      <c r="G253" s="9">
        <v>1</v>
      </c>
      <c r="H253" s="68">
        <v>0</v>
      </c>
      <c r="I253" s="9">
        <f t="shared" si="114"/>
        <v>0</v>
      </c>
      <c r="K253" s="23"/>
      <c r="Z253" s="9">
        <f t="shared" si="115"/>
        <v>0</v>
      </c>
      <c r="AB253" s="9">
        <f t="shared" si="116"/>
        <v>0</v>
      </c>
      <c r="AC253" s="9">
        <f t="shared" si="117"/>
        <v>0</v>
      </c>
      <c r="AD253" s="9">
        <f t="shared" si="118"/>
        <v>0</v>
      </c>
      <c r="AE253" s="9">
        <f t="shared" si="119"/>
        <v>0</v>
      </c>
      <c r="AF253" s="9">
        <f t="shared" si="120"/>
        <v>0</v>
      </c>
      <c r="AG253" s="9">
        <f t="shared" si="121"/>
        <v>0</v>
      </c>
      <c r="AH253" s="9">
        <f t="shared" si="122"/>
        <v>0</v>
      </c>
      <c r="AI253" s="11" t="s">
        <v>5</v>
      </c>
      <c r="AJ253" s="9">
        <f t="shared" si="123"/>
        <v>0</v>
      </c>
      <c r="AK253" s="9">
        <f t="shared" si="124"/>
        <v>0</v>
      </c>
      <c r="AL253" s="9">
        <f t="shared" si="125"/>
        <v>0</v>
      </c>
      <c r="AN253" s="9">
        <v>21</v>
      </c>
      <c r="AO253" s="9">
        <f t="shared" si="136"/>
        <v>0</v>
      </c>
      <c r="AP253" s="9">
        <f t="shared" si="137"/>
        <v>0</v>
      </c>
      <c r="AQ253" s="60" t="s">
        <v>1238</v>
      </c>
      <c r="AV253" s="9">
        <f t="shared" si="128"/>
        <v>0</v>
      </c>
      <c r="AW253" s="9">
        <f t="shared" si="129"/>
        <v>0</v>
      </c>
      <c r="AX253" s="9">
        <f t="shared" si="130"/>
        <v>0</v>
      </c>
      <c r="AY253" s="60" t="s">
        <v>1002</v>
      </c>
      <c r="AZ253" s="60" t="s">
        <v>853</v>
      </c>
      <c r="BA253" s="11" t="s">
        <v>1092</v>
      </c>
      <c r="BC253" s="9">
        <f t="shared" si="131"/>
        <v>0</v>
      </c>
      <c r="BD253" s="9">
        <f t="shared" si="132"/>
        <v>0</v>
      </c>
      <c r="BE253" s="9">
        <v>0</v>
      </c>
      <c r="BF253" s="9">
        <f>253</f>
        <v>253</v>
      </c>
      <c r="BH253" s="9">
        <f t="shared" si="133"/>
        <v>0</v>
      </c>
      <c r="BI253" s="9">
        <f t="shared" si="134"/>
        <v>0</v>
      </c>
      <c r="BJ253" s="9">
        <f t="shared" si="135"/>
        <v>0</v>
      </c>
      <c r="BK253" s="9"/>
      <c r="BL253" s="9">
        <v>728</v>
      </c>
      <c r="BW253" s="9">
        <v>21</v>
      </c>
    </row>
    <row r="254" spans="1:75" ht="13.5" customHeight="1">
      <c r="A254" s="16" t="s">
        <v>316</v>
      </c>
      <c r="B254" s="32" t="s">
        <v>5</v>
      </c>
      <c r="C254" s="32" t="s">
        <v>210</v>
      </c>
      <c r="D254" s="69" t="s">
        <v>1093</v>
      </c>
      <c r="E254" s="70"/>
      <c r="F254" s="32" t="s">
        <v>861</v>
      </c>
      <c r="G254" s="9">
        <v>1</v>
      </c>
      <c r="H254" s="68">
        <v>0</v>
      </c>
      <c r="I254" s="9">
        <f t="shared" si="114"/>
        <v>0</v>
      </c>
      <c r="K254" s="23"/>
      <c r="Z254" s="9">
        <f t="shared" si="115"/>
        <v>0</v>
      </c>
      <c r="AB254" s="9">
        <f t="shared" si="116"/>
        <v>0</v>
      </c>
      <c r="AC254" s="9">
        <f t="shared" si="117"/>
        <v>0</v>
      </c>
      <c r="AD254" s="9">
        <f t="shared" si="118"/>
        <v>0</v>
      </c>
      <c r="AE254" s="9">
        <f t="shared" si="119"/>
        <v>0</v>
      </c>
      <c r="AF254" s="9">
        <f t="shared" si="120"/>
        <v>0</v>
      </c>
      <c r="AG254" s="9">
        <f t="shared" si="121"/>
        <v>0</v>
      </c>
      <c r="AH254" s="9">
        <f t="shared" si="122"/>
        <v>0</v>
      </c>
      <c r="AI254" s="11" t="s">
        <v>5</v>
      </c>
      <c r="AJ254" s="9">
        <f t="shared" si="123"/>
        <v>0</v>
      </c>
      <c r="AK254" s="9">
        <f t="shared" si="124"/>
        <v>0</v>
      </c>
      <c r="AL254" s="9">
        <f t="shared" si="125"/>
        <v>0</v>
      </c>
      <c r="AN254" s="9">
        <v>21</v>
      </c>
      <c r="AO254" s="9">
        <f t="shared" si="136"/>
        <v>0</v>
      </c>
      <c r="AP254" s="9">
        <f t="shared" si="137"/>
        <v>0</v>
      </c>
      <c r="AQ254" s="60" t="s">
        <v>1238</v>
      </c>
      <c r="AV254" s="9">
        <f t="shared" si="128"/>
        <v>0</v>
      </c>
      <c r="AW254" s="9">
        <f t="shared" si="129"/>
        <v>0</v>
      </c>
      <c r="AX254" s="9">
        <f t="shared" si="130"/>
        <v>0</v>
      </c>
      <c r="AY254" s="60" t="s">
        <v>1002</v>
      </c>
      <c r="AZ254" s="60" t="s">
        <v>853</v>
      </c>
      <c r="BA254" s="11" t="s">
        <v>1092</v>
      </c>
      <c r="BC254" s="9">
        <f t="shared" si="131"/>
        <v>0</v>
      </c>
      <c r="BD254" s="9">
        <f t="shared" si="132"/>
        <v>0</v>
      </c>
      <c r="BE254" s="9">
        <v>0</v>
      </c>
      <c r="BF254" s="9">
        <f>254</f>
        <v>254</v>
      </c>
      <c r="BH254" s="9">
        <f t="shared" si="133"/>
        <v>0</v>
      </c>
      <c r="BI254" s="9">
        <f t="shared" si="134"/>
        <v>0</v>
      </c>
      <c r="BJ254" s="9">
        <f t="shared" si="135"/>
        <v>0</v>
      </c>
      <c r="BK254" s="9"/>
      <c r="BL254" s="9">
        <v>728</v>
      </c>
      <c r="BW254" s="9">
        <v>21</v>
      </c>
    </row>
    <row r="255" spans="1:75" ht="13.5" customHeight="1">
      <c r="A255" s="16" t="s">
        <v>936</v>
      </c>
      <c r="B255" s="32" t="s">
        <v>5</v>
      </c>
      <c r="C255" s="32" t="s">
        <v>1075</v>
      </c>
      <c r="D255" s="69" t="s">
        <v>55</v>
      </c>
      <c r="E255" s="70"/>
      <c r="F255" s="32" t="s">
        <v>861</v>
      </c>
      <c r="G255" s="9">
        <v>1</v>
      </c>
      <c r="H255" s="68">
        <v>0</v>
      </c>
      <c r="I255" s="9">
        <f t="shared" si="114"/>
        <v>0</v>
      </c>
      <c r="K255" s="23"/>
      <c r="Z255" s="9">
        <f t="shared" si="115"/>
        <v>0</v>
      </c>
      <c r="AB255" s="9">
        <f t="shared" si="116"/>
        <v>0</v>
      </c>
      <c r="AC255" s="9">
        <f t="shared" si="117"/>
        <v>0</v>
      </c>
      <c r="AD255" s="9">
        <f t="shared" si="118"/>
        <v>0</v>
      </c>
      <c r="AE255" s="9">
        <f t="shared" si="119"/>
        <v>0</v>
      </c>
      <c r="AF255" s="9">
        <f t="shared" si="120"/>
        <v>0</v>
      </c>
      <c r="AG255" s="9">
        <f t="shared" si="121"/>
        <v>0</v>
      </c>
      <c r="AH255" s="9">
        <f t="shared" si="122"/>
        <v>0</v>
      </c>
      <c r="AI255" s="11" t="s">
        <v>5</v>
      </c>
      <c r="AJ255" s="9">
        <f t="shared" si="123"/>
        <v>0</v>
      </c>
      <c r="AK255" s="9">
        <f t="shared" si="124"/>
        <v>0</v>
      </c>
      <c r="AL255" s="9">
        <f t="shared" si="125"/>
        <v>0</v>
      </c>
      <c r="AN255" s="9">
        <v>21</v>
      </c>
      <c r="AO255" s="9">
        <f t="shared" si="136"/>
        <v>0</v>
      </c>
      <c r="AP255" s="9">
        <f t="shared" si="137"/>
        <v>0</v>
      </c>
      <c r="AQ255" s="60" t="s">
        <v>1238</v>
      </c>
      <c r="AV255" s="9">
        <f t="shared" si="128"/>
        <v>0</v>
      </c>
      <c r="AW255" s="9">
        <f t="shared" si="129"/>
        <v>0</v>
      </c>
      <c r="AX255" s="9">
        <f t="shared" si="130"/>
        <v>0</v>
      </c>
      <c r="AY255" s="60" t="s">
        <v>1002</v>
      </c>
      <c r="AZ255" s="60" t="s">
        <v>853</v>
      </c>
      <c r="BA255" s="11" t="s">
        <v>1092</v>
      </c>
      <c r="BC255" s="9">
        <f t="shared" si="131"/>
        <v>0</v>
      </c>
      <c r="BD255" s="9">
        <f t="shared" si="132"/>
        <v>0</v>
      </c>
      <c r="BE255" s="9">
        <v>0</v>
      </c>
      <c r="BF255" s="9">
        <f>255</f>
        <v>255</v>
      </c>
      <c r="BH255" s="9">
        <f t="shared" si="133"/>
        <v>0</v>
      </c>
      <c r="BI255" s="9">
        <f t="shared" si="134"/>
        <v>0</v>
      </c>
      <c r="BJ255" s="9">
        <f t="shared" si="135"/>
        <v>0</v>
      </c>
      <c r="BK255" s="9"/>
      <c r="BL255" s="9">
        <v>728</v>
      </c>
      <c r="BW255" s="9">
        <v>21</v>
      </c>
    </row>
    <row r="256" spans="1:75" ht="13.5" customHeight="1">
      <c r="A256" s="16" t="s">
        <v>636</v>
      </c>
      <c r="B256" s="32" t="s">
        <v>5</v>
      </c>
      <c r="C256" s="32" t="s">
        <v>857</v>
      </c>
      <c r="D256" s="69" t="s">
        <v>627</v>
      </c>
      <c r="E256" s="70"/>
      <c r="F256" s="32" t="s">
        <v>798</v>
      </c>
      <c r="G256" s="9">
        <v>50</v>
      </c>
      <c r="H256" s="68">
        <v>0</v>
      </c>
      <c r="I256" s="9">
        <f t="shared" si="114"/>
        <v>0</v>
      </c>
      <c r="K256" s="23"/>
      <c r="Z256" s="9">
        <f t="shared" si="115"/>
        <v>0</v>
      </c>
      <c r="AB256" s="9">
        <f t="shared" si="116"/>
        <v>0</v>
      </c>
      <c r="AC256" s="9">
        <f t="shared" si="117"/>
        <v>0</v>
      </c>
      <c r="AD256" s="9">
        <f t="shared" si="118"/>
        <v>0</v>
      </c>
      <c r="AE256" s="9">
        <f t="shared" si="119"/>
        <v>0</v>
      </c>
      <c r="AF256" s="9">
        <f t="shared" si="120"/>
        <v>0</v>
      </c>
      <c r="AG256" s="9">
        <f t="shared" si="121"/>
        <v>0</v>
      </c>
      <c r="AH256" s="9">
        <f t="shared" si="122"/>
        <v>0</v>
      </c>
      <c r="AI256" s="11" t="s">
        <v>5</v>
      </c>
      <c r="AJ256" s="9">
        <f t="shared" si="123"/>
        <v>0</v>
      </c>
      <c r="AK256" s="9">
        <f t="shared" si="124"/>
        <v>0</v>
      </c>
      <c r="AL256" s="9">
        <f t="shared" si="125"/>
        <v>0</v>
      </c>
      <c r="AN256" s="9">
        <v>21</v>
      </c>
      <c r="AO256" s="9">
        <f t="shared" si="136"/>
        <v>0</v>
      </c>
      <c r="AP256" s="9">
        <f t="shared" si="137"/>
        <v>0</v>
      </c>
      <c r="AQ256" s="60" t="s">
        <v>1238</v>
      </c>
      <c r="AV256" s="9">
        <f t="shared" si="128"/>
        <v>0</v>
      </c>
      <c r="AW256" s="9">
        <f t="shared" si="129"/>
        <v>0</v>
      </c>
      <c r="AX256" s="9">
        <f t="shared" si="130"/>
        <v>0</v>
      </c>
      <c r="AY256" s="60" t="s">
        <v>1002</v>
      </c>
      <c r="AZ256" s="60" t="s">
        <v>853</v>
      </c>
      <c r="BA256" s="11" t="s">
        <v>1092</v>
      </c>
      <c r="BC256" s="9">
        <f t="shared" si="131"/>
        <v>0</v>
      </c>
      <c r="BD256" s="9">
        <f t="shared" si="132"/>
        <v>0</v>
      </c>
      <c r="BE256" s="9">
        <v>0</v>
      </c>
      <c r="BF256" s="9">
        <f>256</f>
        <v>256</v>
      </c>
      <c r="BH256" s="9">
        <f t="shared" si="133"/>
        <v>0</v>
      </c>
      <c r="BI256" s="9">
        <f t="shared" si="134"/>
        <v>0</v>
      </c>
      <c r="BJ256" s="9">
        <f t="shared" si="135"/>
        <v>0</v>
      </c>
      <c r="BK256" s="9"/>
      <c r="BL256" s="9">
        <v>728</v>
      </c>
      <c r="BW256" s="9">
        <v>21</v>
      </c>
    </row>
    <row r="257" spans="1:75" ht="13.5" customHeight="1">
      <c r="A257" s="16" t="s">
        <v>13</v>
      </c>
      <c r="B257" s="32" t="s">
        <v>5</v>
      </c>
      <c r="C257" s="32" t="s">
        <v>350</v>
      </c>
      <c r="D257" s="69" t="s">
        <v>1423</v>
      </c>
      <c r="E257" s="70"/>
      <c r="F257" s="32" t="s">
        <v>798</v>
      </c>
      <c r="G257" s="9">
        <v>10</v>
      </c>
      <c r="H257" s="68">
        <v>0</v>
      </c>
      <c r="I257" s="9">
        <f t="shared" si="114"/>
        <v>0</v>
      </c>
      <c r="K257" s="23"/>
      <c r="Z257" s="9">
        <f t="shared" si="115"/>
        <v>0</v>
      </c>
      <c r="AB257" s="9">
        <f t="shared" si="116"/>
        <v>0</v>
      </c>
      <c r="AC257" s="9">
        <f t="shared" si="117"/>
        <v>0</v>
      </c>
      <c r="AD257" s="9">
        <f t="shared" si="118"/>
        <v>0</v>
      </c>
      <c r="AE257" s="9">
        <f t="shared" si="119"/>
        <v>0</v>
      </c>
      <c r="AF257" s="9">
        <f t="shared" si="120"/>
        <v>0</v>
      </c>
      <c r="AG257" s="9">
        <f t="shared" si="121"/>
        <v>0</v>
      </c>
      <c r="AH257" s="9">
        <f t="shared" si="122"/>
        <v>0</v>
      </c>
      <c r="AI257" s="11" t="s">
        <v>5</v>
      </c>
      <c r="AJ257" s="9">
        <f t="shared" si="123"/>
        <v>0</v>
      </c>
      <c r="AK257" s="9">
        <f t="shared" si="124"/>
        <v>0</v>
      </c>
      <c r="AL257" s="9">
        <f t="shared" si="125"/>
        <v>0</v>
      </c>
      <c r="AN257" s="9">
        <v>21</v>
      </c>
      <c r="AO257" s="9">
        <f t="shared" si="136"/>
        <v>0</v>
      </c>
      <c r="AP257" s="9">
        <f t="shared" si="137"/>
        <v>0</v>
      </c>
      <c r="AQ257" s="60" t="s">
        <v>1238</v>
      </c>
      <c r="AV257" s="9">
        <f t="shared" si="128"/>
        <v>0</v>
      </c>
      <c r="AW257" s="9">
        <f t="shared" si="129"/>
        <v>0</v>
      </c>
      <c r="AX257" s="9">
        <f t="shared" si="130"/>
        <v>0</v>
      </c>
      <c r="AY257" s="60" t="s">
        <v>1002</v>
      </c>
      <c r="AZ257" s="60" t="s">
        <v>853</v>
      </c>
      <c r="BA257" s="11" t="s">
        <v>1092</v>
      </c>
      <c r="BC257" s="9">
        <f t="shared" si="131"/>
        <v>0</v>
      </c>
      <c r="BD257" s="9">
        <f t="shared" si="132"/>
        <v>0</v>
      </c>
      <c r="BE257" s="9">
        <v>0</v>
      </c>
      <c r="BF257" s="9">
        <f>257</f>
        <v>257</v>
      </c>
      <c r="BH257" s="9">
        <f t="shared" si="133"/>
        <v>0</v>
      </c>
      <c r="BI257" s="9">
        <f t="shared" si="134"/>
        <v>0</v>
      </c>
      <c r="BJ257" s="9">
        <f t="shared" si="135"/>
        <v>0</v>
      </c>
      <c r="BK257" s="9"/>
      <c r="BL257" s="9">
        <v>728</v>
      </c>
      <c r="BW257" s="9">
        <v>21</v>
      </c>
    </row>
    <row r="258" spans="1:75" ht="13.5" customHeight="1">
      <c r="A258" s="16" t="s">
        <v>536</v>
      </c>
      <c r="B258" s="32" t="s">
        <v>5</v>
      </c>
      <c r="C258" s="32" t="s">
        <v>1133</v>
      </c>
      <c r="D258" s="69" t="s">
        <v>124</v>
      </c>
      <c r="E258" s="70"/>
      <c r="F258" s="32" t="s">
        <v>861</v>
      </c>
      <c r="G258" s="9">
        <v>1</v>
      </c>
      <c r="H258" s="68">
        <v>0</v>
      </c>
      <c r="I258" s="9">
        <f t="shared" si="114"/>
        <v>0</v>
      </c>
      <c r="K258" s="23"/>
      <c r="Z258" s="9">
        <f t="shared" si="115"/>
        <v>0</v>
      </c>
      <c r="AB258" s="9">
        <f t="shared" si="116"/>
        <v>0</v>
      </c>
      <c r="AC258" s="9">
        <f t="shared" si="117"/>
        <v>0</v>
      </c>
      <c r="AD258" s="9">
        <f t="shared" si="118"/>
        <v>0</v>
      </c>
      <c r="AE258" s="9">
        <f t="shared" si="119"/>
        <v>0</v>
      </c>
      <c r="AF258" s="9">
        <f t="shared" si="120"/>
        <v>0</v>
      </c>
      <c r="AG258" s="9">
        <f t="shared" si="121"/>
        <v>0</v>
      </c>
      <c r="AH258" s="9">
        <f t="shared" si="122"/>
        <v>0</v>
      </c>
      <c r="AI258" s="11" t="s">
        <v>5</v>
      </c>
      <c r="AJ258" s="9">
        <f t="shared" si="123"/>
        <v>0</v>
      </c>
      <c r="AK258" s="9">
        <f t="shared" si="124"/>
        <v>0</v>
      </c>
      <c r="AL258" s="9">
        <f t="shared" si="125"/>
        <v>0</v>
      </c>
      <c r="AN258" s="9">
        <v>21</v>
      </c>
      <c r="AO258" s="9">
        <f t="shared" si="136"/>
        <v>0</v>
      </c>
      <c r="AP258" s="9">
        <f t="shared" si="137"/>
        <v>0</v>
      </c>
      <c r="AQ258" s="60" t="s">
        <v>1238</v>
      </c>
      <c r="AV258" s="9">
        <f t="shared" si="128"/>
        <v>0</v>
      </c>
      <c r="AW258" s="9">
        <f t="shared" si="129"/>
        <v>0</v>
      </c>
      <c r="AX258" s="9">
        <f t="shared" si="130"/>
        <v>0</v>
      </c>
      <c r="AY258" s="60" t="s">
        <v>1002</v>
      </c>
      <c r="AZ258" s="60" t="s">
        <v>853</v>
      </c>
      <c r="BA258" s="11" t="s">
        <v>1092</v>
      </c>
      <c r="BC258" s="9">
        <f t="shared" si="131"/>
        <v>0</v>
      </c>
      <c r="BD258" s="9">
        <f t="shared" si="132"/>
        <v>0</v>
      </c>
      <c r="BE258" s="9">
        <v>0</v>
      </c>
      <c r="BF258" s="9">
        <f>258</f>
        <v>258</v>
      </c>
      <c r="BH258" s="9">
        <f t="shared" si="133"/>
        <v>0</v>
      </c>
      <c r="BI258" s="9">
        <f t="shared" si="134"/>
        <v>0</v>
      </c>
      <c r="BJ258" s="9">
        <f t="shared" si="135"/>
        <v>0</v>
      </c>
      <c r="BK258" s="9"/>
      <c r="BL258" s="9">
        <v>728</v>
      </c>
      <c r="BW258" s="9">
        <v>21</v>
      </c>
    </row>
    <row r="259" spans="1:75" ht="13.5" customHeight="1">
      <c r="A259" s="16" t="s">
        <v>436</v>
      </c>
      <c r="B259" s="32" t="s">
        <v>5</v>
      </c>
      <c r="C259" s="32" t="s">
        <v>1368</v>
      </c>
      <c r="D259" s="69" t="s">
        <v>705</v>
      </c>
      <c r="E259" s="70"/>
      <c r="F259" s="32" t="s">
        <v>798</v>
      </c>
      <c r="G259" s="9">
        <v>25</v>
      </c>
      <c r="H259" s="68">
        <v>0</v>
      </c>
      <c r="I259" s="9">
        <f t="shared" si="114"/>
        <v>0</v>
      </c>
      <c r="K259" s="23"/>
      <c r="Z259" s="9">
        <f t="shared" si="115"/>
        <v>0</v>
      </c>
      <c r="AB259" s="9">
        <f t="shared" si="116"/>
        <v>0</v>
      </c>
      <c r="AC259" s="9">
        <f t="shared" si="117"/>
        <v>0</v>
      </c>
      <c r="AD259" s="9">
        <f t="shared" si="118"/>
        <v>0</v>
      </c>
      <c r="AE259" s="9">
        <f t="shared" si="119"/>
        <v>0</v>
      </c>
      <c r="AF259" s="9">
        <f t="shared" si="120"/>
        <v>0</v>
      </c>
      <c r="AG259" s="9">
        <f t="shared" si="121"/>
        <v>0</v>
      </c>
      <c r="AH259" s="9">
        <f t="shared" si="122"/>
        <v>0</v>
      </c>
      <c r="AI259" s="11" t="s">
        <v>5</v>
      </c>
      <c r="AJ259" s="9">
        <f t="shared" si="123"/>
        <v>0</v>
      </c>
      <c r="AK259" s="9">
        <f t="shared" si="124"/>
        <v>0</v>
      </c>
      <c r="AL259" s="9">
        <f t="shared" si="125"/>
        <v>0</v>
      </c>
      <c r="AN259" s="9">
        <v>21</v>
      </c>
      <c r="AO259" s="9">
        <f t="shared" si="136"/>
        <v>0</v>
      </c>
      <c r="AP259" s="9">
        <f t="shared" si="137"/>
        <v>0</v>
      </c>
      <c r="AQ259" s="60" t="s">
        <v>1238</v>
      </c>
      <c r="AV259" s="9">
        <f t="shared" si="128"/>
        <v>0</v>
      </c>
      <c r="AW259" s="9">
        <f t="shared" si="129"/>
        <v>0</v>
      </c>
      <c r="AX259" s="9">
        <f t="shared" si="130"/>
        <v>0</v>
      </c>
      <c r="AY259" s="60" t="s">
        <v>1002</v>
      </c>
      <c r="AZ259" s="60" t="s">
        <v>853</v>
      </c>
      <c r="BA259" s="11" t="s">
        <v>1092</v>
      </c>
      <c r="BC259" s="9">
        <f t="shared" si="131"/>
        <v>0</v>
      </c>
      <c r="BD259" s="9">
        <f t="shared" si="132"/>
        <v>0</v>
      </c>
      <c r="BE259" s="9">
        <v>0</v>
      </c>
      <c r="BF259" s="9">
        <f>259</f>
        <v>259</v>
      </c>
      <c r="BH259" s="9">
        <f t="shared" si="133"/>
        <v>0</v>
      </c>
      <c r="BI259" s="9">
        <f t="shared" si="134"/>
        <v>0</v>
      </c>
      <c r="BJ259" s="9">
        <f t="shared" si="135"/>
        <v>0</v>
      </c>
      <c r="BK259" s="9"/>
      <c r="BL259" s="9">
        <v>728</v>
      </c>
      <c r="BW259" s="9">
        <v>21</v>
      </c>
    </row>
    <row r="260" spans="1:75" ht="13.5" customHeight="1">
      <c r="A260" s="16" t="s">
        <v>1318</v>
      </c>
      <c r="B260" s="32" t="s">
        <v>5</v>
      </c>
      <c r="C260" s="32" t="s">
        <v>885</v>
      </c>
      <c r="D260" s="69" t="s">
        <v>495</v>
      </c>
      <c r="E260" s="70"/>
      <c r="F260" s="32" t="s">
        <v>861</v>
      </c>
      <c r="G260" s="9">
        <v>1</v>
      </c>
      <c r="H260" s="68">
        <v>0</v>
      </c>
      <c r="I260" s="9">
        <f t="shared" si="114"/>
        <v>0</v>
      </c>
      <c r="K260" s="23"/>
      <c r="Z260" s="9">
        <f t="shared" si="115"/>
        <v>0</v>
      </c>
      <c r="AB260" s="9">
        <f t="shared" si="116"/>
        <v>0</v>
      </c>
      <c r="AC260" s="9">
        <f t="shared" si="117"/>
        <v>0</v>
      </c>
      <c r="AD260" s="9">
        <f t="shared" si="118"/>
        <v>0</v>
      </c>
      <c r="AE260" s="9">
        <f t="shared" si="119"/>
        <v>0</v>
      </c>
      <c r="AF260" s="9">
        <f t="shared" si="120"/>
        <v>0</v>
      </c>
      <c r="AG260" s="9">
        <f t="shared" si="121"/>
        <v>0</v>
      </c>
      <c r="AH260" s="9">
        <f t="shared" si="122"/>
        <v>0</v>
      </c>
      <c r="AI260" s="11" t="s">
        <v>5</v>
      </c>
      <c r="AJ260" s="9">
        <f t="shared" si="123"/>
        <v>0</v>
      </c>
      <c r="AK260" s="9">
        <f t="shared" si="124"/>
        <v>0</v>
      </c>
      <c r="AL260" s="9">
        <f t="shared" si="125"/>
        <v>0</v>
      </c>
      <c r="AN260" s="9">
        <v>21</v>
      </c>
      <c r="AO260" s="9">
        <f t="shared" si="136"/>
        <v>0</v>
      </c>
      <c r="AP260" s="9">
        <f t="shared" si="137"/>
        <v>0</v>
      </c>
      <c r="AQ260" s="60" t="s">
        <v>1238</v>
      </c>
      <c r="AV260" s="9">
        <f t="shared" si="128"/>
        <v>0</v>
      </c>
      <c r="AW260" s="9">
        <f t="shared" si="129"/>
        <v>0</v>
      </c>
      <c r="AX260" s="9">
        <f t="shared" si="130"/>
        <v>0</v>
      </c>
      <c r="AY260" s="60" t="s">
        <v>1002</v>
      </c>
      <c r="AZ260" s="60" t="s">
        <v>853</v>
      </c>
      <c r="BA260" s="11" t="s">
        <v>1092</v>
      </c>
      <c r="BC260" s="9">
        <f t="shared" si="131"/>
        <v>0</v>
      </c>
      <c r="BD260" s="9">
        <f t="shared" si="132"/>
        <v>0</v>
      </c>
      <c r="BE260" s="9">
        <v>0</v>
      </c>
      <c r="BF260" s="9">
        <f>260</f>
        <v>260</v>
      </c>
      <c r="BH260" s="9">
        <f t="shared" si="133"/>
        <v>0</v>
      </c>
      <c r="BI260" s="9">
        <f t="shared" si="134"/>
        <v>0</v>
      </c>
      <c r="BJ260" s="9">
        <f t="shared" si="135"/>
        <v>0</v>
      </c>
      <c r="BK260" s="9"/>
      <c r="BL260" s="9">
        <v>728</v>
      </c>
      <c r="BW260" s="9">
        <v>21</v>
      </c>
    </row>
    <row r="261" spans="1:75" ht="13.5" customHeight="1">
      <c r="A261" s="16" t="s">
        <v>700</v>
      </c>
      <c r="B261" s="32" t="s">
        <v>5</v>
      </c>
      <c r="C261" s="32" t="s">
        <v>1024</v>
      </c>
      <c r="D261" s="69" t="s">
        <v>1250</v>
      </c>
      <c r="E261" s="70"/>
      <c r="F261" s="32" t="s">
        <v>861</v>
      </c>
      <c r="G261" s="9">
        <v>1</v>
      </c>
      <c r="H261" s="68">
        <v>0</v>
      </c>
      <c r="I261" s="9">
        <f t="shared" si="114"/>
        <v>0</v>
      </c>
      <c r="K261" s="23"/>
      <c r="Z261" s="9">
        <f t="shared" si="115"/>
        <v>0</v>
      </c>
      <c r="AB261" s="9">
        <f t="shared" si="116"/>
        <v>0</v>
      </c>
      <c r="AC261" s="9">
        <f t="shared" si="117"/>
        <v>0</v>
      </c>
      <c r="AD261" s="9">
        <f t="shared" si="118"/>
        <v>0</v>
      </c>
      <c r="AE261" s="9">
        <f t="shared" si="119"/>
        <v>0</v>
      </c>
      <c r="AF261" s="9">
        <f t="shared" si="120"/>
        <v>0</v>
      </c>
      <c r="AG261" s="9">
        <f t="shared" si="121"/>
        <v>0</v>
      </c>
      <c r="AH261" s="9">
        <f t="shared" si="122"/>
        <v>0</v>
      </c>
      <c r="AI261" s="11" t="s">
        <v>5</v>
      </c>
      <c r="AJ261" s="9">
        <f t="shared" si="123"/>
        <v>0</v>
      </c>
      <c r="AK261" s="9">
        <f t="shared" si="124"/>
        <v>0</v>
      </c>
      <c r="AL261" s="9">
        <f t="shared" si="125"/>
        <v>0</v>
      </c>
      <c r="AN261" s="9">
        <v>21</v>
      </c>
      <c r="AO261" s="9">
        <f t="shared" si="136"/>
        <v>0</v>
      </c>
      <c r="AP261" s="9">
        <f t="shared" si="137"/>
        <v>0</v>
      </c>
      <c r="AQ261" s="60" t="s">
        <v>1238</v>
      </c>
      <c r="AV261" s="9">
        <f t="shared" si="128"/>
        <v>0</v>
      </c>
      <c r="AW261" s="9">
        <f t="shared" si="129"/>
        <v>0</v>
      </c>
      <c r="AX261" s="9">
        <f t="shared" si="130"/>
        <v>0</v>
      </c>
      <c r="AY261" s="60" t="s">
        <v>1002</v>
      </c>
      <c r="AZ261" s="60" t="s">
        <v>853</v>
      </c>
      <c r="BA261" s="11" t="s">
        <v>1092</v>
      </c>
      <c r="BC261" s="9">
        <f t="shared" si="131"/>
        <v>0</v>
      </c>
      <c r="BD261" s="9">
        <f t="shared" si="132"/>
        <v>0</v>
      </c>
      <c r="BE261" s="9">
        <v>0</v>
      </c>
      <c r="BF261" s="9">
        <f>261</f>
        <v>261</v>
      </c>
      <c r="BH261" s="9">
        <f t="shared" si="133"/>
        <v>0</v>
      </c>
      <c r="BI261" s="9">
        <f t="shared" si="134"/>
        <v>0</v>
      </c>
      <c r="BJ261" s="9">
        <f t="shared" si="135"/>
        <v>0</v>
      </c>
      <c r="BK261" s="9"/>
      <c r="BL261" s="9">
        <v>728</v>
      </c>
      <c r="BW261" s="9">
        <v>21</v>
      </c>
    </row>
    <row r="262" spans="1:75" ht="13.5" customHeight="1">
      <c r="A262" s="16" t="s">
        <v>664</v>
      </c>
      <c r="B262" s="32" t="s">
        <v>5</v>
      </c>
      <c r="C262" s="32" t="s">
        <v>831</v>
      </c>
      <c r="D262" s="69" t="s">
        <v>1232</v>
      </c>
      <c r="E262" s="70"/>
      <c r="F262" s="32" t="s">
        <v>861</v>
      </c>
      <c r="G262" s="9">
        <v>1</v>
      </c>
      <c r="H262" s="68">
        <v>0</v>
      </c>
      <c r="I262" s="9">
        <f t="shared" si="114"/>
        <v>0</v>
      </c>
      <c r="K262" s="23"/>
      <c r="Z262" s="9">
        <f t="shared" si="115"/>
        <v>0</v>
      </c>
      <c r="AB262" s="9">
        <f t="shared" si="116"/>
        <v>0</v>
      </c>
      <c r="AC262" s="9">
        <f t="shared" si="117"/>
        <v>0</v>
      </c>
      <c r="AD262" s="9">
        <f t="shared" si="118"/>
        <v>0</v>
      </c>
      <c r="AE262" s="9">
        <f t="shared" si="119"/>
        <v>0</v>
      </c>
      <c r="AF262" s="9">
        <f t="shared" si="120"/>
        <v>0</v>
      </c>
      <c r="AG262" s="9">
        <f t="shared" si="121"/>
        <v>0</v>
      </c>
      <c r="AH262" s="9">
        <f t="shared" si="122"/>
        <v>0</v>
      </c>
      <c r="AI262" s="11" t="s">
        <v>5</v>
      </c>
      <c r="AJ262" s="9">
        <f t="shared" si="123"/>
        <v>0</v>
      </c>
      <c r="AK262" s="9">
        <f t="shared" si="124"/>
        <v>0</v>
      </c>
      <c r="AL262" s="9">
        <f t="shared" si="125"/>
        <v>0</v>
      </c>
      <c r="AN262" s="9">
        <v>21</v>
      </c>
      <c r="AO262" s="9">
        <f t="shared" si="136"/>
        <v>0</v>
      </c>
      <c r="AP262" s="9">
        <f t="shared" si="137"/>
        <v>0</v>
      </c>
      <c r="AQ262" s="60" t="s">
        <v>1238</v>
      </c>
      <c r="AV262" s="9">
        <f t="shared" si="128"/>
        <v>0</v>
      </c>
      <c r="AW262" s="9">
        <f t="shared" si="129"/>
        <v>0</v>
      </c>
      <c r="AX262" s="9">
        <f t="shared" si="130"/>
        <v>0</v>
      </c>
      <c r="AY262" s="60" t="s">
        <v>1002</v>
      </c>
      <c r="AZ262" s="60" t="s">
        <v>853</v>
      </c>
      <c r="BA262" s="11" t="s">
        <v>1092</v>
      </c>
      <c r="BC262" s="9">
        <f t="shared" si="131"/>
        <v>0</v>
      </c>
      <c r="BD262" s="9">
        <f t="shared" si="132"/>
        <v>0</v>
      </c>
      <c r="BE262" s="9">
        <v>0</v>
      </c>
      <c r="BF262" s="9">
        <f>262</f>
        <v>262</v>
      </c>
      <c r="BH262" s="9">
        <f t="shared" si="133"/>
        <v>0</v>
      </c>
      <c r="BI262" s="9">
        <f t="shared" si="134"/>
        <v>0</v>
      </c>
      <c r="BJ262" s="9">
        <f t="shared" si="135"/>
        <v>0</v>
      </c>
      <c r="BK262" s="9"/>
      <c r="BL262" s="9">
        <v>728</v>
      </c>
      <c r="BW262" s="9">
        <v>21</v>
      </c>
    </row>
    <row r="263" spans="1:47" ht="15" customHeight="1">
      <c r="A263" s="39" t="s">
        <v>852</v>
      </c>
      <c r="B263" s="48" t="s">
        <v>5</v>
      </c>
      <c r="C263" s="48" t="s">
        <v>467</v>
      </c>
      <c r="D263" s="122" t="s">
        <v>93</v>
      </c>
      <c r="E263" s="123"/>
      <c r="F263" s="51" t="s">
        <v>1142</v>
      </c>
      <c r="G263" s="51" t="s">
        <v>1142</v>
      </c>
      <c r="H263" s="51" t="s">
        <v>1142</v>
      </c>
      <c r="I263" s="55">
        <f>SUM(I264:I302)</f>
        <v>0</v>
      </c>
      <c r="K263" s="23"/>
      <c r="AI263" s="11" t="s">
        <v>5</v>
      </c>
      <c r="AS263" s="55">
        <f>SUM(AJ264:AJ302)</f>
        <v>0</v>
      </c>
      <c r="AT263" s="55">
        <f>SUM(AK264:AK302)</f>
        <v>0</v>
      </c>
      <c r="AU263" s="55">
        <f>SUM(AL264:AL302)</f>
        <v>0</v>
      </c>
    </row>
    <row r="264" spans="1:75" ht="13.5" customHeight="1">
      <c r="A264" s="16" t="s">
        <v>1048</v>
      </c>
      <c r="B264" s="32" t="s">
        <v>5</v>
      </c>
      <c r="C264" s="32" t="s">
        <v>577</v>
      </c>
      <c r="D264" s="145" t="s">
        <v>1439</v>
      </c>
      <c r="E264" s="146"/>
      <c r="F264" s="32" t="s">
        <v>1026</v>
      </c>
      <c r="G264" s="9">
        <v>89.5</v>
      </c>
      <c r="H264" s="68">
        <v>0</v>
      </c>
      <c r="I264" s="9">
        <f aca="true" t="shared" si="138" ref="I264:I302">G264*H264</f>
        <v>0</v>
      </c>
      <c r="K264" s="23"/>
      <c r="Z264" s="9">
        <f aca="true" t="shared" si="139" ref="Z264:Z302">IF(AQ264="5",BJ264,0)</f>
        <v>0</v>
      </c>
      <c r="AB264" s="9">
        <f aca="true" t="shared" si="140" ref="AB264:AB302">IF(AQ264="1",BH264,0)</f>
        <v>0</v>
      </c>
      <c r="AC264" s="9">
        <f aca="true" t="shared" si="141" ref="AC264:AC302">IF(AQ264="1",BI264,0)</f>
        <v>0</v>
      </c>
      <c r="AD264" s="9">
        <f aca="true" t="shared" si="142" ref="AD264:AD302">IF(AQ264="7",BH264,0)</f>
        <v>0</v>
      </c>
      <c r="AE264" s="9">
        <f aca="true" t="shared" si="143" ref="AE264:AE302">IF(AQ264="7",BI264,0)</f>
        <v>0</v>
      </c>
      <c r="AF264" s="9">
        <f aca="true" t="shared" si="144" ref="AF264:AF302">IF(AQ264="2",BH264,0)</f>
        <v>0</v>
      </c>
      <c r="AG264" s="9">
        <f aca="true" t="shared" si="145" ref="AG264:AG302">IF(AQ264="2",BI264,0)</f>
        <v>0</v>
      </c>
      <c r="AH264" s="9">
        <f aca="true" t="shared" si="146" ref="AH264:AH302">IF(AQ264="0",BJ264,0)</f>
        <v>0</v>
      </c>
      <c r="AI264" s="11" t="s">
        <v>5</v>
      </c>
      <c r="AJ264" s="9">
        <f aca="true" t="shared" si="147" ref="AJ264:AJ302">IF(AN264=0,I264,0)</f>
        <v>0</v>
      </c>
      <c r="AK264" s="9">
        <f aca="true" t="shared" si="148" ref="AK264:AK302">IF(AN264=12,I264,0)</f>
        <v>0</v>
      </c>
      <c r="AL264" s="9">
        <f aca="true" t="shared" si="149" ref="AL264:AL302">IF(AN264=21,I264,0)</f>
        <v>0</v>
      </c>
      <c r="AN264" s="9">
        <v>21</v>
      </c>
      <c r="AO264" s="9">
        <f>H264*0</f>
        <v>0</v>
      </c>
      <c r="AP264" s="9">
        <f>H264*(1-0)</f>
        <v>0</v>
      </c>
      <c r="AQ264" s="60" t="s">
        <v>1238</v>
      </c>
      <c r="AV264" s="9">
        <f aca="true" t="shared" si="150" ref="AV264:AV302">AW264+AX264</f>
        <v>0</v>
      </c>
      <c r="AW264" s="9">
        <f aca="true" t="shared" si="151" ref="AW264:AW302">G264*AO264</f>
        <v>0</v>
      </c>
      <c r="AX264" s="9">
        <f aca="true" t="shared" si="152" ref="AX264:AX302">G264*AP264</f>
        <v>0</v>
      </c>
      <c r="AY264" s="60" t="s">
        <v>772</v>
      </c>
      <c r="AZ264" s="60" t="s">
        <v>484</v>
      </c>
      <c r="BA264" s="11" t="s">
        <v>1092</v>
      </c>
      <c r="BC264" s="9">
        <f aca="true" t="shared" si="153" ref="BC264:BC302">AW264+AX264</f>
        <v>0</v>
      </c>
      <c r="BD264" s="9">
        <f aca="true" t="shared" si="154" ref="BD264:BD302">H264/(100-BE264)*100</f>
        <v>0</v>
      </c>
      <c r="BE264" s="9">
        <v>0</v>
      </c>
      <c r="BF264" s="9">
        <f>264</f>
        <v>264</v>
      </c>
      <c r="BH264" s="9">
        <f aca="true" t="shared" si="155" ref="BH264:BH302">G264*AO264</f>
        <v>0</v>
      </c>
      <c r="BI264" s="9">
        <f aca="true" t="shared" si="156" ref="BI264:BI302">G264*AP264</f>
        <v>0</v>
      </c>
      <c r="BJ264" s="9">
        <f aca="true" t="shared" si="157" ref="BJ264:BJ302">G264*H264</f>
        <v>0</v>
      </c>
      <c r="BK264" s="9"/>
      <c r="BL264" s="9">
        <v>730</v>
      </c>
      <c r="BW264" s="9">
        <v>21</v>
      </c>
    </row>
    <row r="265" spans="1:75" ht="13.5" customHeight="1">
      <c r="A265" s="16" t="s">
        <v>1141</v>
      </c>
      <c r="B265" s="32" t="s">
        <v>5</v>
      </c>
      <c r="C265" s="32" t="s">
        <v>947</v>
      </c>
      <c r="D265" s="69" t="s">
        <v>760</v>
      </c>
      <c r="E265" s="70"/>
      <c r="F265" s="32" t="s">
        <v>861</v>
      </c>
      <c r="G265" s="9">
        <v>8</v>
      </c>
      <c r="H265" s="68">
        <v>0</v>
      </c>
      <c r="I265" s="9">
        <f t="shared" si="138"/>
        <v>0</v>
      </c>
      <c r="K265" s="23"/>
      <c r="Z265" s="9">
        <f t="shared" si="139"/>
        <v>0</v>
      </c>
      <c r="AB265" s="9">
        <f t="shared" si="140"/>
        <v>0</v>
      </c>
      <c r="AC265" s="9">
        <f t="shared" si="141"/>
        <v>0</v>
      </c>
      <c r="AD265" s="9">
        <f t="shared" si="142"/>
        <v>0</v>
      </c>
      <c r="AE265" s="9">
        <f t="shared" si="143"/>
        <v>0</v>
      </c>
      <c r="AF265" s="9">
        <f t="shared" si="144"/>
        <v>0</v>
      </c>
      <c r="AG265" s="9">
        <f t="shared" si="145"/>
        <v>0</v>
      </c>
      <c r="AH265" s="9">
        <f t="shared" si="146"/>
        <v>0</v>
      </c>
      <c r="AI265" s="11" t="s">
        <v>5</v>
      </c>
      <c r="AJ265" s="9">
        <f t="shared" si="147"/>
        <v>0</v>
      </c>
      <c r="AK265" s="9">
        <f t="shared" si="148"/>
        <v>0</v>
      </c>
      <c r="AL265" s="9">
        <f t="shared" si="149"/>
        <v>0</v>
      </c>
      <c r="AN265" s="9">
        <v>21</v>
      </c>
      <c r="AO265" s="9">
        <f>H265*0</f>
        <v>0</v>
      </c>
      <c r="AP265" s="9">
        <f>H265*(1-0)</f>
        <v>0</v>
      </c>
      <c r="AQ265" s="60" t="s">
        <v>1238</v>
      </c>
      <c r="AV265" s="9">
        <f t="shared" si="150"/>
        <v>0</v>
      </c>
      <c r="AW265" s="9">
        <f t="shared" si="151"/>
        <v>0</v>
      </c>
      <c r="AX265" s="9">
        <f t="shared" si="152"/>
        <v>0</v>
      </c>
      <c r="AY265" s="60" t="s">
        <v>772</v>
      </c>
      <c r="AZ265" s="60" t="s">
        <v>484</v>
      </c>
      <c r="BA265" s="11" t="s">
        <v>1092</v>
      </c>
      <c r="BC265" s="9">
        <f t="shared" si="153"/>
        <v>0</v>
      </c>
      <c r="BD265" s="9">
        <f t="shared" si="154"/>
        <v>0</v>
      </c>
      <c r="BE265" s="9">
        <v>0</v>
      </c>
      <c r="BF265" s="9">
        <f>265</f>
        <v>265</v>
      </c>
      <c r="BH265" s="9">
        <f t="shared" si="155"/>
        <v>0</v>
      </c>
      <c r="BI265" s="9">
        <f t="shared" si="156"/>
        <v>0</v>
      </c>
      <c r="BJ265" s="9">
        <f t="shared" si="157"/>
        <v>0</v>
      </c>
      <c r="BK265" s="9"/>
      <c r="BL265" s="9">
        <v>730</v>
      </c>
      <c r="BW265" s="9">
        <v>21</v>
      </c>
    </row>
    <row r="266" spans="1:75" ht="13.5" customHeight="1">
      <c r="A266" s="16" t="s">
        <v>1236</v>
      </c>
      <c r="B266" s="32" t="s">
        <v>5</v>
      </c>
      <c r="C266" s="32" t="s">
        <v>1377</v>
      </c>
      <c r="D266" s="69" t="s">
        <v>890</v>
      </c>
      <c r="E266" s="70"/>
      <c r="F266" s="32" t="s">
        <v>1026</v>
      </c>
      <c r="G266" s="9">
        <v>38.5</v>
      </c>
      <c r="H266" s="68">
        <v>0</v>
      </c>
      <c r="I266" s="9">
        <f t="shared" si="138"/>
        <v>0</v>
      </c>
      <c r="K266" s="23"/>
      <c r="Z266" s="9">
        <f t="shared" si="139"/>
        <v>0</v>
      </c>
      <c r="AB266" s="9">
        <f t="shared" si="140"/>
        <v>0</v>
      </c>
      <c r="AC266" s="9">
        <f t="shared" si="141"/>
        <v>0</v>
      </c>
      <c r="AD266" s="9">
        <f t="shared" si="142"/>
        <v>0</v>
      </c>
      <c r="AE266" s="9">
        <f t="shared" si="143"/>
        <v>0</v>
      </c>
      <c r="AF266" s="9">
        <f t="shared" si="144"/>
        <v>0</v>
      </c>
      <c r="AG266" s="9">
        <f t="shared" si="145"/>
        <v>0</v>
      </c>
      <c r="AH266" s="9">
        <f t="shared" si="146"/>
        <v>0</v>
      </c>
      <c r="AI266" s="11" t="s">
        <v>5</v>
      </c>
      <c r="AJ266" s="9">
        <f t="shared" si="147"/>
        <v>0</v>
      </c>
      <c r="AK266" s="9">
        <f t="shared" si="148"/>
        <v>0</v>
      </c>
      <c r="AL266" s="9">
        <f t="shared" si="149"/>
        <v>0</v>
      </c>
      <c r="AN266" s="9">
        <v>21</v>
      </c>
      <c r="AO266" s="9">
        <f aca="true" t="shared" si="158" ref="AO266:AO282">H266*0.53</f>
        <v>0</v>
      </c>
      <c r="AP266" s="9">
        <f aca="true" t="shared" si="159" ref="AP266:AP282">H266*(1-0.53)</f>
        <v>0</v>
      </c>
      <c r="AQ266" s="60" t="s">
        <v>1238</v>
      </c>
      <c r="AV266" s="9">
        <f t="shared" si="150"/>
        <v>0</v>
      </c>
      <c r="AW266" s="9">
        <f t="shared" si="151"/>
        <v>0</v>
      </c>
      <c r="AX266" s="9">
        <f t="shared" si="152"/>
        <v>0</v>
      </c>
      <c r="AY266" s="60" t="s">
        <v>772</v>
      </c>
      <c r="AZ266" s="60" t="s">
        <v>484</v>
      </c>
      <c r="BA266" s="11" t="s">
        <v>1092</v>
      </c>
      <c r="BC266" s="9">
        <f t="shared" si="153"/>
        <v>0</v>
      </c>
      <c r="BD266" s="9">
        <f t="shared" si="154"/>
        <v>0</v>
      </c>
      <c r="BE266" s="9">
        <v>0</v>
      </c>
      <c r="BF266" s="9">
        <f>266</f>
        <v>266</v>
      </c>
      <c r="BH266" s="9">
        <f t="shared" si="155"/>
        <v>0</v>
      </c>
      <c r="BI266" s="9">
        <f t="shared" si="156"/>
        <v>0</v>
      </c>
      <c r="BJ266" s="9">
        <f t="shared" si="157"/>
        <v>0</v>
      </c>
      <c r="BK266" s="9"/>
      <c r="BL266" s="9">
        <v>730</v>
      </c>
      <c r="BW266" s="9">
        <v>21</v>
      </c>
    </row>
    <row r="267" spans="1:75" ht="13.5" customHeight="1">
      <c r="A267" s="16" t="s">
        <v>838</v>
      </c>
      <c r="B267" s="32" t="s">
        <v>5</v>
      </c>
      <c r="C267" s="32" t="s">
        <v>473</v>
      </c>
      <c r="D267" s="69" t="s">
        <v>701</v>
      </c>
      <c r="E267" s="70"/>
      <c r="F267" s="32" t="s">
        <v>1026</v>
      </c>
      <c r="G267" s="9">
        <v>13.5</v>
      </c>
      <c r="H267" s="68">
        <v>0</v>
      </c>
      <c r="I267" s="9">
        <f t="shared" si="138"/>
        <v>0</v>
      </c>
      <c r="K267" s="23"/>
      <c r="Z267" s="9">
        <f t="shared" si="139"/>
        <v>0</v>
      </c>
      <c r="AB267" s="9">
        <f t="shared" si="140"/>
        <v>0</v>
      </c>
      <c r="AC267" s="9">
        <f t="shared" si="141"/>
        <v>0</v>
      </c>
      <c r="AD267" s="9">
        <f t="shared" si="142"/>
        <v>0</v>
      </c>
      <c r="AE267" s="9">
        <f t="shared" si="143"/>
        <v>0</v>
      </c>
      <c r="AF267" s="9">
        <f t="shared" si="144"/>
        <v>0</v>
      </c>
      <c r="AG267" s="9">
        <f t="shared" si="145"/>
        <v>0</v>
      </c>
      <c r="AH267" s="9">
        <f t="shared" si="146"/>
        <v>0</v>
      </c>
      <c r="AI267" s="11" t="s">
        <v>5</v>
      </c>
      <c r="AJ267" s="9">
        <f t="shared" si="147"/>
        <v>0</v>
      </c>
      <c r="AK267" s="9">
        <f t="shared" si="148"/>
        <v>0</v>
      </c>
      <c r="AL267" s="9">
        <f t="shared" si="149"/>
        <v>0</v>
      </c>
      <c r="AN267" s="9">
        <v>21</v>
      </c>
      <c r="AO267" s="9">
        <f t="shared" si="158"/>
        <v>0</v>
      </c>
      <c r="AP267" s="9">
        <f t="shared" si="159"/>
        <v>0</v>
      </c>
      <c r="AQ267" s="60" t="s">
        <v>1238</v>
      </c>
      <c r="AV267" s="9">
        <f t="shared" si="150"/>
        <v>0</v>
      </c>
      <c r="AW267" s="9">
        <f t="shared" si="151"/>
        <v>0</v>
      </c>
      <c r="AX267" s="9">
        <f t="shared" si="152"/>
        <v>0</v>
      </c>
      <c r="AY267" s="60" t="s">
        <v>772</v>
      </c>
      <c r="AZ267" s="60" t="s">
        <v>484</v>
      </c>
      <c r="BA267" s="11" t="s">
        <v>1092</v>
      </c>
      <c r="BC267" s="9">
        <f t="shared" si="153"/>
        <v>0</v>
      </c>
      <c r="BD267" s="9">
        <f t="shared" si="154"/>
        <v>0</v>
      </c>
      <c r="BE267" s="9">
        <v>0</v>
      </c>
      <c r="BF267" s="9">
        <f>267</f>
        <v>267</v>
      </c>
      <c r="BH267" s="9">
        <f t="shared" si="155"/>
        <v>0</v>
      </c>
      <c r="BI267" s="9">
        <f t="shared" si="156"/>
        <v>0</v>
      </c>
      <c r="BJ267" s="9">
        <f t="shared" si="157"/>
        <v>0</v>
      </c>
      <c r="BK267" s="9"/>
      <c r="BL267" s="9">
        <v>730</v>
      </c>
      <c r="BW267" s="9">
        <v>21</v>
      </c>
    </row>
    <row r="268" spans="1:75" ht="13.5" customHeight="1">
      <c r="A268" s="16" t="s">
        <v>1110</v>
      </c>
      <c r="B268" s="32" t="s">
        <v>5</v>
      </c>
      <c r="C268" s="32" t="s">
        <v>1245</v>
      </c>
      <c r="D268" s="69" t="s">
        <v>370</v>
      </c>
      <c r="E268" s="70"/>
      <c r="F268" s="32" t="s">
        <v>1026</v>
      </c>
      <c r="G268" s="9">
        <v>10.5</v>
      </c>
      <c r="H268" s="68">
        <v>0</v>
      </c>
      <c r="I268" s="9">
        <f t="shared" si="138"/>
        <v>0</v>
      </c>
      <c r="K268" s="23"/>
      <c r="Z268" s="9">
        <f t="shared" si="139"/>
        <v>0</v>
      </c>
      <c r="AB268" s="9">
        <f t="shared" si="140"/>
        <v>0</v>
      </c>
      <c r="AC268" s="9">
        <f t="shared" si="141"/>
        <v>0</v>
      </c>
      <c r="AD268" s="9">
        <f t="shared" si="142"/>
        <v>0</v>
      </c>
      <c r="AE268" s="9">
        <f t="shared" si="143"/>
        <v>0</v>
      </c>
      <c r="AF268" s="9">
        <f t="shared" si="144"/>
        <v>0</v>
      </c>
      <c r="AG268" s="9">
        <f t="shared" si="145"/>
        <v>0</v>
      </c>
      <c r="AH268" s="9">
        <f t="shared" si="146"/>
        <v>0</v>
      </c>
      <c r="AI268" s="11" t="s">
        <v>5</v>
      </c>
      <c r="AJ268" s="9">
        <f t="shared" si="147"/>
        <v>0</v>
      </c>
      <c r="AK268" s="9">
        <f t="shared" si="148"/>
        <v>0</v>
      </c>
      <c r="AL268" s="9">
        <f t="shared" si="149"/>
        <v>0</v>
      </c>
      <c r="AN268" s="9">
        <v>21</v>
      </c>
      <c r="AO268" s="9">
        <f t="shared" si="158"/>
        <v>0</v>
      </c>
      <c r="AP268" s="9">
        <f t="shared" si="159"/>
        <v>0</v>
      </c>
      <c r="AQ268" s="60" t="s">
        <v>1238</v>
      </c>
      <c r="AV268" s="9">
        <f t="shared" si="150"/>
        <v>0</v>
      </c>
      <c r="AW268" s="9">
        <f t="shared" si="151"/>
        <v>0</v>
      </c>
      <c r="AX268" s="9">
        <f t="shared" si="152"/>
        <v>0</v>
      </c>
      <c r="AY268" s="60" t="s">
        <v>772</v>
      </c>
      <c r="AZ268" s="60" t="s">
        <v>484</v>
      </c>
      <c r="BA268" s="11" t="s">
        <v>1092</v>
      </c>
      <c r="BC268" s="9">
        <f t="shared" si="153"/>
        <v>0</v>
      </c>
      <c r="BD268" s="9">
        <f t="shared" si="154"/>
        <v>0</v>
      </c>
      <c r="BE268" s="9">
        <v>0</v>
      </c>
      <c r="BF268" s="9">
        <f>268</f>
        <v>268</v>
      </c>
      <c r="BH268" s="9">
        <f t="shared" si="155"/>
        <v>0</v>
      </c>
      <c r="BI268" s="9">
        <f t="shared" si="156"/>
        <v>0</v>
      </c>
      <c r="BJ268" s="9">
        <f t="shared" si="157"/>
        <v>0</v>
      </c>
      <c r="BK268" s="9"/>
      <c r="BL268" s="9">
        <v>730</v>
      </c>
      <c r="BW268" s="9">
        <v>21</v>
      </c>
    </row>
    <row r="269" spans="1:75" ht="13.5" customHeight="1">
      <c r="A269" s="16" t="s">
        <v>26</v>
      </c>
      <c r="B269" s="32" t="s">
        <v>5</v>
      </c>
      <c r="C269" s="32" t="s">
        <v>176</v>
      </c>
      <c r="D269" s="69" t="s">
        <v>1036</v>
      </c>
      <c r="E269" s="70"/>
      <c r="F269" s="32" t="s">
        <v>1026</v>
      </c>
      <c r="G269" s="9">
        <v>30.5</v>
      </c>
      <c r="H269" s="68">
        <v>0</v>
      </c>
      <c r="I269" s="9">
        <f t="shared" si="138"/>
        <v>0</v>
      </c>
      <c r="K269" s="23"/>
      <c r="Z269" s="9">
        <f t="shared" si="139"/>
        <v>0</v>
      </c>
      <c r="AB269" s="9">
        <f t="shared" si="140"/>
        <v>0</v>
      </c>
      <c r="AC269" s="9">
        <f t="shared" si="141"/>
        <v>0</v>
      </c>
      <c r="AD269" s="9">
        <f t="shared" si="142"/>
        <v>0</v>
      </c>
      <c r="AE269" s="9">
        <f t="shared" si="143"/>
        <v>0</v>
      </c>
      <c r="AF269" s="9">
        <f t="shared" si="144"/>
        <v>0</v>
      </c>
      <c r="AG269" s="9">
        <f t="shared" si="145"/>
        <v>0</v>
      </c>
      <c r="AH269" s="9">
        <f t="shared" si="146"/>
        <v>0</v>
      </c>
      <c r="AI269" s="11" t="s">
        <v>5</v>
      </c>
      <c r="AJ269" s="9">
        <f t="shared" si="147"/>
        <v>0</v>
      </c>
      <c r="AK269" s="9">
        <f t="shared" si="148"/>
        <v>0</v>
      </c>
      <c r="AL269" s="9">
        <f t="shared" si="149"/>
        <v>0</v>
      </c>
      <c r="AN269" s="9">
        <v>21</v>
      </c>
      <c r="AO269" s="9">
        <f t="shared" si="158"/>
        <v>0</v>
      </c>
      <c r="AP269" s="9">
        <f t="shared" si="159"/>
        <v>0</v>
      </c>
      <c r="AQ269" s="60" t="s">
        <v>1238</v>
      </c>
      <c r="AV269" s="9">
        <f t="shared" si="150"/>
        <v>0</v>
      </c>
      <c r="AW269" s="9">
        <f t="shared" si="151"/>
        <v>0</v>
      </c>
      <c r="AX269" s="9">
        <f t="shared" si="152"/>
        <v>0</v>
      </c>
      <c r="AY269" s="60" t="s">
        <v>772</v>
      </c>
      <c r="AZ269" s="60" t="s">
        <v>484</v>
      </c>
      <c r="BA269" s="11" t="s">
        <v>1092</v>
      </c>
      <c r="BC269" s="9">
        <f t="shared" si="153"/>
        <v>0</v>
      </c>
      <c r="BD269" s="9">
        <f t="shared" si="154"/>
        <v>0</v>
      </c>
      <c r="BE269" s="9">
        <v>0</v>
      </c>
      <c r="BF269" s="9">
        <f>269</f>
        <v>269</v>
      </c>
      <c r="BH269" s="9">
        <f t="shared" si="155"/>
        <v>0</v>
      </c>
      <c r="BI269" s="9">
        <f t="shared" si="156"/>
        <v>0</v>
      </c>
      <c r="BJ269" s="9">
        <f t="shared" si="157"/>
        <v>0</v>
      </c>
      <c r="BK269" s="9"/>
      <c r="BL269" s="9">
        <v>730</v>
      </c>
      <c r="BW269" s="9">
        <v>21</v>
      </c>
    </row>
    <row r="270" spans="1:75" ht="13.5" customHeight="1">
      <c r="A270" s="16" t="s">
        <v>1328</v>
      </c>
      <c r="B270" s="32" t="s">
        <v>5</v>
      </c>
      <c r="C270" s="32" t="s">
        <v>1388</v>
      </c>
      <c r="D270" s="69" t="s">
        <v>58</v>
      </c>
      <c r="E270" s="70"/>
      <c r="F270" s="32" t="s">
        <v>1026</v>
      </c>
      <c r="G270" s="9">
        <v>1</v>
      </c>
      <c r="H270" s="68">
        <v>0</v>
      </c>
      <c r="I270" s="9">
        <f t="shared" si="138"/>
        <v>0</v>
      </c>
      <c r="K270" s="23"/>
      <c r="Z270" s="9">
        <f t="shared" si="139"/>
        <v>0</v>
      </c>
      <c r="AB270" s="9">
        <f t="shared" si="140"/>
        <v>0</v>
      </c>
      <c r="AC270" s="9">
        <f t="shared" si="141"/>
        <v>0</v>
      </c>
      <c r="AD270" s="9">
        <f t="shared" si="142"/>
        <v>0</v>
      </c>
      <c r="AE270" s="9">
        <f t="shared" si="143"/>
        <v>0</v>
      </c>
      <c r="AF270" s="9">
        <f t="shared" si="144"/>
        <v>0</v>
      </c>
      <c r="AG270" s="9">
        <f t="shared" si="145"/>
        <v>0</v>
      </c>
      <c r="AH270" s="9">
        <f t="shared" si="146"/>
        <v>0</v>
      </c>
      <c r="AI270" s="11" t="s">
        <v>5</v>
      </c>
      <c r="AJ270" s="9">
        <f t="shared" si="147"/>
        <v>0</v>
      </c>
      <c r="AK270" s="9">
        <f t="shared" si="148"/>
        <v>0</v>
      </c>
      <c r="AL270" s="9">
        <f t="shared" si="149"/>
        <v>0</v>
      </c>
      <c r="AN270" s="9">
        <v>21</v>
      </c>
      <c r="AO270" s="9">
        <f t="shared" si="158"/>
        <v>0</v>
      </c>
      <c r="AP270" s="9">
        <f t="shared" si="159"/>
        <v>0</v>
      </c>
      <c r="AQ270" s="60" t="s">
        <v>1238</v>
      </c>
      <c r="AV270" s="9">
        <f t="shared" si="150"/>
        <v>0</v>
      </c>
      <c r="AW270" s="9">
        <f t="shared" si="151"/>
        <v>0</v>
      </c>
      <c r="AX270" s="9">
        <f t="shared" si="152"/>
        <v>0</v>
      </c>
      <c r="AY270" s="60" t="s">
        <v>772</v>
      </c>
      <c r="AZ270" s="60" t="s">
        <v>484</v>
      </c>
      <c r="BA270" s="11" t="s">
        <v>1092</v>
      </c>
      <c r="BC270" s="9">
        <f t="shared" si="153"/>
        <v>0</v>
      </c>
      <c r="BD270" s="9">
        <f t="shared" si="154"/>
        <v>0</v>
      </c>
      <c r="BE270" s="9">
        <v>0</v>
      </c>
      <c r="BF270" s="9">
        <f>270</f>
        <v>270</v>
      </c>
      <c r="BH270" s="9">
        <f t="shared" si="155"/>
        <v>0</v>
      </c>
      <c r="BI270" s="9">
        <f t="shared" si="156"/>
        <v>0</v>
      </c>
      <c r="BJ270" s="9">
        <f t="shared" si="157"/>
        <v>0</v>
      </c>
      <c r="BK270" s="9"/>
      <c r="BL270" s="9">
        <v>730</v>
      </c>
      <c r="BW270" s="9">
        <v>21</v>
      </c>
    </row>
    <row r="271" spans="1:75" ht="13.5" customHeight="1">
      <c r="A271" s="16" t="s">
        <v>934</v>
      </c>
      <c r="B271" s="32" t="s">
        <v>5</v>
      </c>
      <c r="C271" s="32" t="s">
        <v>126</v>
      </c>
      <c r="D271" s="69" t="s">
        <v>500</v>
      </c>
      <c r="E271" s="70"/>
      <c r="F271" s="32" t="s">
        <v>1026</v>
      </c>
      <c r="G271" s="9">
        <v>5.8</v>
      </c>
      <c r="H271" s="68">
        <v>0</v>
      </c>
      <c r="I271" s="9">
        <f t="shared" si="138"/>
        <v>0</v>
      </c>
      <c r="K271" s="23"/>
      <c r="Z271" s="9">
        <f t="shared" si="139"/>
        <v>0</v>
      </c>
      <c r="AB271" s="9">
        <f t="shared" si="140"/>
        <v>0</v>
      </c>
      <c r="AC271" s="9">
        <f t="shared" si="141"/>
        <v>0</v>
      </c>
      <c r="AD271" s="9">
        <f t="shared" si="142"/>
        <v>0</v>
      </c>
      <c r="AE271" s="9">
        <f t="shared" si="143"/>
        <v>0</v>
      </c>
      <c r="AF271" s="9">
        <f t="shared" si="144"/>
        <v>0</v>
      </c>
      <c r="AG271" s="9">
        <f t="shared" si="145"/>
        <v>0</v>
      </c>
      <c r="AH271" s="9">
        <f t="shared" si="146"/>
        <v>0</v>
      </c>
      <c r="AI271" s="11" t="s">
        <v>5</v>
      </c>
      <c r="AJ271" s="9">
        <f t="shared" si="147"/>
        <v>0</v>
      </c>
      <c r="AK271" s="9">
        <f t="shared" si="148"/>
        <v>0</v>
      </c>
      <c r="AL271" s="9">
        <f t="shared" si="149"/>
        <v>0</v>
      </c>
      <c r="AN271" s="9">
        <v>21</v>
      </c>
      <c r="AO271" s="9">
        <f t="shared" si="158"/>
        <v>0</v>
      </c>
      <c r="AP271" s="9">
        <f t="shared" si="159"/>
        <v>0</v>
      </c>
      <c r="AQ271" s="60" t="s">
        <v>1238</v>
      </c>
      <c r="AV271" s="9">
        <f t="shared" si="150"/>
        <v>0</v>
      </c>
      <c r="AW271" s="9">
        <f t="shared" si="151"/>
        <v>0</v>
      </c>
      <c r="AX271" s="9">
        <f t="shared" si="152"/>
        <v>0</v>
      </c>
      <c r="AY271" s="60" t="s">
        <v>772</v>
      </c>
      <c r="AZ271" s="60" t="s">
        <v>484</v>
      </c>
      <c r="BA271" s="11" t="s">
        <v>1092</v>
      </c>
      <c r="BC271" s="9">
        <f t="shared" si="153"/>
        <v>0</v>
      </c>
      <c r="BD271" s="9">
        <f t="shared" si="154"/>
        <v>0</v>
      </c>
      <c r="BE271" s="9">
        <v>0</v>
      </c>
      <c r="BF271" s="9">
        <f>271</f>
        <v>271</v>
      </c>
      <c r="BH271" s="9">
        <f t="shared" si="155"/>
        <v>0</v>
      </c>
      <c r="BI271" s="9">
        <f t="shared" si="156"/>
        <v>0</v>
      </c>
      <c r="BJ271" s="9">
        <f t="shared" si="157"/>
        <v>0</v>
      </c>
      <c r="BK271" s="9"/>
      <c r="BL271" s="9">
        <v>730</v>
      </c>
      <c r="BW271" s="9">
        <v>21</v>
      </c>
    </row>
    <row r="272" spans="1:75" ht="13.5" customHeight="1">
      <c r="A272" s="16" t="s">
        <v>717</v>
      </c>
      <c r="B272" s="32" t="s">
        <v>5</v>
      </c>
      <c r="C272" s="32" t="s">
        <v>1239</v>
      </c>
      <c r="D272" s="69" t="s">
        <v>778</v>
      </c>
      <c r="E272" s="70"/>
      <c r="F272" s="32" t="s">
        <v>1026</v>
      </c>
      <c r="G272" s="9">
        <v>1.2</v>
      </c>
      <c r="H272" s="68">
        <v>0</v>
      </c>
      <c r="I272" s="9">
        <f t="shared" si="138"/>
        <v>0</v>
      </c>
      <c r="K272" s="23"/>
      <c r="Z272" s="9">
        <f t="shared" si="139"/>
        <v>0</v>
      </c>
      <c r="AB272" s="9">
        <f t="shared" si="140"/>
        <v>0</v>
      </c>
      <c r="AC272" s="9">
        <f t="shared" si="141"/>
        <v>0</v>
      </c>
      <c r="AD272" s="9">
        <f t="shared" si="142"/>
        <v>0</v>
      </c>
      <c r="AE272" s="9">
        <f t="shared" si="143"/>
        <v>0</v>
      </c>
      <c r="AF272" s="9">
        <f t="shared" si="144"/>
        <v>0</v>
      </c>
      <c r="AG272" s="9">
        <f t="shared" si="145"/>
        <v>0</v>
      </c>
      <c r="AH272" s="9">
        <f t="shared" si="146"/>
        <v>0</v>
      </c>
      <c r="AI272" s="11" t="s">
        <v>5</v>
      </c>
      <c r="AJ272" s="9">
        <f t="shared" si="147"/>
        <v>0</v>
      </c>
      <c r="AK272" s="9">
        <f t="shared" si="148"/>
        <v>0</v>
      </c>
      <c r="AL272" s="9">
        <f t="shared" si="149"/>
        <v>0</v>
      </c>
      <c r="AN272" s="9">
        <v>21</v>
      </c>
      <c r="AO272" s="9">
        <f t="shared" si="158"/>
        <v>0</v>
      </c>
      <c r="AP272" s="9">
        <f t="shared" si="159"/>
        <v>0</v>
      </c>
      <c r="AQ272" s="60" t="s">
        <v>1238</v>
      </c>
      <c r="AV272" s="9">
        <f t="shared" si="150"/>
        <v>0</v>
      </c>
      <c r="AW272" s="9">
        <f t="shared" si="151"/>
        <v>0</v>
      </c>
      <c r="AX272" s="9">
        <f t="shared" si="152"/>
        <v>0</v>
      </c>
      <c r="AY272" s="60" t="s">
        <v>772</v>
      </c>
      <c r="AZ272" s="60" t="s">
        <v>484</v>
      </c>
      <c r="BA272" s="11" t="s">
        <v>1092</v>
      </c>
      <c r="BC272" s="9">
        <f t="shared" si="153"/>
        <v>0</v>
      </c>
      <c r="BD272" s="9">
        <f t="shared" si="154"/>
        <v>0</v>
      </c>
      <c r="BE272" s="9">
        <v>0</v>
      </c>
      <c r="BF272" s="9">
        <f>272</f>
        <v>272</v>
      </c>
      <c r="BH272" s="9">
        <f t="shared" si="155"/>
        <v>0</v>
      </c>
      <c r="BI272" s="9">
        <f t="shared" si="156"/>
        <v>0</v>
      </c>
      <c r="BJ272" s="9">
        <f t="shared" si="157"/>
        <v>0</v>
      </c>
      <c r="BK272" s="9"/>
      <c r="BL272" s="9">
        <v>730</v>
      </c>
      <c r="BW272" s="9">
        <v>21</v>
      </c>
    </row>
    <row r="273" spans="1:75" ht="13.5" customHeight="1">
      <c r="A273" s="16" t="s">
        <v>1272</v>
      </c>
      <c r="B273" s="32" t="s">
        <v>5</v>
      </c>
      <c r="C273" s="32" t="s">
        <v>54</v>
      </c>
      <c r="D273" s="69" t="s">
        <v>1157</v>
      </c>
      <c r="E273" s="70"/>
      <c r="F273" s="32" t="s">
        <v>1026</v>
      </c>
      <c r="G273" s="9">
        <v>1.2</v>
      </c>
      <c r="H273" s="68">
        <v>0</v>
      </c>
      <c r="I273" s="9">
        <f t="shared" si="138"/>
        <v>0</v>
      </c>
      <c r="K273" s="23"/>
      <c r="Z273" s="9">
        <f t="shared" si="139"/>
        <v>0</v>
      </c>
      <c r="AB273" s="9">
        <f t="shared" si="140"/>
        <v>0</v>
      </c>
      <c r="AC273" s="9">
        <f t="shared" si="141"/>
        <v>0</v>
      </c>
      <c r="AD273" s="9">
        <f t="shared" si="142"/>
        <v>0</v>
      </c>
      <c r="AE273" s="9">
        <f t="shared" si="143"/>
        <v>0</v>
      </c>
      <c r="AF273" s="9">
        <f t="shared" si="144"/>
        <v>0</v>
      </c>
      <c r="AG273" s="9">
        <f t="shared" si="145"/>
        <v>0</v>
      </c>
      <c r="AH273" s="9">
        <f t="shared" si="146"/>
        <v>0</v>
      </c>
      <c r="AI273" s="11" t="s">
        <v>5</v>
      </c>
      <c r="AJ273" s="9">
        <f t="shared" si="147"/>
        <v>0</v>
      </c>
      <c r="AK273" s="9">
        <f t="shared" si="148"/>
        <v>0</v>
      </c>
      <c r="AL273" s="9">
        <f t="shared" si="149"/>
        <v>0</v>
      </c>
      <c r="AN273" s="9">
        <v>21</v>
      </c>
      <c r="AO273" s="9">
        <f t="shared" si="158"/>
        <v>0</v>
      </c>
      <c r="AP273" s="9">
        <f t="shared" si="159"/>
        <v>0</v>
      </c>
      <c r="AQ273" s="60" t="s">
        <v>1238</v>
      </c>
      <c r="AV273" s="9">
        <f t="shared" si="150"/>
        <v>0</v>
      </c>
      <c r="AW273" s="9">
        <f t="shared" si="151"/>
        <v>0</v>
      </c>
      <c r="AX273" s="9">
        <f t="shared" si="152"/>
        <v>0</v>
      </c>
      <c r="AY273" s="60" t="s">
        <v>772</v>
      </c>
      <c r="AZ273" s="60" t="s">
        <v>484</v>
      </c>
      <c r="BA273" s="11" t="s">
        <v>1092</v>
      </c>
      <c r="BC273" s="9">
        <f t="shared" si="153"/>
        <v>0</v>
      </c>
      <c r="BD273" s="9">
        <f t="shared" si="154"/>
        <v>0</v>
      </c>
      <c r="BE273" s="9">
        <v>0</v>
      </c>
      <c r="BF273" s="9">
        <f>273</f>
        <v>273</v>
      </c>
      <c r="BH273" s="9">
        <f t="shared" si="155"/>
        <v>0</v>
      </c>
      <c r="BI273" s="9">
        <f t="shared" si="156"/>
        <v>0</v>
      </c>
      <c r="BJ273" s="9">
        <f t="shared" si="157"/>
        <v>0</v>
      </c>
      <c r="BK273" s="9"/>
      <c r="BL273" s="9">
        <v>730</v>
      </c>
      <c r="BW273" s="9">
        <v>21</v>
      </c>
    </row>
    <row r="274" spans="1:75" ht="13.5" customHeight="1">
      <c r="A274" s="16" t="s">
        <v>1008</v>
      </c>
      <c r="B274" s="32" t="s">
        <v>5</v>
      </c>
      <c r="C274" s="32" t="s">
        <v>597</v>
      </c>
      <c r="D274" s="69" t="s">
        <v>1160</v>
      </c>
      <c r="E274" s="70"/>
      <c r="F274" s="32" t="s">
        <v>861</v>
      </c>
      <c r="G274" s="9">
        <v>2</v>
      </c>
      <c r="H274" s="68">
        <v>0</v>
      </c>
      <c r="I274" s="9">
        <f t="shared" si="138"/>
        <v>0</v>
      </c>
      <c r="K274" s="23"/>
      <c r="Z274" s="9">
        <f t="shared" si="139"/>
        <v>0</v>
      </c>
      <c r="AB274" s="9">
        <f t="shared" si="140"/>
        <v>0</v>
      </c>
      <c r="AC274" s="9">
        <f t="shared" si="141"/>
        <v>0</v>
      </c>
      <c r="AD274" s="9">
        <f t="shared" si="142"/>
        <v>0</v>
      </c>
      <c r="AE274" s="9">
        <f t="shared" si="143"/>
        <v>0</v>
      </c>
      <c r="AF274" s="9">
        <f t="shared" si="144"/>
        <v>0</v>
      </c>
      <c r="AG274" s="9">
        <f t="shared" si="145"/>
        <v>0</v>
      </c>
      <c r="AH274" s="9">
        <f t="shared" si="146"/>
        <v>0</v>
      </c>
      <c r="AI274" s="11" t="s">
        <v>5</v>
      </c>
      <c r="AJ274" s="9">
        <f t="shared" si="147"/>
        <v>0</v>
      </c>
      <c r="AK274" s="9">
        <f t="shared" si="148"/>
        <v>0</v>
      </c>
      <c r="AL274" s="9">
        <f t="shared" si="149"/>
        <v>0</v>
      </c>
      <c r="AN274" s="9">
        <v>21</v>
      </c>
      <c r="AO274" s="9">
        <f t="shared" si="158"/>
        <v>0</v>
      </c>
      <c r="AP274" s="9">
        <f t="shared" si="159"/>
        <v>0</v>
      </c>
      <c r="AQ274" s="60" t="s">
        <v>1238</v>
      </c>
      <c r="AV274" s="9">
        <f t="shared" si="150"/>
        <v>0</v>
      </c>
      <c r="AW274" s="9">
        <f t="shared" si="151"/>
        <v>0</v>
      </c>
      <c r="AX274" s="9">
        <f t="shared" si="152"/>
        <v>0</v>
      </c>
      <c r="AY274" s="60" t="s">
        <v>772</v>
      </c>
      <c r="AZ274" s="60" t="s">
        <v>484</v>
      </c>
      <c r="BA274" s="11" t="s">
        <v>1092</v>
      </c>
      <c r="BC274" s="9">
        <f t="shared" si="153"/>
        <v>0</v>
      </c>
      <c r="BD274" s="9">
        <f t="shared" si="154"/>
        <v>0</v>
      </c>
      <c r="BE274" s="9">
        <v>0</v>
      </c>
      <c r="BF274" s="9">
        <f>274</f>
        <v>274</v>
      </c>
      <c r="BH274" s="9">
        <f t="shared" si="155"/>
        <v>0</v>
      </c>
      <c r="BI274" s="9">
        <f t="shared" si="156"/>
        <v>0</v>
      </c>
      <c r="BJ274" s="9">
        <f t="shared" si="157"/>
        <v>0</v>
      </c>
      <c r="BK274" s="9"/>
      <c r="BL274" s="9">
        <v>730</v>
      </c>
      <c r="BW274" s="9">
        <v>21</v>
      </c>
    </row>
    <row r="275" spans="1:75" ht="13.5" customHeight="1">
      <c r="A275" s="16" t="s">
        <v>1204</v>
      </c>
      <c r="B275" s="32" t="s">
        <v>5</v>
      </c>
      <c r="C275" s="32" t="s">
        <v>606</v>
      </c>
      <c r="D275" s="69" t="s">
        <v>776</v>
      </c>
      <c r="E275" s="70"/>
      <c r="F275" s="32" t="s">
        <v>861</v>
      </c>
      <c r="G275" s="9">
        <v>2</v>
      </c>
      <c r="H275" s="68">
        <v>0</v>
      </c>
      <c r="I275" s="9">
        <f t="shared" si="138"/>
        <v>0</v>
      </c>
      <c r="K275" s="23"/>
      <c r="Z275" s="9">
        <f t="shared" si="139"/>
        <v>0</v>
      </c>
      <c r="AB275" s="9">
        <f t="shared" si="140"/>
        <v>0</v>
      </c>
      <c r="AC275" s="9">
        <f t="shared" si="141"/>
        <v>0</v>
      </c>
      <c r="AD275" s="9">
        <f t="shared" si="142"/>
        <v>0</v>
      </c>
      <c r="AE275" s="9">
        <f t="shared" si="143"/>
        <v>0</v>
      </c>
      <c r="AF275" s="9">
        <f t="shared" si="144"/>
        <v>0</v>
      </c>
      <c r="AG275" s="9">
        <f t="shared" si="145"/>
        <v>0</v>
      </c>
      <c r="AH275" s="9">
        <f t="shared" si="146"/>
        <v>0</v>
      </c>
      <c r="AI275" s="11" t="s">
        <v>5</v>
      </c>
      <c r="AJ275" s="9">
        <f t="shared" si="147"/>
        <v>0</v>
      </c>
      <c r="AK275" s="9">
        <f t="shared" si="148"/>
        <v>0</v>
      </c>
      <c r="AL275" s="9">
        <f t="shared" si="149"/>
        <v>0</v>
      </c>
      <c r="AN275" s="9">
        <v>21</v>
      </c>
      <c r="AO275" s="9">
        <f t="shared" si="158"/>
        <v>0</v>
      </c>
      <c r="AP275" s="9">
        <f t="shared" si="159"/>
        <v>0</v>
      </c>
      <c r="AQ275" s="60" t="s">
        <v>1238</v>
      </c>
      <c r="AV275" s="9">
        <f t="shared" si="150"/>
        <v>0</v>
      </c>
      <c r="AW275" s="9">
        <f t="shared" si="151"/>
        <v>0</v>
      </c>
      <c r="AX275" s="9">
        <f t="shared" si="152"/>
        <v>0</v>
      </c>
      <c r="AY275" s="60" t="s">
        <v>772</v>
      </c>
      <c r="AZ275" s="60" t="s">
        <v>484</v>
      </c>
      <c r="BA275" s="11" t="s">
        <v>1092</v>
      </c>
      <c r="BC275" s="9">
        <f t="shared" si="153"/>
        <v>0</v>
      </c>
      <c r="BD275" s="9">
        <f t="shared" si="154"/>
        <v>0</v>
      </c>
      <c r="BE275" s="9">
        <v>0</v>
      </c>
      <c r="BF275" s="9">
        <f>275</f>
        <v>275</v>
      </c>
      <c r="BH275" s="9">
        <f t="shared" si="155"/>
        <v>0</v>
      </c>
      <c r="BI275" s="9">
        <f t="shared" si="156"/>
        <v>0</v>
      </c>
      <c r="BJ275" s="9">
        <f t="shared" si="157"/>
        <v>0</v>
      </c>
      <c r="BK275" s="9"/>
      <c r="BL275" s="9">
        <v>730</v>
      </c>
      <c r="BW275" s="9">
        <v>21</v>
      </c>
    </row>
    <row r="276" spans="1:75" ht="13.5" customHeight="1">
      <c r="A276" s="16" t="s">
        <v>218</v>
      </c>
      <c r="B276" s="32" t="s">
        <v>5</v>
      </c>
      <c r="C276" s="32" t="s">
        <v>137</v>
      </c>
      <c r="D276" s="69" t="s">
        <v>1098</v>
      </c>
      <c r="E276" s="70"/>
      <c r="F276" s="32" t="s">
        <v>861</v>
      </c>
      <c r="G276" s="9">
        <v>4</v>
      </c>
      <c r="H276" s="68">
        <v>0</v>
      </c>
      <c r="I276" s="9">
        <f t="shared" si="138"/>
        <v>0</v>
      </c>
      <c r="K276" s="23"/>
      <c r="Z276" s="9">
        <f t="shared" si="139"/>
        <v>0</v>
      </c>
      <c r="AB276" s="9">
        <f t="shared" si="140"/>
        <v>0</v>
      </c>
      <c r="AC276" s="9">
        <f t="shared" si="141"/>
        <v>0</v>
      </c>
      <c r="AD276" s="9">
        <f t="shared" si="142"/>
        <v>0</v>
      </c>
      <c r="AE276" s="9">
        <f t="shared" si="143"/>
        <v>0</v>
      </c>
      <c r="AF276" s="9">
        <f t="shared" si="144"/>
        <v>0</v>
      </c>
      <c r="AG276" s="9">
        <f t="shared" si="145"/>
        <v>0</v>
      </c>
      <c r="AH276" s="9">
        <f t="shared" si="146"/>
        <v>0</v>
      </c>
      <c r="AI276" s="11" t="s">
        <v>5</v>
      </c>
      <c r="AJ276" s="9">
        <f t="shared" si="147"/>
        <v>0</v>
      </c>
      <c r="AK276" s="9">
        <f t="shared" si="148"/>
        <v>0</v>
      </c>
      <c r="AL276" s="9">
        <f t="shared" si="149"/>
        <v>0</v>
      </c>
      <c r="AN276" s="9">
        <v>21</v>
      </c>
      <c r="AO276" s="9">
        <f t="shared" si="158"/>
        <v>0</v>
      </c>
      <c r="AP276" s="9">
        <f t="shared" si="159"/>
        <v>0</v>
      </c>
      <c r="AQ276" s="60" t="s">
        <v>1238</v>
      </c>
      <c r="AV276" s="9">
        <f t="shared" si="150"/>
        <v>0</v>
      </c>
      <c r="AW276" s="9">
        <f t="shared" si="151"/>
        <v>0</v>
      </c>
      <c r="AX276" s="9">
        <f t="shared" si="152"/>
        <v>0</v>
      </c>
      <c r="AY276" s="60" t="s">
        <v>772</v>
      </c>
      <c r="AZ276" s="60" t="s">
        <v>484</v>
      </c>
      <c r="BA276" s="11" t="s">
        <v>1092</v>
      </c>
      <c r="BC276" s="9">
        <f t="shared" si="153"/>
        <v>0</v>
      </c>
      <c r="BD276" s="9">
        <f t="shared" si="154"/>
        <v>0</v>
      </c>
      <c r="BE276" s="9">
        <v>0</v>
      </c>
      <c r="BF276" s="9">
        <f>276</f>
        <v>276</v>
      </c>
      <c r="BH276" s="9">
        <f t="shared" si="155"/>
        <v>0</v>
      </c>
      <c r="BI276" s="9">
        <f t="shared" si="156"/>
        <v>0</v>
      </c>
      <c r="BJ276" s="9">
        <f t="shared" si="157"/>
        <v>0</v>
      </c>
      <c r="BK276" s="9"/>
      <c r="BL276" s="9">
        <v>730</v>
      </c>
      <c r="BW276" s="9">
        <v>21</v>
      </c>
    </row>
    <row r="277" spans="1:75" ht="13.5" customHeight="1">
      <c r="A277" s="16" t="s">
        <v>1032</v>
      </c>
      <c r="B277" s="32" t="s">
        <v>5</v>
      </c>
      <c r="C277" s="32" t="s">
        <v>1265</v>
      </c>
      <c r="D277" s="69" t="s">
        <v>142</v>
      </c>
      <c r="E277" s="70"/>
      <c r="F277" s="32" t="s">
        <v>861</v>
      </c>
      <c r="G277" s="9">
        <v>8</v>
      </c>
      <c r="H277" s="68">
        <v>0</v>
      </c>
      <c r="I277" s="9">
        <f t="shared" si="138"/>
        <v>0</v>
      </c>
      <c r="K277" s="23"/>
      <c r="Z277" s="9">
        <f t="shared" si="139"/>
        <v>0</v>
      </c>
      <c r="AB277" s="9">
        <f t="shared" si="140"/>
        <v>0</v>
      </c>
      <c r="AC277" s="9">
        <f t="shared" si="141"/>
        <v>0</v>
      </c>
      <c r="AD277" s="9">
        <f t="shared" si="142"/>
        <v>0</v>
      </c>
      <c r="AE277" s="9">
        <f t="shared" si="143"/>
        <v>0</v>
      </c>
      <c r="AF277" s="9">
        <f t="shared" si="144"/>
        <v>0</v>
      </c>
      <c r="AG277" s="9">
        <f t="shared" si="145"/>
        <v>0</v>
      </c>
      <c r="AH277" s="9">
        <f t="shared" si="146"/>
        <v>0</v>
      </c>
      <c r="AI277" s="11" t="s">
        <v>5</v>
      </c>
      <c r="AJ277" s="9">
        <f t="shared" si="147"/>
        <v>0</v>
      </c>
      <c r="AK277" s="9">
        <f t="shared" si="148"/>
        <v>0</v>
      </c>
      <c r="AL277" s="9">
        <f t="shared" si="149"/>
        <v>0</v>
      </c>
      <c r="AN277" s="9">
        <v>21</v>
      </c>
      <c r="AO277" s="9">
        <f t="shared" si="158"/>
        <v>0</v>
      </c>
      <c r="AP277" s="9">
        <f t="shared" si="159"/>
        <v>0</v>
      </c>
      <c r="AQ277" s="60" t="s">
        <v>1238</v>
      </c>
      <c r="AV277" s="9">
        <f t="shared" si="150"/>
        <v>0</v>
      </c>
      <c r="AW277" s="9">
        <f t="shared" si="151"/>
        <v>0</v>
      </c>
      <c r="AX277" s="9">
        <f t="shared" si="152"/>
        <v>0</v>
      </c>
      <c r="AY277" s="60" t="s">
        <v>772</v>
      </c>
      <c r="AZ277" s="60" t="s">
        <v>484</v>
      </c>
      <c r="BA277" s="11" t="s">
        <v>1092</v>
      </c>
      <c r="BC277" s="9">
        <f t="shared" si="153"/>
        <v>0</v>
      </c>
      <c r="BD277" s="9">
        <f t="shared" si="154"/>
        <v>0</v>
      </c>
      <c r="BE277" s="9">
        <v>0</v>
      </c>
      <c r="BF277" s="9">
        <f>277</f>
        <v>277</v>
      </c>
      <c r="BH277" s="9">
        <f t="shared" si="155"/>
        <v>0</v>
      </c>
      <c r="BI277" s="9">
        <f t="shared" si="156"/>
        <v>0</v>
      </c>
      <c r="BJ277" s="9">
        <f t="shared" si="157"/>
        <v>0</v>
      </c>
      <c r="BK277" s="9"/>
      <c r="BL277" s="9">
        <v>730</v>
      </c>
      <c r="BW277" s="9">
        <v>21</v>
      </c>
    </row>
    <row r="278" spans="1:75" ht="13.5" customHeight="1">
      <c r="A278" s="16" t="s">
        <v>1415</v>
      </c>
      <c r="B278" s="32" t="s">
        <v>5</v>
      </c>
      <c r="C278" s="32" t="s">
        <v>1039</v>
      </c>
      <c r="D278" s="69" t="s">
        <v>148</v>
      </c>
      <c r="E278" s="70"/>
      <c r="F278" s="32" t="s">
        <v>861</v>
      </c>
      <c r="G278" s="9">
        <v>8</v>
      </c>
      <c r="H278" s="68">
        <v>0</v>
      </c>
      <c r="I278" s="9">
        <f t="shared" si="138"/>
        <v>0</v>
      </c>
      <c r="K278" s="23"/>
      <c r="Z278" s="9">
        <f t="shared" si="139"/>
        <v>0</v>
      </c>
      <c r="AB278" s="9">
        <f t="shared" si="140"/>
        <v>0</v>
      </c>
      <c r="AC278" s="9">
        <f t="shared" si="141"/>
        <v>0</v>
      </c>
      <c r="AD278" s="9">
        <f t="shared" si="142"/>
        <v>0</v>
      </c>
      <c r="AE278" s="9">
        <f t="shared" si="143"/>
        <v>0</v>
      </c>
      <c r="AF278" s="9">
        <f t="shared" si="144"/>
        <v>0</v>
      </c>
      <c r="AG278" s="9">
        <f t="shared" si="145"/>
        <v>0</v>
      </c>
      <c r="AH278" s="9">
        <f t="shared" si="146"/>
        <v>0</v>
      </c>
      <c r="AI278" s="11" t="s">
        <v>5</v>
      </c>
      <c r="AJ278" s="9">
        <f t="shared" si="147"/>
        <v>0</v>
      </c>
      <c r="AK278" s="9">
        <f t="shared" si="148"/>
        <v>0</v>
      </c>
      <c r="AL278" s="9">
        <f t="shared" si="149"/>
        <v>0</v>
      </c>
      <c r="AN278" s="9">
        <v>21</v>
      </c>
      <c r="AO278" s="9">
        <f t="shared" si="158"/>
        <v>0</v>
      </c>
      <c r="AP278" s="9">
        <f t="shared" si="159"/>
        <v>0</v>
      </c>
      <c r="AQ278" s="60" t="s">
        <v>1238</v>
      </c>
      <c r="AV278" s="9">
        <f t="shared" si="150"/>
        <v>0</v>
      </c>
      <c r="AW278" s="9">
        <f t="shared" si="151"/>
        <v>0</v>
      </c>
      <c r="AX278" s="9">
        <f t="shared" si="152"/>
        <v>0</v>
      </c>
      <c r="AY278" s="60" t="s">
        <v>772</v>
      </c>
      <c r="AZ278" s="60" t="s">
        <v>484</v>
      </c>
      <c r="BA278" s="11" t="s">
        <v>1092</v>
      </c>
      <c r="BC278" s="9">
        <f t="shared" si="153"/>
        <v>0</v>
      </c>
      <c r="BD278" s="9">
        <f t="shared" si="154"/>
        <v>0</v>
      </c>
      <c r="BE278" s="9">
        <v>0</v>
      </c>
      <c r="BF278" s="9">
        <f>278</f>
        <v>278</v>
      </c>
      <c r="BH278" s="9">
        <f t="shared" si="155"/>
        <v>0</v>
      </c>
      <c r="BI278" s="9">
        <f t="shared" si="156"/>
        <v>0</v>
      </c>
      <c r="BJ278" s="9">
        <f t="shared" si="157"/>
        <v>0</v>
      </c>
      <c r="BK278" s="9"/>
      <c r="BL278" s="9">
        <v>730</v>
      </c>
      <c r="BW278" s="9">
        <v>21</v>
      </c>
    </row>
    <row r="279" spans="1:75" ht="13.5" customHeight="1">
      <c r="A279" s="16" t="s">
        <v>324</v>
      </c>
      <c r="B279" s="32" t="s">
        <v>5</v>
      </c>
      <c r="C279" s="32" t="s">
        <v>37</v>
      </c>
      <c r="D279" s="69" t="s">
        <v>733</v>
      </c>
      <c r="E279" s="70"/>
      <c r="F279" s="32" t="s">
        <v>861</v>
      </c>
      <c r="G279" s="9">
        <v>8</v>
      </c>
      <c r="H279" s="68">
        <v>0</v>
      </c>
      <c r="I279" s="9">
        <f t="shared" si="138"/>
        <v>0</v>
      </c>
      <c r="K279" s="23"/>
      <c r="Z279" s="9">
        <f t="shared" si="139"/>
        <v>0</v>
      </c>
      <c r="AB279" s="9">
        <f t="shared" si="140"/>
        <v>0</v>
      </c>
      <c r="AC279" s="9">
        <f t="shared" si="141"/>
        <v>0</v>
      </c>
      <c r="AD279" s="9">
        <f t="shared" si="142"/>
        <v>0</v>
      </c>
      <c r="AE279" s="9">
        <f t="shared" si="143"/>
        <v>0</v>
      </c>
      <c r="AF279" s="9">
        <f t="shared" si="144"/>
        <v>0</v>
      </c>
      <c r="AG279" s="9">
        <f t="shared" si="145"/>
        <v>0</v>
      </c>
      <c r="AH279" s="9">
        <f t="shared" si="146"/>
        <v>0</v>
      </c>
      <c r="AI279" s="11" t="s">
        <v>5</v>
      </c>
      <c r="AJ279" s="9">
        <f t="shared" si="147"/>
        <v>0</v>
      </c>
      <c r="AK279" s="9">
        <f t="shared" si="148"/>
        <v>0</v>
      </c>
      <c r="AL279" s="9">
        <f t="shared" si="149"/>
        <v>0</v>
      </c>
      <c r="AN279" s="9">
        <v>21</v>
      </c>
      <c r="AO279" s="9">
        <f t="shared" si="158"/>
        <v>0</v>
      </c>
      <c r="AP279" s="9">
        <f t="shared" si="159"/>
        <v>0</v>
      </c>
      <c r="AQ279" s="60" t="s">
        <v>1238</v>
      </c>
      <c r="AV279" s="9">
        <f t="shared" si="150"/>
        <v>0</v>
      </c>
      <c r="AW279" s="9">
        <f t="shared" si="151"/>
        <v>0</v>
      </c>
      <c r="AX279" s="9">
        <f t="shared" si="152"/>
        <v>0</v>
      </c>
      <c r="AY279" s="60" t="s">
        <v>772</v>
      </c>
      <c r="AZ279" s="60" t="s">
        <v>484</v>
      </c>
      <c r="BA279" s="11" t="s">
        <v>1092</v>
      </c>
      <c r="BC279" s="9">
        <f t="shared" si="153"/>
        <v>0</v>
      </c>
      <c r="BD279" s="9">
        <f t="shared" si="154"/>
        <v>0</v>
      </c>
      <c r="BE279" s="9">
        <v>0</v>
      </c>
      <c r="BF279" s="9">
        <f>279</f>
        <v>279</v>
      </c>
      <c r="BH279" s="9">
        <f t="shared" si="155"/>
        <v>0</v>
      </c>
      <c r="BI279" s="9">
        <f t="shared" si="156"/>
        <v>0</v>
      </c>
      <c r="BJ279" s="9">
        <f t="shared" si="157"/>
        <v>0</v>
      </c>
      <c r="BK279" s="9"/>
      <c r="BL279" s="9">
        <v>730</v>
      </c>
      <c r="BW279" s="9">
        <v>21</v>
      </c>
    </row>
    <row r="280" spans="1:75" ht="13.5" customHeight="1">
      <c r="A280" s="16" t="s">
        <v>488</v>
      </c>
      <c r="B280" s="32" t="s">
        <v>5</v>
      </c>
      <c r="C280" s="32" t="s">
        <v>958</v>
      </c>
      <c r="D280" s="69" t="s">
        <v>266</v>
      </c>
      <c r="E280" s="70"/>
      <c r="F280" s="32" t="s">
        <v>861</v>
      </c>
      <c r="G280" s="9">
        <v>8</v>
      </c>
      <c r="H280" s="68">
        <v>0</v>
      </c>
      <c r="I280" s="9">
        <f t="shared" si="138"/>
        <v>0</v>
      </c>
      <c r="K280" s="23"/>
      <c r="Z280" s="9">
        <f t="shared" si="139"/>
        <v>0</v>
      </c>
      <c r="AB280" s="9">
        <f t="shared" si="140"/>
        <v>0</v>
      </c>
      <c r="AC280" s="9">
        <f t="shared" si="141"/>
        <v>0</v>
      </c>
      <c r="AD280" s="9">
        <f t="shared" si="142"/>
        <v>0</v>
      </c>
      <c r="AE280" s="9">
        <f t="shared" si="143"/>
        <v>0</v>
      </c>
      <c r="AF280" s="9">
        <f t="shared" si="144"/>
        <v>0</v>
      </c>
      <c r="AG280" s="9">
        <f t="shared" si="145"/>
        <v>0</v>
      </c>
      <c r="AH280" s="9">
        <f t="shared" si="146"/>
        <v>0</v>
      </c>
      <c r="AI280" s="11" t="s">
        <v>5</v>
      </c>
      <c r="AJ280" s="9">
        <f t="shared" si="147"/>
        <v>0</v>
      </c>
      <c r="AK280" s="9">
        <f t="shared" si="148"/>
        <v>0</v>
      </c>
      <c r="AL280" s="9">
        <f t="shared" si="149"/>
        <v>0</v>
      </c>
      <c r="AN280" s="9">
        <v>21</v>
      </c>
      <c r="AO280" s="9">
        <f t="shared" si="158"/>
        <v>0</v>
      </c>
      <c r="AP280" s="9">
        <f t="shared" si="159"/>
        <v>0</v>
      </c>
      <c r="AQ280" s="60" t="s">
        <v>1238</v>
      </c>
      <c r="AV280" s="9">
        <f t="shared" si="150"/>
        <v>0</v>
      </c>
      <c r="AW280" s="9">
        <f t="shared" si="151"/>
        <v>0</v>
      </c>
      <c r="AX280" s="9">
        <f t="shared" si="152"/>
        <v>0</v>
      </c>
      <c r="AY280" s="60" t="s">
        <v>772</v>
      </c>
      <c r="AZ280" s="60" t="s">
        <v>484</v>
      </c>
      <c r="BA280" s="11" t="s">
        <v>1092</v>
      </c>
      <c r="BC280" s="9">
        <f t="shared" si="153"/>
        <v>0</v>
      </c>
      <c r="BD280" s="9">
        <f t="shared" si="154"/>
        <v>0</v>
      </c>
      <c r="BE280" s="9">
        <v>0</v>
      </c>
      <c r="BF280" s="9">
        <f>280</f>
        <v>280</v>
      </c>
      <c r="BH280" s="9">
        <f t="shared" si="155"/>
        <v>0</v>
      </c>
      <c r="BI280" s="9">
        <f t="shared" si="156"/>
        <v>0</v>
      </c>
      <c r="BJ280" s="9">
        <f t="shared" si="157"/>
        <v>0</v>
      </c>
      <c r="BK280" s="9"/>
      <c r="BL280" s="9">
        <v>730</v>
      </c>
      <c r="BW280" s="9">
        <v>21</v>
      </c>
    </row>
    <row r="281" spans="1:75" ht="13.5" customHeight="1">
      <c r="A281" s="16" t="s">
        <v>451</v>
      </c>
      <c r="B281" s="32" t="s">
        <v>5</v>
      </c>
      <c r="C281" s="32" t="s">
        <v>383</v>
      </c>
      <c r="D281" s="69" t="s">
        <v>318</v>
      </c>
      <c r="E281" s="70"/>
      <c r="F281" s="32" t="s">
        <v>861</v>
      </c>
      <c r="G281" s="9">
        <v>8</v>
      </c>
      <c r="H281" s="68">
        <v>0</v>
      </c>
      <c r="I281" s="9">
        <f t="shared" si="138"/>
        <v>0</v>
      </c>
      <c r="K281" s="23"/>
      <c r="Z281" s="9">
        <f t="shared" si="139"/>
        <v>0</v>
      </c>
      <c r="AB281" s="9">
        <f t="shared" si="140"/>
        <v>0</v>
      </c>
      <c r="AC281" s="9">
        <f t="shared" si="141"/>
        <v>0</v>
      </c>
      <c r="AD281" s="9">
        <f t="shared" si="142"/>
        <v>0</v>
      </c>
      <c r="AE281" s="9">
        <f t="shared" si="143"/>
        <v>0</v>
      </c>
      <c r="AF281" s="9">
        <f t="shared" si="144"/>
        <v>0</v>
      </c>
      <c r="AG281" s="9">
        <f t="shared" si="145"/>
        <v>0</v>
      </c>
      <c r="AH281" s="9">
        <f t="shared" si="146"/>
        <v>0</v>
      </c>
      <c r="AI281" s="11" t="s">
        <v>5</v>
      </c>
      <c r="AJ281" s="9">
        <f t="shared" si="147"/>
        <v>0</v>
      </c>
      <c r="AK281" s="9">
        <f t="shared" si="148"/>
        <v>0</v>
      </c>
      <c r="AL281" s="9">
        <f t="shared" si="149"/>
        <v>0</v>
      </c>
      <c r="AN281" s="9">
        <v>21</v>
      </c>
      <c r="AO281" s="9">
        <f t="shared" si="158"/>
        <v>0</v>
      </c>
      <c r="AP281" s="9">
        <f t="shared" si="159"/>
        <v>0</v>
      </c>
      <c r="AQ281" s="60" t="s">
        <v>1238</v>
      </c>
      <c r="AV281" s="9">
        <f t="shared" si="150"/>
        <v>0</v>
      </c>
      <c r="AW281" s="9">
        <f t="shared" si="151"/>
        <v>0</v>
      </c>
      <c r="AX281" s="9">
        <f t="shared" si="152"/>
        <v>0</v>
      </c>
      <c r="AY281" s="60" t="s">
        <v>772</v>
      </c>
      <c r="AZ281" s="60" t="s">
        <v>484</v>
      </c>
      <c r="BA281" s="11" t="s">
        <v>1092</v>
      </c>
      <c r="BC281" s="9">
        <f t="shared" si="153"/>
        <v>0</v>
      </c>
      <c r="BD281" s="9">
        <f t="shared" si="154"/>
        <v>0</v>
      </c>
      <c r="BE281" s="9">
        <v>0</v>
      </c>
      <c r="BF281" s="9">
        <f>281</f>
        <v>281</v>
      </c>
      <c r="BH281" s="9">
        <f t="shared" si="155"/>
        <v>0</v>
      </c>
      <c r="BI281" s="9">
        <f t="shared" si="156"/>
        <v>0</v>
      </c>
      <c r="BJ281" s="9">
        <f t="shared" si="157"/>
        <v>0</v>
      </c>
      <c r="BK281" s="9"/>
      <c r="BL281" s="9">
        <v>730</v>
      </c>
      <c r="BW281" s="9">
        <v>21</v>
      </c>
    </row>
    <row r="282" spans="1:75" ht="13.5" customHeight="1">
      <c r="A282" s="16" t="s">
        <v>808</v>
      </c>
      <c r="B282" s="32" t="s">
        <v>5</v>
      </c>
      <c r="C282" s="32" t="s">
        <v>361</v>
      </c>
      <c r="D282" s="69" t="s">
        <v>308</v>
      </c>
      <c r="E282" s="70"/>
      <c r="F282" s="32" t="s">
        <v>861</v>
      </c>
      <c r="G282" s="9">
        <v>8</v>
      </c>
      <c r="H282" s="68">
        <v>0</v>
      </c>
      <c r="I282" s="9">
        <f t="shared" si="138"/>
        <v>0</v>
      </c>
      <c r="K282" s="23"/>
      <c r="Z282" s="9">
        <f t="shared" si="139"/>
        <v>0</v>
      </c>
      <c r="AB282" s="9">
        <f t="shared" si="140"/>
        <v>0</v>
      </c>
      <c r="AC282" s="9">
        <f t="shared" si="141"/>
        <v>0</v>
      </c>
      <c r="AD282" s="9">
        <f t="shared" si="142"/>
        <v>0</v>
      </c>
      <c r="AE282" s="9">
        <f t="shared" si="143"/>
        <v>0</v>
      </c>
      <c r="AF282" s="9">
        <f t="shared" si="144"/>
        <v>0</v>
      </c>
      <c r="AG282" s="9">
        <f t="shared" si="145"/>
        <v>0</v>
      </c>
      <c r="AH282" s="9">
        <f t="shared" si="146"/>
        <v>0</v>
      </c>
      <c r="AI282" s="11" t="s">
        <v>5</v>
      </c>
      <c r="AJ282" s="9">
        <f t="shared" si="147"/>
        <v>0</v>
      </c>
      <c r="AK282" s="9">
        <f t="shared" si="148"/>
        <v>0</v>
      </c>
      <c r="AL282" s="9">
        <f t="shared" si="149"/>
        <v>0</v>
      </c>
      <c r="AN282" s="9">
        <v>21</v>
      </c>
      <c r="AO282" s="9">
        <f t="shared" si="158"/>
        <v>0</v>
      </c>
      <c r="AP282" s="9">
        <f t="shared" si="159"/>
        <v>0</v>
      </c>
      <c r="AQ282" s="60" t="s">
        <v>1238</v>
      </c>
      <c r="AV282" s="9">
        <f t="shared" si="150"/>
        <v>0</v>
      </c>
      <c r="AW282" s="9">
        <f t="shared" si="151"/>
        <v>0</v>
      </c>
      <c r="AX282" s="9">
        <f t="shared" si="152"/>
        <v>0</v>
      </c>
      <c r="AY282" s="60" t="s">
        <v>772</v>
      </c>
      <c r="AZ282" s="60" t="s">
        <v>484</v>
      </c>
      <c r="BA282" s="11" t="s">
        <v>1092</v>
      </c>
      <c r="BC282" s="9">
        <f t="shared" si="153"/>
        <v>0</v>
      </c>
      <c r="BD282" s="9">
        <f t="shared" si="154"/>
        <v>0</v>
      </c>
      <c r="BE282" s="9">
        <v>0</v>
      </c>
      <c r="BF282" s="9">
        <f>282</f>
        <v>282</v>
      </c>
      <c r="BH282" s="9">
        <f t="shared" si="155"/>
        <v>0</v>
      </c>
      <c r="BI282" s="9">
        <f t="shared" si="156"/>
        <v>0</v>
      </c>
      <c r="BJ282" s="9">
        <f t="shared" si="157"/>
        <v>0</v>
      </c>
      <c r="BK282" s="9"/>
      <c r="BL282" s="9">
        <v>730</v>
      </c>
      <c r="BW282" s="9">
        <v>21</v>
      </c>
    </row>
    <row r="283" spans="1:75" ht="13.5" customHeight="1">
      <c r="A283" s="16" t="s">
        <v>198</v>
      </c>
      <c r="B283" s="32" t="s">
        <v>5</v>
      </c>
      <c r="C283" s="32" t="s">
        <v>919</v>
      </c>
      <c r="D283" s="69" t="s">
        <v>1373</v>
      </c>
      <c r="E283" s="70"/>
      <c r="F283" s="32" t="s">
        <v>861</v>
      </c>
      <c r="G283" s="9">
        <v>8</v>
      </c>
      <c r="H283" s="68">
        <v>0</v>
      </c>
      <c r="I283" s="9">
        <f t="shared" si="138"/>
        <v>0</v>
      </c>
      <c r="K283" s="23"/>
      <c r="Z283" s="9">
        <f t="shared" si="139"/>
        <v>0</v>
      </c>
      <c r="AB283" s="9">
        <f t="shared" si="140"/>
        <v>0</v>
      </c>
      <c r="AC283" s="9">
        <f t="shared" si="141"/>
        <v>0</v>
      </c>
      <c r="AD283" s="9">
        <f t="shared" si="142"/>
        <v>0</v>
      </c>
      <c r="AE283" s="9">
        <f t="shared" si="143"/>
        <v>0</v>
      </c>
      <c r="AF283" s="9">
        <f t="shared" si="144"/>
        <v>0</v>
      </c>
      <c r="AG283" s="9">
        <f t="shared" si="145"/>
        <v>0</v>
      </c>
      <c r="AH283" s="9">
        <f t="shared" si="146"/>
        <v>0</v>
      </c>
      <c r="AI283" s="11" t="s">
        <v>5</v>
      </c>
      <c r="AJ283" s="9">
        <f t="shared" si="147"/>
        <v>0</v>
      </c>
      <c r="AK283" s="9">
        <f t="shared" si="148"/>
        <v>0</v>
      </c>
      <c r="AL283" s="9">
        <f t="shared" si="149"/>
        <v>0</v>
      </c>
      <c r="AN283" s="9">
        <v>21</v>
      </c>
      <c r="AO283" s="9">
        <f>H283*0</f>
        <v>0</v>
      </c>
      <c r="AP283" s="9">
        <f>H283*(1-0)</f>
        <v>0</v>
      </c>
      <c r="AQ283" s="60" t="s">
        <v>1238</v>
      </c>
      <c r="AV283" s="9">
        <f t="shared" si="150"/>
        <v>0</v>
      </c>
      <c r="AW283" s="9">
        <f t="shared" si="151"/>
        <v>0</v>
      </c>
      <c r="AX283" s="9">
        <f t="shared" si="152"/>
        <v>0</v>
      </c>
      <c r="AY283" s="60" t="s">
        <v>772</v>
      </c>
      <c r="AZ283" s="60" t="s">
        <v>484</v>
      </c>
      <c r="BA283" s="11" t="s">
        <v>1092</v>
      </c>
      <c r="BC283" s="9">
        <f t="shared" si="153"/>
        <v>0</v>
      </c>
      <c r="BD283" s="9">
        <f t="shared" si="154"/>
        <v>0</v>
      </c>
      <c r="BE283" s="9">
        <v>0</v>
      </c>
      <c r="BF283" s="9">
        <f>283</f>
        <v>283</v>
      </c>
      <c r="BH283" s="9">
        <f t="shared" si="155"/>
        <v>0</v>
      </c>
      <c r="BI283" s="9">
        <f t="shared" si="156"/>
        <v>0</v>
      </c>
      <c r="BJ283" s="9">
        <f t="shared" si="157"/>
        <v>0</v>
      </c>
      <c r="BK283" s="9"/>
      <c r="BL283" s="9">
        <v>730</v>
      </c>
      <c r="BW283" s="9">
        <v>21</v>
      </c>
    </row>
    <row r="284" spans="1:75" ht="13.5" customHeight="1">
      <c r="A284" s="16" t="s">
        <v>480</v>
      </c>
      <c r="B284" s="32" t="s">
        <v>5</v>
      </c>
      <c r="C284" s="32" t="s">
        <v>234</v>
      </c>
      <c r="D284" s="69" t="s">
        <v>635</v>
      </c>
      <c r="E284" s="70"/>
      <c r="F284" s="32" t="s">
        <v>861</v>
      </c>
      <c r="G284" s="9">
        <v>8</v>
      </c>
      <c r="H284" s="68">
        <v>0</v>
      </c>
      <c r="I284" s="9">
        <f t="shared" si="138"/>
        <v>0</v>
      </c>
      <c r="K284" s="23"/>
      <c r="Z284" s="9">
        <f t="shared" si="139"/>
        <v>0</v>
      </c>
      <c r="AB284" s="9">
        <f t="shared" si="140"/>
        <v>0</v>
      </c>
      <c r="AC284" s="9">
        <f t="shared" si="141"/>
        <v>0</v>
      </c>
      <c r="AD284" s="9">
        <f t="shared" si="142"/>
        <v>0</v>
      </c>
      <c r="AE284" s="9">
        <f t="shared" si="143"/>
        <v>0</v>
      </c>
      <c r="AF284" s="9">
        <f t="shared" si="144"/>
        <v>0</v>
      </c>
      <c r="AG284" s="9">
        <f t="shared" si="145"/>
        <v>0</v>
      </c>
      <c r="AH284" s="9">
        <f t="shared" si="146"/>
        <v>0</v>
      </c>
      <c r="AI284" s="11" t="s">
        <v>5</v>
      </c>
      <c r="AJ284" s="9">
        <f t="shared" si="147"/>
        <v>0</v>
      </c>
      <c r="AK284" s="9">
        <f t="shared" si="148"/>
        <v>0</v>
      </c>
      <c r="AL284" s="9">
        <f t="shared" si="149"/>
        <v>0</v>
      </c>
      <c r="AN284" s="9">
        <v>21</v>
      </c>
      <c r="AO284" s="9">
        <f>H284*0.53</f>
        <v>0</v>
      </c>
      <c r="AP284" s="9">
        <f>H284*(1-0.53)</f>
        <v>0</v>
      </c>
      <c r="AQ284" s="60" t="s">
        <v>1238</v>
      </c>
      <c r="AV284" s="9">
        <f t="shared" si="150"/>
        <v>0</v>
      </c>
      <c r="AW284" s="9">
        <f t="shared" si="151"/>
        <v>0</v>
      </c>
      <c r="AX284" s="9">
        <f t="shared" si="152"/>
        <v>0</v>
      </c>
      <c r="AY284" s="60" t="s">
        <v>772</v>
      </c>
      <c r="AZ284" s="60" t="s">
        <v>484</v>
      </c>
      <c r="BA284" s="11" t="s">
        <v>1092</v>
      </c>
      <c r="BC284" s="9">
        <f t="shared" si="153"/>
        <v>0</v>
      </c>
      <c r="BD284" s="9">
        <f t="shared" si="154"/>
        <v>0</v>
      </c>
      <c r="BE284" s="9">
        <v>0</v>
      </c>
      <c r="BF284" s="9">
        <f>284</f>
        <v>284</v>
      </c>
      <c r="BH284" s="9">
        <f t="shared" si="155"/>
        <v>0</v>
      </c>
      <c r="BI284" s="9">
        <f t="shared" si="156"/>
        <v>0</v>
      </c>
      <c r="BJ284" s="9">
        <f t="shared" si="157"/>
        <v>0</v>
      </c>
      <c r="BK284" s="9"/>
      <c r="BL284" s="9">
        <v>730</v>
      </c>
      <c r="BW284" s="9">
        <v>21</v>
      </c>
    </row>
    <row r="285" spans="1:75" ht="13.5" customHeight="1">
      <c r="A285" s="16" t="s">
        <v>1033</v>
      </c>
      <c r="B285" s="32" t="s">
        <v>5</v>
      </c>
      <c r="C285" s="32" t="s">
        <v>372</v>
      </c>
      <c r="D285" s="69" t="s">
        <v>246</v>
      </c>
      <c r="E285" s="70"/>
      <c r="F285" s="32" t="s">
        <v>798</v>
      </c>
      <c r="G285" s="9">
        <v>10</v>
      </c>
      <c r="H285" s="68">
        <v>0</v>
      </c>
      <c r="I285" s="9">
        <f t="shared" si="138"/>
        <v>0</v>
      </c>
      <c r="K285" s="23"/>
      <c r="Z285" s="9">
        <f t="shared" si="139"/>
        <v>0</v>
      </c>
      <c r="AB285" s="9">
        <f t="shared" si="140"/>
        <v>0</v>
      </c>
      <c r="AC285" s="9">
        <f t="shared" si="141"/>
        <v>0</v>
      </c>
      <c r="AD285" s="9">
        <f t="shared" si="142"/>
        <v>0</v>
      </c>
      <c r="AE285" s="9">
        <f t="shared" si="143"/>
        <v>0</v>
      </c>
      <c r="AF285" s="9">
        <f t="shared" si="144"/>
        <v>0</v>
      </c>
      <c r="AG285" s="9">
        <f t="shared" si="145"/>
        <v>0</v>
      </c>
      <c r="AH285" s="9">
        <f t="shared" si="146"/>
        <v>0</v>
      </c>
      <c r="AI285" s="11" t="s">
        <v>5</v>
      </c>
      <c r="AJ285" s="9">
        <f t="shared" si="147"/>
        <v>0</v>
      </c>
      <c r="AK285" s="9">
        <f t="shared" si="148"/>
        <v>0</v>
      </c>
      <c r="AL285" s="9">
        <f t="shared" si="149"/>
        <v>0</v>
      </c>
      <c r="AN285" s="9">
        <v>21</v>
      </c>
      <c r="AO285" s="9">
        <f aca="true" t="shared" si="160" ref="AO285:AO302">H285*0</f>
        <v>0</v>
      </c>
      <c r="AP285" s="9">
        <f aca="true" t="shared" si="161" ref="AP285:AP302">H285*(1-0)</f>
        <v>0</v>
      </c>
      <c r="AQ285" s="60" t="s">
        <v>1238</v>
      </c>
      <c r="AV285" s="9">
        <f t="shared" si="150"/>
        <v>0</v>
      </c>
      <c r="AW285" s="9">
        <f t="shared" si="151"/>
        <v>0</v>
      </c>
      <c r="AX285" s="9">
        <f t="shared" si="152"/>
        <v>0</v>
      </c>
      <c r="AY285" s="60" t="s">
        <v>772</v>
      </c>
      <c r="AZ285" s="60" t="s">
        <v>484</v>
      </c>
      <c r="BA285" s="11" t="s">
        <v>1092</v>
      </c>
      <c r="BC285" s="9">
        <f t="shared" si="153"/>
        <v>0</v>
      </c>
      <c r="BD285" s="9">
        <f t="shared" si="154"/>
        <v>0</v>
      </c>
      <c r="BE285" s="9">
        <v>0</v>
      </c>
      <c r="BF285" s="9">
        <f>285</f>
        <v>285</v>
      </c>
      <c r="BH285" s="9">
        <f t="shared" si="155"/>
        <v>0</v>
      </c>
      <c r="BI285" s="9">
        <f t="shared" si="156"/>
        <v>0</v>
      </c>
      <c r="BJ285" s="9">
        <f t="shared" si="157"/>
        <v>0</v>
      </c>
      <c r="BK285" s="9"/>
      <c r="BL285" s="9">
        <v>730</v>
      </c>
      <c r="BW285" s="9">
        <v>21</v>
      </c>
    </row>
    <row r="286" spans="1:75" ht="13.5" customHeight="1">
      <c r="A286" s="16" t="s">
        <v>29</v>
      </c>
      <c r="B286" s="32" t="s">
        <v>5</v>
      </c>
      <c r="C286" s="32" t="s">
        <v>212</v>
      </c>
      <c r="D286" s="69" t="s">
        <v>677</v>
      </c>
      <c r="E286" s="70"/>
      <c r="F286" s="32" t="s">
        <v>798</v>
      </c>
      <c r="G286" s="9">
        <v>15</v>
      </c>
      <c r="H286" s="68">
        <v>0</v>
      </c>
      <c r="I286" s="9">
        <f t="shared" si="138"/>
        <v>0</v>
      </c>
      <c r="K286" s="23"/>
      <c r="Z286" s="9">
        <f t="shared" si="139"/>
        <v>0</v>
      </c>
      <c r="AB286" s="9">
        <f t="shared" si="140"/>
        <v>0</v>
      </c>
      <c r="AC286" s="9">
        <f t="shared" si="141"/>
        <v>0</v>
      </c>
      <c r="AD286" s="9">
        <f t="shared" si="142"/>
        <v>0</v>
      </c>
      <c r="AE286" s="9">
        <f t="shared" si="143"/>
        <v>0</v>
      </c>
      <c r="AF286" s="9">
        <f t="shared" si="144"/>
        <v>0</v>
      </c>
      <c r="AG286" s="9">
        <f t="shared" si="145"/>
        <v>0</v>
      </c>
      <c r="AH286" s="9">
        <f t="shared" si="146"/>
        <v>0</v>
      </c>
      <c r="AI286" s="11" t="s">
        <v>5</v>
      </c>
      <c r="AJ286" s="9">
        <f t="shared" si="147"/>
        <v>0</v>
      </c>
      <c r="AK286" s="9">
        <f t="shared" si="148"/>
        <v>0</v>
      </c>
      <c r="AL286" s="9">
        <f t="shared" si="149"/>
        <v>0</v>
      </c>
      <c r="AN286" s="9">
        <v>21</v>
      </c>
      <c r="AO286" s="9">
        <f t="shared" si="160"/>
        <v>0</v>
      </c>
      <c r="AP286" s="9">
        <f t="shared" si="161"/>
        <v>0</v>
      </c>
      <c r="AQ286" s="60" t="s">
        <v>1238</v>
      </c>
      <c r="AV286" s="9">
        <f t="shared" si="150"/>
        <v>0</v>
      </c>
      <c r="AW286" s="9">
        <f t="shared" si="151"/>
        <v>0</v>
      </c>
      <c r="AX286" s="9">
        <f t="shared" si="152"/>
        <v>0</v>
      </c>
      <c r="AY286" s="60" t="s">
        <v>772</v>
      </c>
      <c r="AZ286" s="60" t="s">
        <v>484</v>
      </c>
      <c r="BA286" s="11" t="s">
        <v>1092</v>
      </c>
      <c r="BC286" s="9">
        <f t="shared" si="153"/>
        <v>0</v>
      </c>
      <c r="BD286" s="9">
        <f t="shared" si="154"/>
        <v>0</v>
      </c>
      <c r="BE286" s="9">
        <v>0</v>
      </c>
      <c r="BF286" s="9">
        <f>286</f>
        <v>286</v>
      </c>
      <c r="BH286" s="9">
        <f t="shared" si="155"/>
        <v>0</v>
      </c>
      <c r="BI286" s="9">
        <f t="shared" si="156"/>
        <v>0</v>
      </c>
      <c r="BJ286" s="9">
        <f t="shared" si="157"/>
        <v>0</v>
      </c>
      <c r="BK286" s="9"/>
      <c r="BL286" s="9">
        <v>730</v>
      </c>
      <c r="BW286" s="9">
        <v>21</v>
      </c>
    </row>
    <row r="287" spans="1:75" ht="13.5" customHeight="1">
      <c r="A287" s="16" t="s">
        <v>559</v>
      </c>
      <c r="B287" s="32" t="s">
        <v>5</v>
      </c>
      <c r="C287" s="32" t="s">
        <v>1161</v>
      </c>
      <c r="D287" s="69" t="s">
        <v>330</v>
      </c>
      <c r="E287" s="70"/>
      <c r="F287" s="32" t="s">
        <v>861</v>
      </c>
      <c r="G287" s="9">
        <v>1</v>
      </c>
      <c r="H287" s="68">
        <v>0</v>
      </c>
      <c r="I287" s="9">
        <f t="shared" si="138"/>
        <v>0</v>
      </c>
      <c r="K287" s="23"/>
      <c r="Z287" s="9">
        <f t="shared" si="139"/>
        <v>0</v>
      </c>
      <c r="AB287" s="9">
        <f t="shared" si="140"/>
        <v>0</v>
      </c>
      <c r="AC287" s="9">
        <f t="shared" si="141"/>
        <v>0</v>
      </c>
      <c r="AD287" s="9">
        <f t="shared" si="142"/>
        <v>0</v>
      </c>
      <c r="AE287" s="9">
        <f t="shared" si="143"/>
        <v>0</v>
      </c>
      <c r="AF287" s="9">
        <f t="shared" si="144"/>
        <v>0</v>
      </c>
      <c r="AG287" s="9">
        <f t="shared" si="145"/>
        <v>0</v>
      </c>
      <c r="AH287" s="9">
        <f t="shared" si="146"/>
        <v>0</v>
      </c>
      <c r="AI287" s="11" t="s">
        <v>5</v>
      </c>
      <c r="AJ287" s="9">
        <f t="shared" si="147"/>
        <v>0</v>
      </c>
      <c r="AK287" s="9">
        <f t="shared" si="148"/>
        <v>0</v>
      </c>
      <c r="AL287" s="9">
        <f t="shared" si="149"/>
        <v>0</v>
      </c>
      <c r="AN287" s="9">
        <v>21</v>
      </c>
      <c r="AO287" s="9">
        <f t="shared" si="160"/>
        <v>0</v>
      </c>
      <c r="AP287" s="9">
        <f t="shared" si="161"/>
        <v>0</v>
      </c>
      <c r="AQ287" s="60" t="s">
        <v>1238</v>
      </c>
      <c r="AV287" s="9">
        <f t="shared" si="150"/>
        <v>0</v>
      </c>
      <c r="AW287" s="9">
        <f t="shared" si="151"/>
        <v>0</v>
      </c>
      <c r="AX287" s="9">
        <f t="shared" si="152"/>
        <v>0</v>
      </c>
      <c r="AY287" s="60" t="s">
        <v>772</v>
      </c>
      <c r="AZ287" s="60" t="s">
        <v>484</v>
      </c>
      <c r="BA287" s="11" t="s">
        <v>1092</v>
      </c>
      <c r="BC287" s="9">
        <f t="shared" si="153"/>
        <v>0</v>
      </c>
      <c r="BD287" s="9">
        <f t="shared" si="154"/>
        <v>0</v>
      </c>
      <c r="BE287" s="9">
        <v>0</v>
      </c>
      <c r="BF287" s="9">
        <f>287</f>
        <v>287</v>
      </c>
      <c r="BH287" s="9">
        <f t="shared" si="155"/>
        <v>0</v>
      </c>
      <c r="BI287" s="9">
        <f t="shared" si="156"/>
        <v>0</v>
      </c>
      <c r="BJ287" s="9">
        <f t="shared" si="157"/>
        <v>0</v>
      </c>
      <c r="BK287" s="9"/>
      <c r="BL287" s="9">
        <v>730</v>
      </c>
      <c r="BW287" s="9">
        <v>21</v>
      </c>
    </row>
    <row r="288" spans="1:75" ht="27" customHeight="1">
      <c r="A288" s="16" t="s">
        <v>52</v>
      </c>
      <c r="B288" s="32" t="s">
        <v>5</v>
      </c>
      <c r="C288" s="32" t="s">
        <v>1185</v>
      </c>
      <c r="D288" s="145" t="s">
        <v>1437</v>
      </c>
      <c r="E288" s="146"/>
      <c r="F288" s="32" t="s">
        <v>861</v>
      </c>
      <c r="G288" s="9">
        <v>2</v>
      </c>
      <c r="H288" s="68">
        <v>0</v>
      </c>
      <c r="I288" s="9">
        <f t="shared" si="138"/>
        <v>0</v>
      </c>
      <c r="K288" s="23"/>
      <c r="Z288" s="9">
        <f t="shared" si="139"/>
        <v>0</v>
      </c>
      <c r="AB288" s="9">
        <f t="shared" si="140"/>
        <v>0</v>
      </c>
      <c r="AC288" s="9">
        <f t="shared" si="141"/>
        <v>0</v>
      </c>
      <c r="AD288" s="9">
        <f t="shared" si="142"/>
        <v>0</v>
      </c>
      <c r="AE288" s="9">
        <f t="shared" si="143"/>
        <v>0</v>
      </c>
      <c r="AF288" s="9">
        <f t="shared" si="144"/>
        <v>0</v>
      </c>
      <c r="AG288" s="9">
        <f t="shared" si="145"/>
        <v>0</v>
      </c>
      <c r="AH288" s="9">
        <f t="shared" si="146"/>
        <v>0</v>
      </c>
      <c r="AI288" s="11" t="s">
        <v>5</v>
      </c>
      <c r="AJ288" s="9">
        <f t="shared" si="147"/>
        <v>0</v>
      </c>
      <c r="AK288" s="9">
        <f t="shared" si="148"/>
        <v>0</v>
      </c>
      <c r="AL288" s="9">
        <f t="shared" si="149"/>
        <v>0</v>
      </c>
      <c r="AN288" s="9">
        <v>21</v>
      </c>
      <c r="AO288" s="9">
        <f t="shared" si="160"/>
        <v>0</v>
      </c>
      <c r="AP288" s="9">
        <f t="shared" si="161"/>
        <v>0</v>
      </c>
      <c r="AQ288" s="60" t="s">
        <v>1238</v>
      </c>
      <c r="AV288" s="9">
        <f t="shared" si="150"/>
        <v>0</v>
      </c>
      <c r="AW288" s="9">
        <f t="shared" si="151"/>
        <v>0</v>
      </c>
      <c r="AX288" s="9">
        <f t="shared" si="152"/>
        <v>0</v>
      </c>
      <c r="AY288" s="60" t="s">
        <v>772</v>
      </c>
      <c r="AZ288" s="60" t="s">
        <v>484</v>
      </c>
      <c r="BA288" s="11" t="s">
        <v>1092</v>
      </c>
      <c r="BC288" s="9">
        <f t="shared" si="153"/>
        <v>0</v>
      </c>
      <c r="BD288" s="9">
        <f t="shared" si="154"/>
        <v>0</v>
      </c>
      <c r="BE288" s="9">
        <v>0</v>
      </c>
      <c r="BF288" s="9">
        <f>288</f>
        <v>288</v>
      </c>
      <c r="BH288" s="9">
        <f t="shared" si="155"/>
        <v>0</v>
      </c>
      <c r="BI288" s="9">
        <f t="shared" si="156"/>
        <v>0</v>
      </c>
      <c r="BJ288" s="9">
        <f t="shared" si="157"/>
        <v>0</v>
      </c>
      <c r="BK288" s="9"/>
      <c r="BL288" s="9">
        <v>730</v>
      </c>
      <c r="BW288" s="9">
        <v>21</v>
      </c>
    </row>
    <row r="289" spans="1:75" ht="27" customHeight="1">
      <c r="A289" s="16" t="s">
        <v>242</v>
      </c>
      <c r="B289" s="32" t="s">
        <v>5</v>
      </c>
      <c r="C289" s="32" t="s">
        <v>219</v>
      </c>
      <c r="D289" s="145" t="s">
        <v>1438</v>
      </c>
      <c r="E289" s="146"/>
      <c r="F289" s="32" t="s">
        <v>861</v>
      </c>
      <c r="G289" s="9">
        <v>1</v>
      </c>
      <c r="H289" s="68">
        <v>0</v>
      </c>
      <c r="I289" s="9">
        <f t="shared" si="138"/>
        <v>0</v>
      </c>
      <c r="K289" s="23"/>
      <c r="Z289" s="9">
        <f t="shared" si="139"/>
        <v>0</v>
      </c>
      <c r="AB289" s="9">
        <f t="shared" si="140"/>
        <v>0</v>
      </c>
      <c r="AC289" s="9">
        <f t="shared" si="141"/>
        <v>0</v>
      </c>
      <c r="AD289" s="9">
        <f t="shared" si="142"/>
        <v>0</v>
      </c>
      <c r="AE289" s="9">
        <f t="shared" si="143"/>
        <v>0</v>
      </c>
      <c r="AF289" s="9">
        <f t="shared" si="144"/>
        <v>0</v>
      </c>
      <c r="AG289" s="9">
        <f t="shared" si="145"/>
        <v>0</v>
      </c>
      <c r="AH289" s="9">
        <f t="shared" si="146"/>
        <v>0</v>
      </c>
      <c r="AI289" s="11" t="s">
        <v>5</v>
      </c>
      <c r="AJ289" s="9">
        <f t="shared" si="147"/>
        <v>0</v>
      </c>
      <c r="AK289" s="9">
        <f t="shared" si="148"/>
        <v>0</v>
      </c>
      <c r="AL289" s="9">
        <f t="shared" si="149"/>
        <v>0</v>
      </c>
      <c r="AN289" s="9">
        <v>21</v>
      </c>
      <c r="AO289" s="9">
        <f t="shared" si="160"/>
        <v>0</v>
      </c>
      <c r="AP289" s="9">
        <f t="shared" si="161"/>
        <v>0</v>
      </c>
      <c r="AQ289" s="60" t="s">
        <v>1238</v>
      </c>
      <c r="AV289" s="9">
        <f t="shared" si="150"/>
        <v>0</v>
      </c>
      <c r="AW289" s="9">
        <f t="shared" si="151"/>
        <v>0</v>
      </c>
      <c r="AX289" s="9">
        <f t="shared" si="152"/>
        <v>0</v>
      </c>
      <c r="AY289" s="60" t="s">
        <v>772</v>
      </c>
      <c r="AZ289" s="60" t="s">
        <v>484</v>
      </c>
      <c r="BA289" s="11" t="s">
        <v>1092</v>
      </c>
      <c r="BC289" s="9">
        <f t="shared" si="153"/>
        <v>0</v>
      </c>
      <c r="BD289" s="9">
        <f t="shared" si="154"/>
        <v>0</v>
      </c>
      <c r="BE289" s="9">
        <v>0</v>
      </c>
      <c r="BF289" s="9">
        <f>289</f>
        <v>289</v>
      </c>
      <c r="BH289" s="9">
        <f t="shared" si="155"/>
        <v>0</v>
      </c>
      <c r="BI289" s="9">
        <f t="shared" si="156"/>
        <v>0</v>
      </c>
      <c r="BJ289" s="9">
        <f t="shared" si="157"/>
        <v>0</v>
      </c>
      <c r="BK289" s="9"/>
      <c r="BL289" s="9">
        <v>730</v>
      </c>
      <c r="BW289" s="9">
        <v>21</v>
      </c>
    </row>
    <row r="290" spans="1:75" ht="27" customHeight="1">
      <c r="A290" s="16" t="s">
        <v>297</v>
      </c>
      <c r="B290" s="32" t="s">
        <v>5</v>
      </c>
      <c r="C290" s="32" t="s">
        <v>78</v>
      </c>
      <c r="D290" s="69" t="s">
        <v>1167</v>
      </c>
      <c r="E290" s="70"/>
      <c r="F290" s="32" t="s">
        <v>1026</v>
      </c>
      <c r="G290" s="9">
        <v>5.8</v>
      </c>
      <c r="H290" s="68">
        <v>0</v>
      </c>
      <c r="I290" s="9">
        <f t="shared" si="138"/>
        <v>0</v>
      </c>
      <c r="K290" s="23"/>
      <c r="Z290" s="9">
        <f t="shared" si="139"/>
        <v>0</v>
      </c>
      <c r="AB290" s="9">
        <f t="shared" si="140"/>
        <v>0</v>
      </c>
      <c r="AC290" s="9">
        <f t="shared" si="141"/>
        <v>0</v>
      </c>
      <c r="AD290" s="9">
        <f t="shared" si="142"/>
        <v>0</v>
      </c>
      <c r="AE290" s="9">
        <f t="shared" si="143"/>
        <v>0</v>
      </c>
      <c r="AF290" s="9">
        <f t="shared" si="144"/>
        <v>0</v>
      </c>
      <c r="AG290" s="9">
        <f t="shared" si="145"/>
        <v>0</v>
      </c>
      <c r="AH290" s="9">
        <f t="shared" si="146"/>
        <v>0</v>
      </c>
      <c r="AI290" s="11" t="s">
        <v>5</v>
      </c>
      <c r="AJ290" s="9">
        <f t="shared" si="147"/>
        <v>0</v>
      </c>
      <c r="AK290" s="9">
        <f t="shared" si="148"/>
        <v>0</v>
      </c>
      <c r="AL290" s="9">
        <f t="shared" si="149"/>
        <v>0</v>
      </c>
      <c r="AN290" s="9">
        <v>21</v>
      </c>
      <c r="AO290" s="9">
        <f t="shared" si="160"/>
        <v>0</v>
      </c>
      <c r="AP290" s="9">
        <f t="shared" si="161"/>
        <v>0</v>
      </c>
      <c r="AQ290" s="60" t="s">
        <v>1238</v>
      </c>
      <c r="AV290" s="9">
        <f t="shared" si="150"/>
        <v>0</v>
      </c>
      <c r="AW290" s="9">
        <f t="shared" si="151"/>
        <v>0</v>
      </c>
      <c r="AX290" s="9">
        <f t="shared" si="152"/>
        <v>0</v>
      </c>
      <c r="AY290" s="60" t="s">
        <v>772</v>
      </c>
      <c r="AZ290" s="60" t="s">
        <v>484</v>
      </c>
      <c r="BA290" s="11" t="s">
        <v>1092</v>
      </c>
      <c r="BC290" s="9">
        <f t="shared" si="153"/>
        <v>0</v>
      </c>
      <c r="BD290" s="9">
        <f t="shared" si="154"/>
        <v>0</v>
      </c>
      <c r="BE290" s="9">
        <v>0</v>
      </c>
      <c r="BF290" s="9">
        <f>290</f>
        <v>290</v>
      </c>
      <c r="BH290" s="9">
        <f t="shared" si="155"/>
        <v>0</v>
      </c>
      <c r="BI290" s="9">
        <f t="shared" si="156"/>
        <v>0</v>
      </c>
      <c r="BJ290" s="9">
        <f t="shared" si="157"/>
        <v>0</v>
      </c>
      <c r="BK290" s="9"/>
      <c r="BL290" s="9">
        <v>730</v>
      </c>
      <c r="BW290" s="9">
        <v>21</v>
      </c>
    </row>
    <row r="291" spans="1:75" ht="13.5" customHeight="1">
      <c r="A291" s="66" t="s">
        <v>231</v>
      </c>
      <c r="B291" s="32" t="s">
        <v>5</v>
      </c>
      <c r="C291" s="32" t="s">
        <v>1068</v>
      </c>
      <c r="D291" s="69" t="s">
        <v>817</v>
      </c>
      <c r="E291" s="70"/>
      <c r="F291" s="32" t="s">
        <v>861</v>
      </c>
      <c r="G291" s="67">
        <v>1</v>
      </c>
      <c r="H291" s="68">
        <v>0</v>
      </c>
      <c r="I291" s="9">
        <f t="shared" si="138"/>
        <v>0</v>
      </c>
      <c r="K291" s="23"/>
      <c r="Z291" s="9">
        <f t="shared" si="139"/>
        <v>0</v>
      </c>
      <c r="AB291" s="9">
        <f t="shared" si="140"/>
        <v>0</v>
      </c>
      <c r="AC291" s="9">
        <f t="shared" si="141"/>
        <v>0</v>
      </c>
      <c r="AD291" s="9">
        <f t="shared" si="142"/>
        <v>0</v>
      </c>
      <c r="AE291" s="9">
        <f t="shared" si="143"/>
        <v>0</v>
      </c>
      <c r="AF291" s="9">
        <f t="shared" si="144"/>
        <v>0</v>
      </c>
      <c r="AG291" s="9">
        <f t="shared" si="145"/>
        <v>0</v>
      </c>
      <c r="AH291" s="9">
        <f t="shared" si="146"/>
        <v>0</v>
      </c>
      <c r="AI291" s="11" t="s">
        <v>5</v>
      </c>
      <c r="AJ291" s="9">
        <f t="shared" si="147"/>
        <v>0</v>
      </c>
      <c r="AK291" s="9">
        <f t="shared" si="148"/>
        <v>0</v>
      </c>
      <c r="AL291" s="9">
        <f t="shared" si="149"/>
        <v>0</v>
      </c>
      <c r="AN291" s="9">
        <v>21</v>
      </c>
      <c r="AO291" s="9">
        <f t="shared" si="160"/>
        <v>0</v>
      </c>
      <c r="AP291" s="9">
        <f t="shared" si="161"/>
        <v>0</v>
      </c>
      <c r="AQ291" s="60" t="s">
        <v>1238</v>
      </c>
      <c r="AV291" s="9">
        <f t="shared" si="150"/>
        <v>0</v>
      </c>
      <c r="AW291" s="9">
        <f t="shared" si="151"/>
        <v>0</v>
      </c>
      <c r="AX291" s="9">
        <f t="shared" si="152"/>
        <v>0</v>
      </c>
      <c r="AY291" s="60" t="s">
        <v>772</v>
      </c>
      <c r="AZ291" s="60" t="s">
        <v>484</v>
      </c>
      <c r="BA291" s="11" t="s">
        <v>1092</v>
      </c>
      <c r="BC291" s="9">
        <f t="shared" si="153"/>
        <v>0</v>
      </c>
      <c r="BD291" s="9">
        <f t="shared" si="154"/>
        <v>0</v>
      </c>
      <c r="BE291" s="9">
        <v>0</v>
      </c>
      <c r="BF291" s="9">
        <f>291</f>
        <v>291</v>
      </c>
      <c r="BH291" s="9">
        <f t="shared" si="155"/>
        <v>0</v>
      </c>
      <c r="BI291" s="9">
        <f t="shared" si="156"/>
        <v>0</v>
      </c>
      <c r="BJ291" s="9">
        <f t="shared" si="157"/>
        <v>0</v>
      </c>
      <c r="BK291" s="9"/>
      <c r="BL291" s="9">
        <v>730</v>
      </c>
      <c r="BW291" s="9">
        <v>21</v>
      </c>
    </row>
    <row r="292" spans="1:75" ht="13.5" customHeight="1">
      <c r="A292" s="16" t="s">
        <v>395</v>
      </c>
      <c r="B292" s="32" t="s">
        <v>5</v>
      </c>
      <c r="C292" s="32" t="s">
        <v>650</v>
      </c>
      <c r="D292" s="69" t="s">
        <v>254</v>
      </c>
      <c r="E292" s="70"/>
      <c r="F292" s="32" t="s">
        <v>861</v>
      </c>
      <c r="G292" s="9">
        <v>1</v>
      </c>
      <c r="H292" s="68">
        <v>0</v>
      </c>
      <c r="I292" s="9">
        <f t="shared" si="138"/>
        <v>0</v>
      </c>
      <c r="K292" s="23"/>
      <c r="Z292" s="9">
        <f t="shared" si="139"/>
        <v>0</v>
      </c>
      <c r="AB292" s="9">
        <f t="shared" si="140"/>
        <v>0</v>
      </c>
      <c r="AC292" s="9">
        <f t="shared" si="141"/>
        <v>0</v>
      </c>
      <c r="AD292" s="9">
        <f t="shared" si="142"/>
        <v>0</v>
      </c>
      <c r="AE292" s="9">
        <f t="shared" si="143"/>
        <v>0</v>
      </c>
      <c r="AF292" s="9">
        <f t="shared" si="144"/>
        <v>0</v>
      </c>
      <c r="AG292" s="9">
        <f t="shared" si="145"/>
        <v>0</v>
      </c>
      <c r="AH292" s="9">
        <f t="shared" si="146"/>
        <v>0</v>
      </c>
      <c r="AI292" s="11" t="s">
        <v>5</v>
      </c>
      <c r="AJ292" s="9">
        <f t="shared" si="147"/>
        <v>0</v>
      </c>
      <c r="AK292" s="9">
        <f t="shared" si="148"/>
        <v>0</v>
      </c>
      <c r="AL292" s="9">
        <f t="shared" si="149"/>
        <v>0</v>
      </c>
      <c r="AN292" s="9">
        <v>21</v>
      </c>
      <c r="AO292" s="9">
        <f t="shared" si="160"/>
        <v>0</v>
      </c>
      <c r="AP292" s="9">
        <f t="shared" si="161"/>
        <v>0</v>
      </c>
      <c r="AQ292" s="60" t="s">
        <v>1238</v>
      </c>
      <c r="AV292" s="9">
        <f t="shared" si="150"/>
        <v>0</v>
      </c>
      <c r="AW292" s="9">
        <f t="shared" si="151"/>
        <v>0</v>
      </c>
      <c r="AX292" s="9">
        <f t="shared" si="152"/>
        <v>0</v>
      </c>
      <c r="AY292" s="60" t="s">
        <v>772</v>
      </c>
      <c r="AZ292" s="60" t="s">
        <v>484</v>
      </c>
      <c r="BA292" s="11" t="s">
        <v>1092</v>
      </c>
      <c r="BC292" s="9">
        <f t="shared" si="153"/>
        <v>0</v>
      </c>
      <c r="BD292" s="9">
        <f t="shared" si="154"/>
        <v>0</v>
      </c>
      <c r="BE292" s="9">
        <v>0</v>
      </c>
      <c r="BF292" s="9">
        <f>292</f>
        <v>292</v>
      </c>
      <c r="BH292" s="9">
        <f t="shared" si="155"/>
        <v>0</v>
      </c>
      <c r="BI292" s="9">
        <f t="shared" si="156"/>
        <v>0</v>
      </c>
      <c r="BJ292" s="9">
        <f t="shared" si="157"/>
        <v>0</v>
      </c>
      <c r="BK292" s="9"/>
      <c r="BL292" s="9">
        <v>730</v>
      </c>
      <c r="BW292" s="9">
        <v>21</v>
      </c>
    </row>
    <row r="293" spans="1:75" ht="13.5" customHeight="1">
      <c r="A293" s="16" t="s">
        <v>645</v>
      </c>
      <c r="B293" s="32" t="s">
        <v>5</v>
      </c>
      <c r="C293" s="32" t="s">
        <v>374</v>
      </c>
      <c r="D293" s="69" t="s">
        <v>1012</v>
      </c>
      <c r="E293" s="70"/>
      <c r="F293" s="32" t="s">
        <v>861</v>
      </c>
      <c r="G293" s="9">
        <v>1</v>
      </c>
      <c r="H293" s="68">
        <v>0</v>
      </c>
      <c r="I293" s="9">
        <f t="shared" si="138"/>
        <v>0</v>
      </c>
      <c r="K293" s="23"/>
      <c r="Z293" s="9">
        <f t="shared" si="139"/>
        <v>0</v>
      </c>
      <c r="AB293" s="9">
        <f t="shared" si="140"/>
        <v>0</v>
      </c>
      <c r="AC293" s="9">
        <f t="shared" si="141"/>
        <v>0</v>
      </c>
      <c r="AD293" s="9">
        <f t="shared" si="142"/>
        <v>0</v>
      </c>
      <c r="AE293" s="9">
        <f t="shared" si="143"/>
        <v>0</v>
      </c>
      <c r="AF293" s="9">
        <f t="shared" si="144"/>
        <v>0</v>
      </c>
      <c r="AG293" s="9">
        <f t="shared" si="145"/>
        <v>0</v>
      </c>
      <c r="AH293" s="9">
        <f t="shared" si="146"/>
        <v>0</v>
      </c>
      <c r="AI293" s="11" t="s">
        <v>5</v>
      </c>
      <c r="AJ293" s="9">
        <f t="shared" si="147"/>
        <v>0</v>
      </c>
      <c r="AK293" s="9">
        <f t="shared" si="148"/>
        <v>0</v>
      </c>
      <c r="AL293" s="9">
        <f t="shared" si="149"/>
        <v>0</v>
      </c>
      <c r="AN293" s="9">
        <v>21</v>
      </c>
      <c r="AO293" s="9">
        <f t="shared" si="160"/>
        <v>0</v>
      </c>
      <c r="AP293" s="9">
        <f t="shared" si="161"/>
        <v>0</v>
      </c>
      <c r="AQ293" s="60" t="s">
        <v>1238</v>
      </c>
      <c r="AV293" s="9">
        <f t="shared" si="150"/>
        <v>0</v>
      </c>
      <c r="AW293" s="9">
        <f t="shared" si="151"/>
        <v>0</v>
      </c>
      <c r="AX293" s="9">
        <f t="shared" si="152"/>
        <v>0</v>
      </c>
      <c r="AY293" s="60" t="s">
        <v>772</v>
      </c>
      <c r="AZ293" s="60" t="s">
        <v>484</v>
      </c>
      <c r="BA293" s="11" t="s">
        <v>1092</v>
      </c>
      <c r="BC293" s="9">
        <f t="shared" si="153"/>
        <v>0</v>
      </c>
      <c r="BD293" s="9">
        <f t="shared" si="154"/>
        <v>0</v>
      </c>
      <c r="BE293" s="9">
        <v>0</v>
      </c>
      <c r="BF293" s="9">
        <f>293</f>
        <v>293</v>
      </c>
      <c r="BH293" s="9">
        <f t="shared" si="155"/>
        <v>0</v>
      </c>
      <c r="BI293" s="9">
        <f t="shared" si="156"/>
        <v>0</v>
      </c>
      <c r="BJ293" s="9">
        <f t="shared" si="157"/>
        <v>0</v>
      </c>
      <c r="BK293" s="9"/>
      <c r="BL293" s="9">
        <v>730</v>
      </c>
      <c r="BW293" s="9">
        <v>21</v>
      </c>
    </row>
    <row r="294" spans="1:75" ht="13.5" customHeight="1">
      <c r="A294" s="16" t="s">
        <v>905</v>
      </c>
      <c r="B294" s="32" t="s">
        <v>5</v>
      </c>
      <c r="C294" s="32" t="s">
        <v>1286</v>
      </c>
      <c r="D294" s="69" t="s">
        <v>67</v>
      </c>
      <c r="E294" s="70"/>
      <c r="F294" s="32" t="s">
        <v>861</v>
      </c>
      <c r="G294" s="9">
        <v>2</v>
      </c>
      <c r="H294" s="68">
        <v>0</v>
      </c>
      <c r="I294" s="9">
        <f t="shared" si="138"/>
        <v>0</v>
      </c>
      <c r="K294" s="23"/>
      <c r="Z294" s="9">
        <f t="shared" si="139"/>
        <v>0</v>
      </c>
      <c r="AB294" s="9">
        <f t="shared" si="140"/>
        <v>0</v>
      </c>
      <c r="AC294" s="9">
        <f t="shared" si="141"/>
        <v>0</v>
      </c>
      <c r="AD294" s="9">
        <f t="shared" si="142"/>
        <v>0</v>
      </c>
      <c r="AE294" s="9">
        <f t="shared" si="143"/>
        <v>0</v>
      </c>
      <c r="AF294" s="9">
        <f t="shared" si="144"/>
        <v>0</v>
      </c>
      <c r="AG294" s="9">
        <f t="shared" si="145"/>
        <v>0</v>
      </c>
      <c r="AH294" s="9">
        <f t="shared" si="146"/>
        <v>0</v>
      </c>
      <c r="AI294" s="11" t="s">
        <v>5</v>
      </c>
      <c r="AJ294" s="9">
        <f t="shared" si="147"/>
        <v>0</v>
      </c>
      <c r="AK294" s="9">
        <f t="shared" si="148"/>
        <v>0</v>
      </c>
      <c r="AL294" s="9">
        <f t="shared" si="149"/>
        <v>0</v>
      </c>
      <c r="AN294" s="9">
        <v>21</v>
      </c>
      <c r="AO294" s="9">
        <f t="shared" si="160"/>
        <v>0</v>
      </c>
      <c r="AP294" s="9">
        <f t="shared" si="161"/>
        <v>0</v>
      </c>
      <c r="AQ294" s="60" t="s">
        <v>1238</v>
      </c>
      <c r="AV294" s="9">
        <f t="shared" si="150"/>
        <v>0</v>
      </c>
      <c r="AW294" s="9">
        <f t="shared" si="151"/>
        <v>0</v>
      </c>
      <c r="AX294" s="9">
        <f t="shared" si="152"/>
        <v>0</v>
      </c>
      <c r="AY294" s="60" t="s">
        <v>772</v>
      </c>
      <c r="AZ294" s="60" t="s">
        <v>484</v>
      </c>
      <c r="BA294" s="11" t="s">
        <v>1092</v>
      </c>
      <c r="BC294" s="9">
        <f t="shared" si="153"/>
        <v>0</v>
      </c>
      <c r="BD294" s="9">
        <f t="shared" si="154"/>
        <v>0</v>
      </c>
      <c r="BE294" s="9">
        <v>0</v>
      </c>
      <c r="BF294" s="9">
        <f>294</f>
        <v>294</v>
      </c>
      <c r="BH294" s="9">
        <f t="shared" si="155"/>
        <v>0</v>
      </c>
      <c r="BI294" s="9">
        <f t="shared" si="156"/>
        <v>0</v>
      </c>
      <c r="BJ294" s="9">
        <f t="shared" si="157"/>
        <v>0</v>
      </c>
      <c r="BK294" s="9"/>
      <c r="BL294" s="9">
        <v>730</v>
      </c>
      <c r="BW294" s="9">
        <v>21</v>
      </c>
    </row>
    <row r="295" spans="1:75" ht="13.5" customHeight="1">
      <c r="A295" s="16" t="s">
        <v>155</v>
      </c>
      <c r="B295" s="32" t="s">
        <v>5</v>
      </c>
      <c r="C295" s="32" t="s">
        <v>501</v>
      </c>
      <c r="D295" s="69" t="s">
        <v>631</v>
      </c>
      <c r="E295" s="70"/>
      <c r="F295" s="32" t="s">
        <v>861</v>
      </c>
      <c r="G295" s="9">
        <v>4</v>
      </c>
      <c r="H295" s="68">
        <v>0</v>
      </c>
      <c r="I295" s="9">
        <f t="shared" si="138"/>
        <v>0</v>
      </c>
      <c r="K295" s="23"/>
      <c r="Z295" s="9">
        <f t="shared" si="139"/>
        <v>0</v>
      </c>
      <c r="AB295" s="9">
        <f t="shared" si="140"/>
        <v>0</v>
      </c>
      <c r="AC295" s="9">
        <f t="shared" si="141"/>
        <v>0</v>
      </c>
      <c r="AD295" s="9">
        <f t="shared" si="142"/>
        <v>0</v>
      </c>
      <c r="AE295" s="9">
        <f t="shared" si="143"/>
        <v>0</v>
      </c>
      <c r="AF295" s="9">
        <f t="shared" si="144"/>
        <v>0</v>
      </c>
      <c r="AG295" s="9">
        <f t="shared" si="145"/>
        <v>0</v>
      </c>
      <c r="AH295" s="9">
        <f t="shared" si="146"/>
        <v>0</v>
      </c>
      <c r="AI295" s="11" t="s">
        <v>5</v>
      </c>
      <c r="AJ295" s="9">
        <f t="shared" si="147"/>
        <v>0</v>
      </c>
      <c r="AK295" s="9">
        <f t="shared" si="148"/>
        <v>0</v>
      </c>
      <c r="AL295" s="9">
        <f t="shared" si="149"/>
        <v>0</v>
      </c>
      <c r="AN295" s="9">
        <v>21</v>
      </c>
      <c r="AO295" s="9">
        <f t="shared" si="160"/>
        <v>0</v>
      </c>
      <c r="AP295" s="9">
        <f t="shared" si="161"/>
        <v>0</v>
      </c>
      <c r="AQ295" s="60" t="s">
        <v>1238</v>
      </c>
      <c r="AV295" s="9">
        <f t="shared" si="150"/>
        <v>0</v>
      </c>
      <c r="AW295" s="9">
        <f t="shared" si="151"/>
        <v>0</v>
      </c>
      <c r="AX295" s="9">
        <f t="shared" si="152"/>
        <v>0</v>
      </c>
      <c r="AY295" s="60" t="s">
        <v>772</v>
      </c>
      <c r="AZ295" s="60" t="s">
        <v>484</v>
      </c>
      <c r="BA295" s="11" t="s">
        <v>1092</v>
      </c>
      <c r="BC295" s="9">
        <f t="shared" si="153"/>
        <v>0</v>
      </c>
      <c r="BD295" s="9">
        <f t="shared" si="154"/>
        <v>0</v>
      </c>
      <c r="BE295" s="9">
        <v>0</v>
      </c>
      <c r="BF295" s="9">
        <f>295</f>
        <v>295</v>
      </c>
      <c r="BH295" s="9">
        <f t="shared" si="155"/>
        <v>0</v>
      </c>
      <c r="BI295" s="9">
        <f t="shared" si="156"/>
        <v>0</v>
      </c>
      <c r="BJ295" s="9">
        <f t="shared" si="157"/>
        <v>0</v>
      </c>
      <c r="BK295" s="9"/>
      <c r="BL295" s="9">
        <v>730</v>
      </c>
      <c r="BW295" s="9">
        <v>21</v>
      </c>
    </row>
    <row r="296" spans="1:75" ht="13.5" customHeight="1">
      <c r="A296" s="16" t="s">
        <v>1240</v>
      </c>
      <c r="B296" s="32" t="s">
        <v>5</v>
      </c>
      <c r="C296" s="32" t="s">
        <v>514</v>
      </c>
      <c r="D296" s="69" t="s">
        <v>1362</v>
      </c>
      <c r="E296" s="70"/>
      <c r="F296" s="32" t="s">
        <v>861</v>
      </c>
      <c r="G296" s="9">
        <v>2</v>
      </c>
      <c r="H296" s="68">
        <v>0</v>
      </c>
      <c r="I296" s="9">
        <f t="shared" si="138"/>
        <v>0</v>
      </c>
      <c r="K296" s="23"/>
      <c r="Z296" s="9">
        <f t="shared" si="139"/>
        <v>0</v>
      </c>
      <c r="AB296" s="9">
        <f t="shared" si="140"/>
        <v>0</v>
      </c>
      <c r="AC296" s="9">
        <f t="shared" si="141"/>
        <v>0</v>
      </c>
      <c r="AD296" s="9">
        <f t="shared" si="142"/>
        <v>0</v>
      </c>
      <c r="AE296" s="9">
        <f t="shared" si="143"/>
        <v>0</v>
      </c>
      <c r="AF296" s="9">
        <f t="shared" si="144"/>
        <v>0</v>
      </c>
      <c r="AG296" s="9">
        <f t="shared" si="145"/>
        <v>0</v>
      </c>
      <c r="AH296" s="9">
        <f t="shared" si="146"/>
        <v>0</v>
      </c>
      <c r="AI296" s="11" t="s">
        <v>5</v>
      </c>
      <c r="AJ296" s="9">
        <f t="shared" si="147"/>
        <v>0</v>
      </c>
      <c r="AK296" s="9">
        <f t="shared" si="148"/>
        <v>0</v>
      </c>
      <c r="AL296" s="9">
        <f t="shared" si="149"/>
        <v>0</v>
      </c>
      <c r="AN296" s="9">
        <v>21</v>
      </c>
      <c r="AO296" s="9">
        <f t="shared" si="160"/>
        <v>0</v>
      </c>
      <c r="AP296" s="9">
        <f t="shared" si="161"/>
        <v>0</v>
      </c>
      <c r="AQ296" s="60" t="s">
        <v>1238</v>
      </c>
      <c r="AV296" s="9">
        <f t="shared" si="150"/>
        <v>0</v>
      </c>
      <c r="AW296" s="9">
        <f t="shared" si="151"/>
        <v>0</v>
      </c>
      <c r="AX296" s="9">
        <f t="shared" si="152"/>
        <v>0</v>
      </c>
      <c r="AY296" s="60" t="s">
        <v>772</v>
      </c>
      <c r="AZ296" s="60" t="s">
        <v>484</v>
      </c>
      <c r="BA296" s="11" t="s">
        <v>1092</v>
      </c>
      <c r="BC296" s="9">
        <f t="shared" si="153"/>
        <v>0</v>
      </c>
      <c r="BD296" s="9">
        <f t="shared" si="154"/>
        <v>0</v>
      </c>
      <c r="BE296" s="9">
        <v>0</v>
      </c>
      <c r="BF296" s="9">
        <f>296</f>
        <v>296</v>
      </c>
      <c r="BH296" s="9">
        <f t="shared" si="155"/>
        <v>0</v>
      </c>
      <c r="BI296" s="9">
        <f t="shared" si="156"/>
        <v>0</v>
      </c>
      <c r="BJ296" s="9">
        <f t="shared" si="157"/>
        <v>0</v>
      </c>
      <c r="BK296" s="9"/>
      <c r="BL296" s="9">
        <v>730</v>
      </c>
      <c r="BW296" s="9">
        <v>21</v>
      </c>
    </row>
    <row r="297" spans="1:75" ht="13.5" customHeight="1">
      <c r="A297" s="16" t="s">
        <v>66</v>
      </c>
      <c r="B297" s="32" t="s">
        <v>5</v>
      </c>
      <c r="C297" s="32" t="s">
        <v>824</v>
      </c>
      <c r="D297" s="69" t="s">
        <v>836</v>
      </c>
      <c r="E297" s="70"/>
      <c r="F297" s="32" t="s">
        <v>861</v>
      </c>
      <c r="G297" s="9">
        <v>4</v>
      </c>
      <c r="H297" s="68">
        <v>0</v>
      </c>
      <c r="I297" s="9">
        <f t="shared" si="138"/>
        <v>0</v>
      </c>
      <c r="K297" s="23"/>
      <c r="Z297" s="9">
        <f t="shared" si="139"/>
        <v>0</v>
      </c>
      <c r="AB297" s="9">
        <f t="shared" si="140"/>
        <v>0</v>
      </c>
      <c r="AC297" s="9">
        <f t="shared" si="141"/>
        <v>0</v>
      </c>
      <c r="AD297" s="9">
        <f t="shared" si="142"/>
        <v>0</v>
      </c>
      <c r="AE297" s="9">
        <f t="shared" si="143"/>
        <v>0</v>
      </c>
      <c r="AF297" s="9">
        <f t="shared" si="144"/>
        <v>0</v>
      </c>
      <c r="AG297" s="9">
        <f t="shared" si="145"/>
        <v>0</v>
      </c>
      <c r="AH297" s="9">
        <f t="shared" si="146"/>
        <v>0</v>
      </c>
      <c r="AI297" s="11" t="s">
        <v>5</v>
      </c>
      <c r="AJ297" s="9">
        <f t="shared" si="147"/>
        <v>0</v>
      </c>
      <c r="AK297" s="9">
        <f t="shared" si="148"/>
        <v>0</v>
      </c>
      <c r="AL297" s="9">
        <f t="shared" si="149"/>
        <v>0</v>
      </c>
      <c r="AN297" s="9">
        <v>21</v>
      </c>
      <c r="AO297" s="9">
        <f t="shared" si="160"/>
        <v>0</v>
      </c>
      <c r="AP297" s="9">
        <f t="shared" si="161"/>
        <v>0</v>
      </c>
      <c r="AQ297" s="60" t="s">
        <v>1238</v>
      </c>
      <c r="AV297" s="9">
        <f t="shared" si="150"/>
        <v>0</v>
      </c>
      <c r="AW297" s="9">
        <f t="shared" si="151"/>
        <v>0</v>
      </c>
      <c r="AX297" s="9">
        <f t="shared" si="152"/>
        <v>0</v>
      </c>
      <c r="AY297" s="60" t="s">
        <v>772</v>
      </c>
      <c r="AZ297" s="60" t="s">
        <v>484</v>
      </c>
      <c r="BA297" s="11" t="s">
        <v>1092</v>
      </c>
      <c r="BC297" s="9">
        <f t="shared" si="153"/>
        <v>0</v>
      </c>
      <c r="BD297" s="9">
        <f t="shared" si="154"/>
        <v>0</v>
      </c>
      <c r="BE297" s="9">
        <v>0</v>
      </c>
      <c r="BF297" s="9">
        <f>297</f>
        <v>297</v>
      </c>
      <c r="BH297" s="9">
        <f t="shared" si="155"/>
        <v>0</v>
      </c>
      <c r="BI297" s="9">
        <f t="shared" si="156"/>
        <v>0</v>
      </c>
      <c r="BJ297" s="9">
        <f t="shared" si="157"/>
        <v>0</v>
      </c>
      <c r="BK297" s="9"/>
      <c r="BL297" s="9">
        <v>730</v>
      </c>
      <c r="BW297" s="9">
        <v>21</v>
      </c>
    </row>
    <row r="298" spans="1:75" ht="13.5" customHeight="1">
      <c r="A298" s="16" t="s">
        <v>684</v>
      </c>
      <c r="B298" s="32" t="s">
        <v>5</v>
      </c>
      <c r="C298" s="32" t="s">
        <v>1150</v>
      </c>
      <c r="D298" s="69" t="s">
        <v>352</v>
      </c>
      <c r="E298" s="70"/>
      <c r="F298" s="32" t="s">
        <v>861</v>
      </c>
      <c r="G298" s="9">
        <v>1</v>
      </c>
      <c r="H298" s="68">
        <v>0</v>
      </c>
      <c r="I298" s="9">
        <f t="shared" si="138"/>
        <v>0</v>
      </c>
      <c r="K298" s="23"/>
      <c r="Z298" s="9">
        <f t="shared" si="139"/>
        <v>0</v>
      </c>
      <c r="AB298" s="9">
        <f t="shared" si="140"/>
        <v>0</v>
      </c>
      <c r="AC298" s="9">
        <f t="shared" si="141"/>
        <v>0</v>
      </c>
      <c r="AD298" s="9">
        <f t="shared" si="142"/>
        <v>0</v>
      </c>
      <c r="AE298" s="9">
        <f t="shared" si="143"/>
        <v>0</v>
      </c>
      <c r="AF298" s="9">
        <f t="shared" si="144"/>
        <v>0</v>
      </c>
      <c r="AG298" s="9">
        <f t="shared" si="145"/>
        <v>0</v>
      </c>
      <c r="AH298" s="9">
        <f t="shared" si="146"/>
        <v>0</v>
      </c>
      <c r="AI298" s="11" t="s">
        <v>5</v>
      </c>
      <c r="AJ298" s="9">
        <f t="shared" si="147"/>
        <v>0</v>
      </c>
      <c r="AK298" s="9">
        <f t="shared" si="148"/>
        <v>0</v>
      </c>
      <c r="AL298" s="9">
        <f t="shared" si="149"/>
        <v>0</v>
      </c>
      <c r="AN298" s="9">
        <v>21</v>
      </c>
      <c r="AO298" s="9">
        <f t="shared" si="160"/>
        <v>0</v>
      </c>
      <c r="AP298" s="9">
        <f t="shared" si="161"/>
        <v>0</v>
      </c>
      <c r="AQ298" s="60" t="s">
        <v>1238</v>
      </c>
      <c r="AV298" s="9">
        <f t="shared" si="150"/>
        <v>0</v>
      </c>
      <c r="AW298" s="9">
        <f t="shared" si="151"/>
        <v>0</v>
      </c>
      <c r="AX298" s="9">
        <f t="shared" si="152"/>
        <v>0</v>
      </c>
      <c r="AY298" s="60" t="s">
        <v>772</v>
      </c>
      <c r="AZ298" s="60" t="s">
        <v>484</v>
      </c>
      <c r="BA298" s="11" t="s">
        <v>1092</v>
      </c>
      <c r="BC298" s="9">
        <f t="shared" si="153"/>
        <v>0</v>
      </c>
      <c r="BD298" s="9">
        <f t="shared" si="154"/>
        <v>0</v>
      </c>
      <c r="BE298" s="9">
        <v>0</v>
      </c>
      <c r="BF298" s="9">
        <f>298</f>
        <v>298</v>
      </c>
      <c r="BH298" s="9">
        <f t="shared" si="155"/>
        <v>0</v>
      </c>
      <c r="BI298" s="9">
        <f t="shared" si="156"/>
        <v>0</v>
      </c>
      <c r="BJ298" s="9">
        <f t="shared" si="157"/>
        <v>0</v>
      </c>
      <c r="BK298" s="9"/>
      <c r="BL298" s="9">
        <v>730</v>
      </c>
      <c r="BW298" s="9">
        <v>21</v>
      </c>
    </row>
    <row r="299" spans="1:75" ht="13.5" customHeight="1">
      <c r="A299" s="16" t="s">
        <v>1370</v>
      </c>
      <c r="B299" s="32" t="s">
        <v>5</v>
      </c>
      <c r="C299" s="32" t="s">
        <v>805</v>
      </c>
      <c r="D299" s="69" t="s">
        <v>705</v>
      </c>
      <c r="E299" s="70"/>
      <c r="F299" s="32" t="s">
        <v>798</v>
      </c>
      <c r="G299" s="9">
        <v>25</v>
      </c>
      <c r="H299" s="68">
        <v>0</v>
      </c>
      <c r="I299" s="9">
        <f t="shared" si="138"/>
        <v>0</v>
      </c>
      <c r="K299" s="23"/>
      <c r="Z299" s="9">
        <f t="shared" si="139"/>
        <v>0</v>
      </c>
      <c r="AB299" s="9">
        <f t="shared" si="140"/>
        <v>0</v>
      </c>
      <c r="AC299" s="9">
        <f t="shared" si="141"/>
        <v>0</v>
      </c>
      <c r="AD299" s="9">
        <f t="shared" si="142"/>
        <v>0</v>
      </c>
      <c r="AE299" s="9">
        <f t="shared" si="143"/>
        <v>0</v>
      </c>
      <c r="AF299" s="9">
        <f t="shared" si="144"/>
        <v>0</v>
      </c>
      <c r="AG299" s="9">
        <f t="shared" si="145"/>
        <v>0</v>
      </c>
      <c r="AH299" s="9">
        <f t="shared" si="146"/>
        <v>0</v>
      </c>
      <c r="AI299" s="11" t="s">
        <v>5</v>
      </c>
      <c r="AJ299" s="9">
        <f t="shared" si="147"/>
        <v>0</v>
      </c>
      <c r="AK299" s="9">
        <f t="shared" si="148"/>
        <v>0</v>
      </c>
      <c r="AL299" s="9">
        <f t="shared" si="149"/>
        <v>0</v>
      </c>
      <c r="AN299" s="9">
        <v>21</v>
      </c>
      <c r="AO299" s="9">
        <f t="shared" si="160"/>
        <v>0</v>
      </c>
      <c r="AP299" s="9">
        <f t="shared" si="161"/>
        <v>0</v>
      </c>
      <c r="AQ299" s="60" t="s">
        <v>1238</v>
      </c>
      <c r="AV299" s="9">
        <f t="shared" si="150"/>
        <v>0</v>
      </c>
      <c r="AW299" s="9">
        <f t="shared" si="151"/>
        <v>0</v>
      </c>
      <c r="AX299" s="9">
        <f t="shared" si="152"/>
        <v>0</v>
      </c>
      <c r="AY299" s="60" t="s">
        <v>772</v>
      </c>
      <c r="AZ299" s="60" t="s">
        <v>484</v>
      </c>
      <c r="BA299" s="11" t="s">
        <v>1092</v>
      </c>
      <c r="BC299" s="9">
        <f t="shared" si="153"/>
        <v>0</v>
      </c>
      <c r="BD299" s="9">
        <f t="shared" si="154"/>
        <v>0</v>
      </c>
      <c r="BE299" s="9">
        <v>0</v>
      </c>
      <c r="BF299" s="9">
        <f>299</f>
        <v>299</v>
      </c>
      <c r="BH299" s="9">
        <f t="shared" si="155"/>
        <v>0</v>
      </c>
      <c r="BI299" s="9">
        <f t="shared" si="156"/>
        <v>0</v>
      </c>
      <c r="BJ299" s="9">
        <f t="shared" si="157"/>
        <v>0</v>
      </c>
      <c r="BK299" s="9"/>
      <c r="BL299" s="9">
        <v>730</v>
      </c>
      <c r="BW299" s="9">
        <v>21</v>
      </c>
    </row>
    <row r="300" spans="1:75" ht="13.5" customHeight="1">
      <c r="A300" s="16" t="s">
        <v>1043</v>
      </c>
      <c r="B300" s="32" t="s">
        <v>5</v>
      </c>
      <c r="C300" s="32" t="s">
        <v>216</v>
      </c>
      <c r="D300" s="69" t="s">
        <v>495</v>
      </c>
      <c r="E300" s="70"/>
      <c r="F300" s="32" t="s">
        <v>861</v>
      </c>
      <c r="G300" s="9">
        <v>1</v>
      </c>
      <c r="H300" s="68">
        <v>0</v>
      </c>
      <c r="I300" s="9">
        <f t="shared" si="138"/>
        <v>0</v>
      </c>
      <c r="K300" s="23"/>
      <c r="Z300" s="9">
        <f t="shared" si="139"/>
        <v>0</v>
      </c>
      <c r="AB300" s="9">
        <f t="shared" si="140"/>
        <v>0</v>
      </c>
      <c r="AC300" s="9">
        <f t="shared" si="141"/>
        <v>0</v>
      </c>
      <c r="AD300" s="9">
        <f t="shared" si="142"/>
        <v>0</v>
      </c>
      <c r="AE300" s="9">
        <f t="shared" si="143"/>
        <v>0</v>
      </c>
      <c r="AF300" s="9">
        <f t="shared" si="144"/>
        <v>0</v>
      </c>
      <c r="AG300" s="9">
        <f t="shared" si="145"/>
        <v>0</v>
      </c>
      <c r="AH300" s="9">
        <f t="shared" si="146"/>
        <v>0</v>
      </c>
      <c r="AI300" s="11" t="s">
        <v>5</v>
      </c>
      <c r="AJ300" s="9">
        <f t="shared" si="147"/>
        <v>0</v>
      </c>
      <c r="AK300" s="9">
        <f t="shared" si="148"/>
        <v>0</v>
      </c>
      <c r="AL300" s="9">
        <f t="shared" si="149"/>
        <v>0</v>
      </c>
      <c r="AN300" s="9">
        <v>21</v>
      </c>
      <c r="AO300" s="9">
        <f t="shared" si="160"/>
        <v>0</v>
      </c>
      <c r="AP300" s="9">
        <f t="shared" si="161"/>
        <v>0</v>
      </c>
      <c r="AQ300" s="60" t="s">
        <v>1238</v>
      </c>
      <c r="AV300" s="9">
        <f t="shared" si="150"/>
        <v>0</v>
      </c>
      <c r="AW300" s="9">
        <f t="shared" si="151"/>
        <v>0</v>
      </c>
      <c r="AX300" s="9">
        <f t="shared" si="152"/>
        <v>0</v>
      </c>
      <c r="AY300" s="60" t="s">
        <v>772</v>
      </c>
      <c r="AZ300" s="60" t="s">
        <v>484</v>
      </c>
      <c r="BA300" s="11" t="s">
        <v>1092</v>
      </c>
      <c r="BC300" s="9">
        <f t="shared" si="153"/>
        <v>0</v>
      </c>
      <c r="BD300" s="9">
        <f t="shared" si="154"/>
        <v>0</v>
      </c>
      <c r="BE300" s="9">
        <v>0</v>
      </c>
      <c r="BF300" s="9">
        <f>300</f>
        <v>300</v>
      </c>
      <c r="BH300" s="9">
        <f t="shared" si="155"/>
        <v>0</v>
      </c>
      <c r="BI300" s="9">
        <f t="shared" si="156"/>
        <v>0</v>
      </c>
      <c r="BJ300" s="9">
        <f t="shared" si="157"/>
        <v>0</v>
      </c>
      <c r="BK300" s="9"/>
      <c r="BL300" s="9">
        <v>730</v>
      </c>
      <c r="BW300" s="9">
        <v>21</v>
      </c>
    </row>
    <row r="301" spans="1:75" ht="13.5" customHeight="1">
      <c r="A301" s="16" t="s">
        <v>794</v>
      </c>
      <c r="B301" s="32" t="s">
        <v>5</v>
      </c>
      <c r="C301" s="32" t="s">
        <v>971</v>
      </c>
      <c r="D301" s="69" t="s">
        <v>1250</v>
      </c>
      <c r="E301" s="70"/>
      <c r="F301" s="32" t="s">
        <v>861</v>
      </c>
      <c r="G301" s="9">
        <v>1</v>
      </c>
      <c r="H301" s="68">
        <v>0</v>
      </c>
      <c r="I301" s="9">
        <f t="shared" si="138"/>
        <v>0</v>
      </c>
      <c r="K301" s="23"/>
      <c r="Z301" s="9">
        <f t="shared" si="139"/>
        <v>0</v>
      </c>
      <c r="AB301" s="9">
        <f t="shared" si="140"/>
        <v>0</v>
      </c>
      <c r="AC301" s="9">
        <f t="shared" si="141"/>
        <v>0</v>
      </c>
      <c r="AD301" s="9">
        <f t="shared" si="142"/>
        <v>0</v>
      </c>
      <c r="AE301" s="9">
        <f t="shared" si="143"/>
        <v>0</v>
      </c>
      <c r="AF301" s="9">
        <f t="shared" si="144"/>
        <v>0</v>
      </c>
      <c r="AG301" s="9">
        <f t="shared" si="145"/>
        <v>0</v>
      </c>
      <c r="AH301" s="9">
        <f t="shared" si="146"/>
        <v>0</v>
      </c>
      <c r="AI301" s="11" t="s">
        <v>5</v>
      </c>
      <c r="AJ301" s="9">
        <f t="shared" si="147"/>
        <v>0</v>
      </c>
      <c r="AK301" s="9">
        <f t="shared" si="148"/>
        <v>0</v>
      </c>
      <c r="AL301" s="9">
        <f t="shared" si="149"/>
        <v>0</v>
      </c>
      <c r="AN301" s="9">
        <v>21</v>
      </c>
      <c r="AO301" s="9">
        <f t="shared" si="160"/>
        <v>0</v>
      </c>
      <c r="AP301" s="9">
        <f t="shared" si="161"/>
        <v>0</v>
      </c>
      <c r="AQ301" s="60" t="s">
        <v>1238</v>
      </c>
      <c r="AV301" s="9">
        <f t="shared" si="150"/>
        <v>0</v>
      </c>
      <c r="AW301" s="9">
        <f t="shared" si="151"/>
        <v>0</v>
      </c>
      <c r="AX301" s="9">
        <f t="shared" si="152"/>
        <v>0</v>
      </c>
      <c r="AY301" s="60" t="s">
        <v>772</v>
      </c>
      <c r="AZ301" s="60" t="s">
        <v>484</v>
      </c>
      <c r="BA301" s="11" t="s">
        <v>1092</v>
      </c>
      <c r="BC301" s="9">
        <f t="shared" si="153"/>
        <v>0</v>
      </c>
      <c r="BD301" s="9">
        <f t="shared" si="154"/>
        <v>0</v>
      </c>
      <c r="BE301" s="9">
        <v>0</v>
      </c>
      <c r="BF301" s="9">
        <f>301</f>
        <v>301</v>
      </c>
      <c r="BH301" s="9">
        <f t="shared" si="155"/>
        <v>0</v>
      </c>
      <c r="BI301" s="9">
        <f t="shared" si="156"/>
        <v>0</v>
      </c>
      <c r="BJ301" s="9">
        <f t="shared" si="157"/>
        <v>0</v>
      </c>
      <c r="BK301" s="9"/>
      <c r="BL301" s="9">
        <v>730</v>
      </c>
      <c r="BW301" s="9">
        <v>21</v>
      </c>
    </row>
    <row r="302" spans="1:75" ht="13.5" customHeight="1">
      <c r="A302" s="16" t="s">
        <v>197</v>
      </c>
      <c r="B302" s="32" t="s">
        <v>5</v>
      </c>
      <c r="C302" s="32" t="s">
        <v>302</v>
      </c>
      <c r="D302" s="69" t="s">
        <v>1232</v>
      </c>
      <c r="E302" s="70"/>
      <c r="F302" s="32" t="s">
        <v>861</v>
      </c>
      <c r="G302" s="9">
        <v>1</v>
      </c>
      <c r="H302" s="68">
        <v>0</v>
      </c>
      <c r="I302" s="9">
        <f t="shared" si="138"/>
        <v>0</v>
      </c>
      <c r="K302" s="23"/>
      <c r="Z302" s="9">
        <f t="shared" si="139"/>
        <v>0</v>
      </c>
      <c r="AB302" s="9">
        <f t="shared" si="140"/>
        <v>0</v>
      </c>
      <c r="AC302" s="9">
        <f t="shared" si="141"/>
        <v>0</v>
      </c>
      <c r="AD302" s="9">
        <f t="shared" si="142"/>
        <v>0</v>
      </c>
      <c r="AE302" s="9">
        <f t="shared" si="143"/>
        <v>0</v>
      </c>
      <c r="AF302" s="9">
        <f t="shared" si="144"/>
        <v>0</v>
      </c>
      <c r="AG302" s="9">
        <f t="shared" si="145"/>
        <v>0</v>
      </c>
      <c r="AH302" s="9">
        <f t="shared" si="146"/>
        <v>0</v>
      </c>
      <c r="AI302" s="11" t="s">
        <v>5</v>
      </c>
      <c r="AJ302" s="9">
        <f t="shared" si="147"/>
        <v>0</v>
      </c>
      <c r="AK302" s="9">
        <f t="shared" si="148"/>
        <v>0</v>
      </c>
      <c r="AL302" s="9">
        <f t="shared" si="149"/>
        <v>0</v>
      </c>
      <c r="AN302" s="9">
        <v>21</v>
      </c>
      <c r="AO302" s="9">
        <f t="shared" si="160"/>
        <v>0</v>
      </c>
      <c r="AP302" s="9">
        <f t="shared" si="161"/>
        <v>0</v>
      </c>
      <c r="AQ302" s="60" t="s">
        <v>1238</v>
      </c>
      <c r="AV302" s="9">
        <f t="shared" si="150"/>
        <v>0</v>
      </c>
      <c r="AW302" s="9">
        <f t="shared" si="151"/>
        <v>0</v>
      </c>
      <c r="AX302" s="9">
        <f t="shared" si="152"/>
        <v>0</v>
      </c>
      <c r="AY302" s="60" t="s">
        <v>772</v>
      </c>
      <c r="AZ302" s="60" t="s">
        <v>484</v>
      </c>
      <c r="BA302" s="11" t="s">
        <v>1092</v>
      </c>
      <c r="BC302" s="9">
        <f t="shared" si="153"/>
        <v>0</v>
      </c>
      <c r="BD302" s="9">
        <f t="shared" si="154"/>
        <v>0</v>
      </c>
      <c r="BE302" s="9">
        <v>0</v>
      </c>
      <c r="BF302" s="9">
        <f>302</f>
        <v>302</v>
      </c>
      <c r="BH302" s="9">
        <f t="shared" si="155"/>
        <v>0</v>
      </c>
      <c r="BI302" s="9">
        <f t="shared" si="156"/>
        <v>0</v>
      </c>
      <c r="BJ302" s="9">
        <f t="shared" si="157"/>
        <v>0</v>
      </c>
      <c r="BK302" s="9"/>
      <c r="BL302" s="9">
        <v>730</v>
      </c>
      <c r="BW302" s="9">
        <v>21</v>
      </c>
    </row>
    <row r="303" spans="1:47" ht="15" customHeight="1">
      <c r="A303" s="39" t="s">
        <v>852</v>
      </c>
      <c r="B303" s="48" t="s">
        <v>5</v>
      </c>
      <c r="C303" s="48" t="s">
        <v>542</v>
      </c>
      <c r="D303" s="122" t="s">
        <v>604</v>
      </c>
      <c r="E303" s="123"/>
      <c r="F303" s="51" t="s">
        <v>1142</v>
      </c>
      <c r="G303" s="51" t="s">
        <v>1142</v>
      </c>
      <c r="H303" s="51" t="s">
        <v>1142</v>
      </c>
      <c r="I303" s="55">
        <f>SUM(I304:I322)</f>
        <v>0</v>
      </c>
      <c r="K303" s="23"/>
      <c r="AI303" s="11" t="s">
        <v>5</v>
      </c>
      <c r="AS303" s="55">
        <f>SUM(AJ304:AJ322)</f>
        <v>0</v>
      </c>
      <c r="AT303" s="55">
        <f>SUM(AK304:AK322)</f>
        <v>0</v>
      </c>
      <c r="AU303" s="55">
        <f>SUM(AL304:AL322)</f>
        <v>0</v>
      </c>
    </row>
    <row r="304" spans="1:75" ht="13.5" customHeight="1">
      <c r="A304" s="16" t="s">
        <v>613</v>
      </c>
      <c r="B304" s="32" t="s">
        <v>5</v>
      </c>
      <c r="C304" s="32" t="s">
        <v>769</v>
      </c>
      <c r="D304" s="69" t="s">
        <v>428</v>
      </c>
      <c r="E304" s="70"/>
      <c r="F304" s="32" t="s">
        <v>317</v>
      </c>
      <c r="G304" s="9">
        <v>2</v>
      </c>
      <c r="H304" s="68">
        <v>0</v>
      </c>
      <c r="I304" s="9">
        <f>G304*H304</f>
        <v>0</v>
      </c>
      <c r="K304" s="23"/>
      <c r="Z304" s="9">
        <f>IF(AQ304="5",BJ304,0)</f>
        <v>0</v>
      </c>
      <c r="AB304" s="9">
        <f>IF(AQ304="1",BH304,0)</f>
        <v>0</v>
      </c>
      <c r="AC304" s="9">
        <f>IF(AQ304="1",BI304,0)</f>
        <v>0</v>
      </c>
      <c r="AD304" s="9">
        <f>IF(AQ304="7",BH304,0)</f>
        <v>0</v>
      </c>
      <c r="AE304" s="9">
        <f>IF(AQ304="7",BI304,0)</f>
        <v>0</v>
      </c>
      <c r="AF304" s="9">
        <f>IF(AQ304="2",BH304,0)</f>
        <v>0</v>
      </c>
      <c r="AG304" s="9">
        <f>IF(AQ304="2",BI304,0)</f>
        <v>0</v>
      </c>
      <c r="AH304" s="9">
        <f>IF(AQ304="0",BJ304,0)</f>
        <v>0</v>
      </c>
      <c r="AI304" s="11" t="s">
        <v>5</v>
      </c>
      <c r="AJ304" s="9">
        <f>IF(AN304=0,I304,0)</f>
        <v>0</v>
      </c>
      <c r="AK304" s="9">
        <f>IF(AN304=12,I304,0)</f>
        <v>0</v>
      </c>
      <c r="AL304" s="9">
        <f>IF(AN304=21,I304,0)</f>
        <v>0</v>
      </c>
      <c r="AN304" s="9">
        <v>21</v>
      </c>
      <c r="AO304" s="9">
        <f>H304*0.0541177318596828</f>
        <v>0</v>
      </c>
      <c r="AP304" s="9">
        <f>H304*(1-0.0541177318596828)</f>
        <v>0</v>
      </c>
      <c r="AQ304" s="60" t="s">
        <v>1238</v>
      </c>
      <c r="AV304" s="9">
        <f>AW304+AX304</f>
        <v>0</v>
      </c>
      <c r="AW304" s="9">
        <f>G304*AO304</f>
        <v>0</v>
      </c>
      <c r="AX304" s="9">
        <f>G304*AP304</f>
        <v>0</v>
      </c>
      <c r="AY304" s="60" t="s">
        <v>133</v>
      </c>
      <c r="AZ304" s="60" t="s">
        <v>50</v>
      </c>
      <c r="BA304" s="11" t="s">
        <v>1092</v>
      </c>
      <c r="BC304" s="9">
        <f>AW304+AX304</f>
        <v>0</v>
      </c>
      <c r="BD304" s="9">
        <f>H304/(100-BE304)*100</f>
        <v>0</v>
      </c>
      <c r="BE304" s="9">
        <v>0</v>
      </c>
      <c r="BF304" s="9">
        <f>304</f>
        <v>304</v>
      </c>
      <c r="BH304" s="9">
        <f>G304*AO304</f>
        <v>0</v>
      </c>
      <c r="BI304" s="9">
        <f>G304*AP304</f>
        <v>0</v>
      </c>
      <c r="BJ304" s="9">
        <f>G304*H304</f>
        <v>0</v>
      </c>
      <c r="BK304" s="9"/>
      <c r="BL304" s="9">
        <v>766</v>
      </c>
      <c r="BW304" s="9">
        <v>21</v>
      </c>
    </row>
    <row r="305" spans="1:11" ht="13.5" customHeight="1">
      <c r="A305" s="47"/>
      <c r="C305" s="28"/>
      <c r="D305" s="116" t="s">
        <v>60</v>
      </c>
      <c r="E305" s="117"/>
      <c r="F305" s="117"/>
      <c r="G305" s="117"/>
      <c r="H305" s="117"/>
      <c r="I305" s="117"/>
      <c r="J305" s="117"/>
      <c r="K305" s="118"/>
    </row>
    <row r="306" spans="1:75" ht="13.5" customHeight="1">
      <c r="A306" s="16" t="s">
        <v>1394</v>
      </c>
      <c r="B306" s="32" t="s">
        <v>5</v>
      </c>
      <c r="C306" s="32" t="s">
        <v>359</v>
      </c>
      <c r="D306" s="69" t="s">
        <v>680</v>
      </c>
      <c r="E306" s="70"/>
      <c r="F306" s="32" t="s">
        <v>317</v>
      </c>
      <c r="G306" s="9">
        <v>2</v>
      </c>
      <c r="H306" s="68">
        <v>0</v>
      </c>
      <c r="I306" s="9">
        <f>G306*H306</f>
        <v>0</v>
      </c>
      <c r="K306" s="23"/>
      <c r="Z306" s="9">
        <f>IF(AQ306="5",BJ306,0)</f>
        <v>0</v>
      </c>
      <c r="AB306" s="9">
        <f>IF(AQ306="1",BH306,0)</f>
        <v>0</v>
      </c>
      <c r="AC306" s="9">
        <f>IF(AQ306="1",BI306,0)</f>
        <v>0</v>
      </c>
      <c r="AD306" s="9">
        <f>IF(AQ306="7",BH306,0)</f>
        <v>0</v>
      </c>
      <c r="AE306" s="9">
        <f>IF(AQ306="7",BI306,0)</f>
        <v>0</v>
      </c>
      <c r="AF306" s="9">
        <f>IF(AQ306="2",BH306,0)</f>
        <v>0</v>
      </c>
      <c r="AG306" s="9">
        <f>IF(AQ306="2",BI306,0)</f>
        <v>0</v>
      </c>
      <c r="AH306" s="9">
        <f>IF(AQ306="0",BJ306,0)</f>
        <v>0</v>
      </c>
      <c r="AI306" s="11" t="s">
        <v>5</v>
      </c>
      <c r="AJ306" s="9">
        <f>IF(AN306=0,I306,0)</f>
        <v>0</v>
      </c>
      <c r="AK306" s="9">
        <f>IF(AN306=12,I306,0)</f>
        <v>0</v>
      </c>
      <c r="AL306" s="9">
        <f>IF(AN306=21,I306,0)</f>
        <v>0</v>
      </c>
      <c r="AN306" s="9">
        <v>21</v>
      </c>
      <c r="AO306" s="9">
        <f>H306*0.0541179277436946</f>
        <v>0</v>
      </c>
      <c r="AP306" s="9">
        <f>H306*(1-0.0541179277436946)</f>
        <v>0</v>
      </c>
      <c r="AQ306" s="60" t="s">
        <v>1238</v>
      </c>
      <c r="AV306" s="9">
        <f>AW306+AX306</f>
        <v>0</v>
      </c>
      <c r="AW306" s="9">
        <f>G306*AO306</f>
        <v>0</v>
      </c>
      <c r="AX306" s="9">
        <f>G306*AP306</f>
        <v>0</v>
      </c>
      <c r="AY306" s="60" t="s">
        <v>133</v>
      </c>
      <c r="AZ306" s="60" t="s">
        <v>50</v>
      </c>
      <c r="BA306" s="11" t="s">
        <v>1092</v>
      </c>
      <c r="BC306" s="9">
        <f>AW306+AX306</f>
        <v>0</v>
      </c>
      <c r="BD306" s="9">
        <f>H306/(100-BE306)*100</f>
        <v>0</v>
      </c>
      <c r="BE306" s="9">
        <v>0</v>
      </c>
      <c r="BF306" s="9">
        <f>306</f>
        <v>306</v>
      </c>
      <c r="BH306" s="9">
        <f>G306*AO306</f>
        <v>0</v>
      </c>
      <c r="BI306" s="9">
        <f>G306*AP306</f>
        <v>0</v>
      </c>
      <c r="BJ306" s="9">
        <f>G306*H306</f>
        <v>0</v>
      </c>
      <c r="BK306" s="9"/>
      <c r="BL306" s="9">
        <v>766</v>
      </c>
      <c r="BW306" s="9">
        <v>21</v>
      </c>
    </row>
    <row r="307" spans="1:11" ht="13.5" customHeight="1">
      <c r="A307" s="47"/>
      <c r="C307" s="28"/>
      <c r="D307" s="116" t="s">
        <v>293</v>
      </c>
      <c r="E307" s="117"/>
      <c r="F307" s="117"/>
      <c r="G307" s="117"/>
      <c r="H307" s="117"/>
      <c r="I307" s="117"/>
      <c r="J307" s="117"/>
      <c r="K307" s="118"/>
    </row>
    <row r="308" spans="1:75" ht="13.5" customHeight="1">
      <c r="A308" s="16" t="s">
        <v>1330</v>
      </c>
      <c r="B308" s="32" t="s">
        <v>5</v>
      </c>
      <c r="C308" s="32" t="s">
        <v>147</v>
      </c>
      <c r="D308" s="69" t="s">
        <v>479</v>
      </c>
      <c r="E308" s="70"/>
      <c r="F308" s="32" t="s">
        <v>317</v>
      </c>
      <c r="G308" s="9">
        <v>4</v>
      </c>
      <c r="H308" s="68">
        <v>0</v>
      </c>
      <c r="I308" s="9">
        <f>G308*H308</f>
        <v>0</v>
      </c>
      <c r="K308" s="23"/>
      <c r="Z308" s="9">
        <f>IF(AQ308="5",BJ308,0)</f>
        <v>0</v>
      </c>
      <c r="AB308" s="9">
        <f>IF(AQ308="1",BH308,0)</f>
        <v>0</v>
      </c>
      <c r="AC308" s="9">
        <f>IF(AQ308="1",BI308,0)</f>
        <v>0</v>
      </c>
      <c r="AD308" s="9">
        <f>IF(AQ308="7",BH308,0)</f>
        <v>0</v>
      </c>
      <c r="AE308" s="9">
        <f>IF(AQ308="7",BI308,0)</f>
        <v>0</v>
      </c>
      <c r="AF308" s="9">
        <f>IF(AQ308="2",BH308,0)</f>
        <v>0</v>
      </c>
      <c r="AG308" s="9">
        <f>IF(AQ308="2",BI308,0)</f>
        <v>0</v>
      </c>
      <c r="AH308" s="9">
        <f>IF(AQ308="0",BJ308,0)</f>
        <v>0</v>
      </c>
      <c r="AI308" s="11" t="s">
        <v>5</v>
      </c>
      <c r="AJ308" s="9">
        <f>IF(AN308=0,I308,0)</f>
        <v>0</v>
      </c>
      <c r="AK308" s="9">
        <f>IF(AN308=12,I308,0)</f>
        <v>0</v>
      </c>
      <c r="AL308" s="9">
        <f>IF(AN308=21,I308,0)</f>
        <v>0</v>
      </c>
      <c r="AN308" s="9">
        <v>21</v>
      </c>
      <c r="AO308" s="9">
        <f>H308*0</f>
        <v>0</v>
      </c>
      <c r="AP308" s="9">
        <f>H308*(1-0)</f>
        <v>0</v>
      </c>
      <c r="AQ308" s="60" t="s">
        <v>1238</v>
      </c>
      <c r="AV308" s="9">
        <f>AW308+AX308</f>
        <v>0</v>
      </c>
      <c r="AW308" s="9">
        <f>G308*AO308</f>
        <v>0</v>
      </c>
      <c r="AX308" s="9">
        <f>G308*AP308</f>
        <v>0</v>
      </c>
      <c r="AY308" s="60" t="s">
        <v>133</v>
      </c>
      <c r="AZ308" s="60" t="s">
        <v>50</v>
      </c>
      <c r="BA308" s="11" t="s">
        <v>1092</v>
      </c>
      <c r="BC308" s="9">
        <f>AW308+AX308</f>
        <v>0</v>
      </c>
      <c r="BD308" s="9">
        <f>H308/(100-BE308)*100</f>
        <v>0</v>
      </c>
      <c r="BE308" s="9">
        <v>0</v>
      </c>
      <c r="BF308" s="9">
        <f>308</f>
        <v>308</v>
      </c>
      <c r="BH308" s="9">
        <f>G308*AO308</f>
        <v>0</v>
      </c>
      <c r="BI308" s="9">
        <f>G308*AP308</f>
        <v>0</v>
      </c>
      <c r="BJ308" s="9">
        <f>G308*H308</f>
        <v>0</v>
      </c>
      <c r="BK308" s="9"/>
      <c r="BL308" s="9">
        <v>766</v>
      </c>
      <c r="BW308" s="9">
        <v>21</v>
      </c>
    </row>
    <row r="309" spans="1:11" ht="13.5" customHeight="1">
      <c r="A309" s="47"/>
      <c r="C309" s="28"/>
      <c r="D309" s="116" t="s">
        <v>400</v>
      </c>
      <c r="E309" s="117"/>
      <c r="F309" s="117"/>
      <c r="G309" s="117"/>
      <c r="H309" s="117"/>
      <c r="I309" s="117"/>
      <c r="J309" s="117"/>
      <c r="K309" s="118"/>
    </row>
    <row r="310" spans="1:75" ht="13.5" customHeight="1">
      <c r="A310" s="16" t="s">
        <v>603</v>
      </c>
      <c r="B310" s="32" t="s">
        <v>5</v>
      </c>
      <c r="C310" s="32" t="s">
        <v>34</v>
      </c>
      <c r="D310" s="69" t="s">
        <v>335</v>
      </c>
      <c r="E310" s="70"/>
      <c r="F310" s="32" t="s">
        <v>317</v>
      </c>
      <c r="G310" s="9">
        <v>1</v>
      </c>
      <c r="H310" s="68">
        <v>0</v>
      </c>
      <c r="I310" s="9">
        <f>G310*H310</f>
        <v>0</v>
      </c>
      <c r="K310" s="23"/>
      <c r="Z310" s="9">
        <f>IF(AQ310="5",BJ310,0)</f>
        <v>0</v>
      </c>
      <c r="AB310" s="9">
        <f>IF(AQ310="1",BH310,0)</f>
        <v>0</v>
      </c>
      <c r="AC310" s="9">
        <f>IF(AQ310="1",BI310,0)</f>
        <v>0</v>
      </c>
      <c r="AD310" s="9">
        <f>IF(AQ310="7",BH310,0)</f>
        <v>0</v>
      </c>
      <c r="AE310" s="9">
        <f>IF(AQ310="7",BI310,0)</f>
        <v>0</v>
      </c>
      <c r="AF310" s="9">
        <f>IF(AQ310="2",BH310,0)</f>
        <v>0</v>
      </c>
      <c r="AG310" s="9">
        <f>IF(AQ310="2",BI310,0)</f>
        <v>0</v>
      </c>
      <c r="AH310" s="9">
        <f>IF(AQ310="0",BJ310,0)</f>
        <v>0</v>
      </c>
      <c r="AI310" s="11" t="s">
        <v>5</v>
      </c>
      <c r="AJ310" s="9">
        <f>IF(AN310=0,I310,0)</f>
        <v>0</v>
      </c>
      <c r="AK310" s="9">
        <f>IF(AN310=12,I310,0)</f>
        <v>0</v>
      </c>
      <c r="AL310" s="9">
        <f>IF(AN310=21,I310,0)</f>
        <v>0</v>
      </c>
      <c r="AN310" s="9">
        <v>21</v>
      </c>
      <c r="AO310" s="9">
        <f>H310*0</f>
        <v>0</v>
      </c>
      <c r="AP310" s="9">
        <f>H310*(1-0)</f>
        <v>0</v>
      </c>
      <c r="AQ310" s="60" t="s">
        <v>1238</v>
      </c>
      <c r="AV310" s="9">
        <f>AW310+AX310</f>
        <v>0</v>
      </c>
      <c r="AW310" s="9">
        <f>G310*AO310</f>
        <v>0</v>
      </c>
      <c r="AX310" s="9">
        <f>G310*AP310</f>
        <v>0</v>
      </c>
      <c r="AY310" s="60" t="s">
        <v>133</v>
      </c>
      <c r="AZ310" s="60" t="s">
        <v>50</v>
      </c>
      <c r="BA310" s="11" t="s">
        <v>1092</v>
      </c>
      <c r="BC310" s="9">
        <f>AW310+AX310</f>
        <v>0</v>
      </c>
      <c r="BD310" s="9">
        <f>H310/(100-BE310)*100</f>
        <v>0</v>
      </c>
      <c r="BE310" s="9">
        <v>0</v>
      </c>
      <c r="BF310" s="9">
        <f>310</f>
        <v>310</v>
      </c>
      <c r="BH310" s="9">
        <f>G310*AO310</f>
        <v>0</v>
      </c>
      <c r="BI310" s="9">
        <f>G310*AP310</f>
        <v>0</v>
      </c>
      <c r="BJ310" s="9">
        <f>G310*H310</f>
        <v>0</v>
      </c>
      <c r="BK310" s="9"/>
      <c r="BL310" s="9">
        <v>766</v>
      </c>
      <c r="BW310" s="9">
        <v>21</v>
      </c>
    </row>
    <row r="311" spans="1:11" ht="13.5" customHeight="1">
      <c r="A311" s="47"/>
      <c r="C311" s="28"/>
      <c r="D311" s="116" t="s">
        <v>1210</v>
      </c>
      <c r="E311" s="117"/>
      <c r="F311" s="117"/>
      <c r="G311" s="117"/>
      <c r="H311" s="117"/>
      <c r="I311" s="117"/>
      <c r="J311" s="117"/>
      <c r="K311" s="118"/>
    </row>
    <row r="312" spans="1:75" ht="13.5" customHeight="1">
      <c r="A312" s="16" t="s">
        <v>1325</v>
      </c>
      <c r="B312" s="32" t="s">
        <v>5</v>
      </c>
      <c r="C312" s="32" t="s">
        <v>1233</v>
      </c>
      <c r="D312" s="69" t="s">
        <v>479</v>
      </c>
      <c r="E312" s="70"/>
      <c r="F312" s="32" t="s">
        <v>317</v>
      </c>
      <c r="G312" s="9">
        <v>1</v>
      </c>
      <c r="H312" s="68">
        <v>0</v>
      </c>
      <c r="I312" s="9">
        <f>G312*H312</f>
        <v>0</v>
      </c>
      <c r="K312" s="23"/>
      <c r="Z312" s="9">
        <f>IF(AQ312="5",BJ312,0)</f>
        <v>0</v>
      </c>
      <c r="AB312" s="9">
        <f>IF(AQ312="1",BH312,0)</f>
        <v>0</v>
      </c>
      <c r="AC312" s="9">
        <f>IF(AQ312="1",BI312,0)</f>
        <v>0</v>
      </c>
      <c r="AD312" s="9">
        <f>IF(AQ312="7",BH312,0)</f>
        <v>0</v>
      </c>
      <c r="AE312" s="9">
        <f>IF(AQ312="7",BI312,0)</f>
        <v>0</v>
      </c>
      <c r="AF312" s="9">
        <f>IF(AQ312="2",BH312,0)</f>
        <v>0</v>
      </c>
      <c r="AG312" s="9">
        <f>IF(AQ312="2",BI312,0)</f>
        <v>0</v>
      </c>
      <c r="AH312" s="9">
        <f>IF(AQ312="0",BJ312,0)</f>
        <v>0</v>
      </c>
      <c r="AI312" s="11" t="s">
        <v>5</v>
      </c>
      <c r="AJ312" s="9">
        <f>IF(AN312=0,I312,0)</f>
        <v>0</v>
      </c>
      <c r="AK312" s="9">
        <f>IF(AN312=12,I312,0)</f>
        <v>0</v>
      </c>
      <c r="AL312" s="9">
        <f>IF(AN312=21,I312,0)</f>
        <v>0</v>
      </c>
      <c r="AN312" s="9">
        <v>21</v>
      </c>
      <c r="AO312" s="9">
        <f>H312*0</f>
        <v>0</v>
      </c>
      <c r="AP312" s="9">
        <f>H312*(1-0)</f>
        <v>0</v>
      </c>
      <c r="AQ312" s="60" t="s">
        <v>1238</v>
      </c>
      <c r="AV312" s="9">
        <f>AW312+AX312</f>
        <v>0</v>
      </c>
      <c r="AW312" s="9">
        <f>G312*AO312</f>
        <v>0</v>
      </c>
      <c r="AX312" s="9">
        <f>G312*AP312</f>
        <v>0</v>
      </c>
      <c r="AY312" s="60" t="s">
        <v>133</v>
      </c>
      <c r="AZ312" s="60" t="s">
        <v>50</v>
      </c>
      <c r="BA312" s="11" t="s">
        <v>1092</v>
      </c>
      <c r="BC312" s="9">
        <f>AW312+AX312</f>
        <v>0</v>
      </c>
      <c r="BD312" s="9">
        <f>H312/(100-BE312)*100</f>
        <v>0</v>
      </c>
      <c r="BE312" s="9">
        <v>0</v>
      </c>
      <c r="BF312" s="9">
        <f>312</f>
        <v>312</v>
      </c>
      <c r="BH312" s="9">
        <f>G312*AO312</f>
        <v>0</v>
      </c>
      <c r="BI312" s="9">
        <f>G312*AP312</f>
        <v>0</v>
      </c>
      <c r="BJ312" s="9">
        <f>G312*H312</f>
        <v>0</v>
      </c>
      <c r="BK312" s="9"/>
      <c r="BL312" s="9">
        <v>766</v>
      </c>
      <c r="BW312" s="9">
        <v>21</v>
      </c>
    </row>
    <row r="313" spans="1:11" ht="13.5" customHeight="1">
      <c r="A313" s="47"/>
      <c r="C313" s="28"/>
      <c r="D313" s="116" t="s">
        <v>1210</v>
      </c>
      <c r="E313" s="117"/>
      <c r="F313" s="117"/>
      <c r="G313" s="117"/>
      <c r="H313" s="117"/>
      <c r="I313" s="117"/>
      <c r="J313" s="117"/>
      <c r="K313" s="118"/>
    </row>
    <row r="314" spans="1:75" ht="13.5" customHeight="1">
      <c r="A314" s="16" t="s">
        <v>668</v>
      </c>
      <c r="B314" s="32" t="s">
        <v>5</v>
      </c>
      <c r="C314" s="32" t="s">
        <v>952</v>
      </c>
      <c r="D314" s="69" t="s">
        <v>898</v>
      </c>
      <c r="E314" s="70"/>
      <c r="F314" s="32" t="s">
        <v>317</v>
      </c>
      <c r="G314" s="9">
        <v>1</v>
      </c>
      <c r="H314" s="68">
        <v>0</v>
      </c>
      <c r="I314" s="9">
        <f>G314*H314</f>
        <v>0</v>
      </c>
      <c r="K314" s="23"/>
      <c r="Z314" s="9">
        <f>IF(AQ314="5",BJ314,0)</f>
        <v>0</v>
      </c>
      <c r="AB314" s="9">
        <f>IF(AQ314="1",BH314,0)</f>
        <v>0</v>
      </c>
      <c r="AC314" s="9">
        <f>IF(AQ314="1",BI314,0)</f>
        <v>0</v>
      </c>
      <c r="AD314" s="9">
        <f>IF(AQ314="7",BH314,0)</f>
        <v>0</v>
      </c>
      <c r="AE314" s="9">
        <f>IF(AQ314="7",BI314,0)</f>
        <v>0</v>
      </c>
      <c r="AF314" s="9">
        <f>IF(AQ314="2",BH314,0)</f>
        <v>0</v>
      </c>
      <c r="AG314" s="9">
        <f>IF(AQ314="2",BI314,0)</f>
        <v>0</v>
      </c>
      <c r="AH314" s="9">
        <f>IF(AQ314="0",BJ314,0)</f>
        <v>0</v>
      </c>
      <c r="AI314" s="11" t="s">
        <v>5</v>
      </c>
      <c r="AJ314" s="9">
        <f>IF(AN314=0,I314,0)</f>
        <v>0</v>
      </c>
      <c r="AK314" s="9">
        <f>IF(AN314=12,I314,0)</f>
        <v>0</v>
      </c>
      <c r="AL314" s="9">
        <f>IF(AN314=21,I314,0)</f>
        <v>0</v>
      </c>
      <c r="AN314" s="9">
        <v>21</v>
      </c>
      <c r="AO314" s="9">
        <f>H314*0</f>
        <v>0</v>
      </c>
      <c r="AP314" s="9">
        <f>H314*(1-0)</f>
        <v>0</v>
      </c>
      <c r="AQ314" s="60" t="s">
        <v>1238</v>
      </c>
      <c r="AV314" s="9">
        <f>AW314+AX314</f>
        <v>0</v>
      </c>
      <c r="AW314" s="9">
        <f>G314*AO314</f>
        <v>0</v>
      </c>
      <c r="AX314" s="9">
        <f>G314*AP314</f>
        <v>0</v>
      </c>
      <c r="AY314" s="60" t="s">
        <v>133</v>
      </c>
      <c r="AZ314" s="60" t="s">
        <v>50</v>
      </c>
      <c r="BA314" s="11" t="s">
        <v>1092</v>
      </c>
      <c r="BC314" s="9">
        <f>AW314+AX314</f>
        <v>0</v>
      </c>
      <c r="BD314" s="9">
        <f>H314/(100-BE314)*100</f>
        <v>0</v>
      </c>
      <c r="BE314" s="9">
        <v>0</v>
      </c>
      <c r="BF314" s="9">
        <f>314</f>
        <v>314</v>
      </c>
      <c r="BH314" s="9">
        <f>G314*AO314</f>
        <v>0</v>
      </c>
      <c r="BI314" s="9">
        <f>G314*AP314</f>
        <v>0</v>
      </c>
      <c r="BJ314" s="9">
        <f>G314*H314</f>
        <v>0</v>
      </c>
      <c r="BK314" s="9"/>
      <c r="BL314" s="9">
        <v>766</v>
      </c>
      <c r="BW314" s="9">
        <v>21</v>
      </c>
    </row>
    <row r="315" spans="1:11" ht="13.5" customHeight="1">
      <c r="A315" s="47"/>
      <c r="C315" s="28"/>
      <c r="D315" s="116" t="s">
        <v>734</v>
      </c>
      <c r="E315" s="117"/>
      <c r="F315" s="117"/>
      <c r="G315" s="117"/>
      <c r="H315" s="117"/>
      <c r="I315" s="117"/>
      <c r="J315" s="117"/>
      <c r="K315" s="118"/>
    </row>
    <row r="316" spans="1:75" ht="13.5" customHeight="1">
      <c r="A316" s="16" t="s">
        <v>929</v>
      </c>
      <c r="B316" s="32" t="s">
        <v>5</v>
      </c>
      <c r="C316" s="32" t="s">
        <v>1280</v>
      </c>
      <c r="D316" s="69" t="s">
        <v>765</v>
      </c>
      <c r="E316" s="70"/>
      <c r="F316" s="32" t="s">
        <v>317</v>
      </c>
      <c r="G316" s="9">
        <v>1</v>
      </c>
      <c r="H316" s="68">
        <v>0</v>
      </c>
      <c r="I316" s="9">
        <f>G316*H316</f>
        <v>0</v>
      </c>
      <c r="K316" s="23"/>
      <c r="Z316" s="9">
        <f>IF(AQ316="5",BJ316,0)</f>
        <v>0</v>
      </c>
      <c r="AB316" s="9">
        <f>IF(AQ316="1",BH316,0)</f>
        <v>0</v>
      </c>
      <c r="AC316" s="9">
        <f>IF(AQ316="1",BI316,0)</f>
        <v>0</v>
      </c>
      <c r="AD316" s="9">
        <f>IF(AQ316="7",BH316,0)</f>
        <v>0</v>
      </c>
      <c r="AE316" s="9">
        <f>IF(AQ316="7",BI316,0)</f>
        <v>0</v>
      </c>
      <c r="AF316" s="9">
        <f>IF(AQ316="2",BH316,0)</f>
        <v>0</v>
      </c>
      <c r="AG316" s="9">
        <f>IF(AQ316="2",BI316,0)</f>
        <v>0</v>
      </c>
      <c r="AH316" s="9">
        <f>IF(AQ316="0",BJ316,0)</f>
        <v>0</v>
      </c>
      <c r="AI316" s="11" t="s">
        <v>5</v>
      </c>
      <c r="AJ316" s="9">
        <f>IF(AN316=0,I316,0)</f>
        <v>0</v>
      </c>
      <c r="AK316" s="9">
        <f>IF(AN316=12,I316,0)</f>
        <v>0</v>
      </c>
      <c r="AL316" s="9">
        <f>IF(AN316=21,I316,0)</f>
        <v>0</v>
      </c>
      <c r="AN316" s="9">
        <v>21</v>
      </c>
      <c r="AO316" s="9">
        <f>H316*0</f>
        <v>0</v>
      </c>
      <c r="AP316" s="9">
        <f>H316*(1-0)</f>
        <v>0</v>
      </c>
      <c r="AQ316" s="60" t="s">
        <v>1238</v>
      </c>
      <c r="AV316" s="9">
        <f>AW316+AX316</f>
        <v>0</v>
      </c>
      <c r="AW316" s="9">
        <f>G316*AO316</f>
        <v>0</v>
      </c>
      <c r="AX316" s="9">
        <f>G316*AP316</f>
        <v>0</v>
      </c>
      <c r="AY316" s="60" t="s">
        <v>133</v>
      </c>
      <c r="AZ316" s="60" t="s">
        <v>50</v>
      </c>
      <c r="BA316" s="11" t="s">
        <v>1092</v>
      </c>
      <c r="BC316" s="9">
        <f>AW316+AX316</f>
        <v>0</v>
      </c>
      <c r="BD316" s="9">
        <f>H316/(100-BE316)*100</f>
        <v>0</v>
      </c>
      <c r="BE316" s="9">
        <v>0</v>
      </c>
      <c r="BF316" s="9">
        <f>316</f>
        <v>316</v>
      </c>
      <c r="BH316" s="9">
        <f>G316*AO316</f>
        <v>0</v>
      </c>
      <c r="BI316" s="9">
        <f>G316*AP316</f>
        <v>0</v>
      </c>
      <c r="BJ316" s="9">
        <f>G316*H316</f>
        <v>0</v>
      </c>
      <c r="BK316" s="9"/>
      <c r="BL316" s="9">
        <v>766</v>
      </c>
      <c r="BW316" s="9">
        <v>21</v>
      </c>
    </row>
    <row r="317" spans="1:11" ht="13.5" customHeight="1">
      <c r="A317" s="47"/>
      <c r="C317" s="28"/>
      <c r="D317" s="116" t="s">
        <v>734</v>
      </c>
      <c r="E317" s="117"/>
      <c r="F317" s="117"/>
      <c r="G317" s="117"/>
      <c r="H317" s="117"/>
      <c r="I317" s="117"/>
      <c r="J317" s="117"/>
      <c r="K317" s="118"/>
    </row>
    <row r="318" spans="1:75" ht="13.5" customHeight="1">
      <c r="A318" s="16" t="s">
        <v>590</v>
      </c>
      <c r="B318" s="32" t="s">
        <v>5</v>
      </c>
      <c r="C318" s="32" t="s">
        <v>232</v>
      </c>
      <c r="D318" s="69" t="s">
        <v>134</v>
      </c>
      <c r="E318" s="70"/>
      <c r="F318" s="32" t="s">
        <v>317</v>
      </c>
      <c r="G318" s="9">
        <v>2</v>
      </c>
      <c r="H318" s="68">
        <v>0</v>
      </c>
      <c r="I318" s="9">
        <f>G318*H318</f>
        <v>0</v>
      </c>
      <c r="K318" s="23"/>
      <c r="Z318" s="9">
        <f>IF(AQ318="5",BJ318,0)</f>
        <v>0</v>
      </c>
      <c r="AB318" s="9">
        <f>IF(AQ318="1",BH318,0)</f>
        <v>0</v>
      </c>
      <c r="AC318" s="9">
        <f>IF(AQ318="1",BI318,0)</f>
        <v>0</v>
      </c>
      <c r="AD318" s="9">
        <f>IF(AQ318="7",BH318,0)</f>
        <v>0</v>
      </c>
      <c r="AE318" s="9">
        <f>IF(AQ318="7",BI318,0)</f>
        <v>0</v>
      </c>
      <c r="AF318" s="9">
        <f>IF(AQ318="2",BH318,0)</f>
        <v>0</v>
      </c>
      <c r="AG318" s="9">
        <f>IF(AQ318="2",BI318,0)</f>
        <v>0</v>
      </c>
      <c r="AH318" s="9">
        <f>IF(AQ318="0",BJ318,0)</f>
        <v>0</v>
      </c>
      <c r="AI318" s="11" t="s">
        <v>5</v>
      </c>
      <c r="AJ318" s="9">
        <f>IF(AN318=0,I318,0)</f>
        <v>0</v>
      </c>
      <c r="AK318" s="9">
        <f>IF(AN318=12,I318,0)</f>
        <v>0</v>
      </c>
      <c r="AL318" s="9">
        <f>IF(AN318=21,I318,0)</f>
        <v>0</v>
      </c>
      <c r="AN318" s="9">
        <v>21</v>
      </c>
      <c r="AO318" s="9">
        <f>H318*0</f>
        <v>0</v>
      </c>
      <c r="AP318" s="9">
        <f>H318*(1-0)</f>
        <v>0</v>
      </c>
      <c r="AQ318" s="60" t="s">
        <v>1238</v>
      </c>
      <c r="AV318" s="9">
        <f>AW318+AX318</f>
        <v>0</v>
      </c>
      <c r="AW318" s="9">
        <f>G318*AO318</f>
        <v>0</v>
      </c>
      <c r="AX318" s="9">
        <f>G318*AP318</f>
        <v>0</v>
      </c>
      <c r="AY318" s="60" t="s">
        <v>133</v>
      </c>
      <c r="AZ318" s="60" t="s">
        <v>50</v>
      </c>
      <c r="BA318" s="11" t="s">
        <v>1092</v>
      </c>
      <c r="BC318" s="9">
        <f>AW318+AX318</f>
        <v>0</v>
      </c>
      <c r="BD318" s="9">
        <f>H318/(100-BE318)*100</f>
        <v>0</v>
      </c>
      <c r="BE318" s="9">
        <v>0</v>
      </c>
      <c r="BF318" s="9">
        <f>318</f>
        <v>318</v>
      </c>
      <c r="BH318" s="9">
        <f>G318*AO318</f>
        <v>0</v>
      </c>
      <c r="BI318" s="9">
        <f>G318*AP318</f>
        <v>0</v>
      </c>
      <c r="BJ318" s="9">
        <f>G318*H318</f>
        <v>0</v>
      </c>
      <c r="BK318" s="9"/>
      <c r="BL318" s="9">
        <v>766</v>
      </c>
      <c r="BW318" s="9">
        <v>21</v>
      </c>
    </row>
    <row r="319" spans="1:11" ht="13.5" customHeight="1">
      <c r="A319" s="47"/>
      <c r="C319" s="28"/>
      <c r="D319" s="116" t="s">
        <v>367</v>
      </c>
      <c r="E319" s="117"/>
      <c r="F319" s="117"/>
      <c r="G319" s="117"/>
      <c r="H319" s="117"/>
      <c r="I319" s="117"/>
      <c r="J319" s="117"/>
      <c r="K319" s="118"/>
    </row>
    <row r="320" spans="1:75" ht="13.5" customHeight="1">
      <c r="A320" s="16" t="s">
        <v>1224</v>
      </c>
      <c r="B320" s="32" t="s">
        <v>5</v>
      </c>
      <c r="C320" s="32" t="s">
        <v>1419</v>
      </c>
      <c r="D320" s="69" t="s">
        <v>617</v>
      </c>
      <c r="E320" s="70"/>
      <c r="F320" s="32" t="s">
        <v>317</v>
      </c>
      <c r="G320" s="9">
        <v>6</v>
      </c>
      <c r="H320" s="68">
        <v>0</v>
      </c>
      <c r="I320" s="9">
        <f>G320*H320</f>
        <v>0</v>
      </c>
      <c r="K320" s="23"/>
      <c r="Z320" s="9">
        <f>IF(AQ320="5",BJ320,0)</f>
        <v>0</v>
      </c>
      <c r="AB320" s="9">
        <f>IF(AQ320="1",BH320,0)</f>
        <v>0</v>
      </c>
      <c r="AC320" s="9">
        <f>IF(AQ320="1",BI320,0)</f>
        <v>0</v>
      </c>
      <c r="AD320" s="9">
        <f>IF(AQ320="7",BH320,0)</f>
        <v>0</v>
      </c>
      <c r="AE320" s="9">
        <f>IF(AQ320="7",BI320,0)</f>
        <v>0</v>
      </c>
      <c r="AF320" s="9">
        <f>IF(AQ320="2",BH320,0)</f>
        <v>0</v>
      </c>
      <c r="AG320" s="9">
        <f>IF(AQ320="2",BI320,0)</f>
        <v>0</v>
      </c>
      <c r="AH320" s="9">
        <f>IF(AQ320="0",BJ320,0)</f>
        <v>0</v>
      </c>
      <c r="AI320" s="11" t="s">
        <v>5</v>
      </c>
      <c r="AJ320" s="9">
        <f>IF(AN320=0,I320,0)</f>
        <v>0</v>
      </c>
      <c r="AK320" s="9">
        <f>IF(AN320=12,I320,0)</f>
        <v>0</v>
      </c>
      <c r="AL320" s="9">
        <f>IF(AN320=21,I320,0)</f>
        <v>0</v>
      </c>
      <c r="AN320" s="9">
        <v>21</v>
      </c>
      <c r="AO320" s="9">
        <f>H320*0</f>
        <v>0</v>
      </c>
      <c r="AP320" s="9">
        <f>H320*(1-0)</f>
        <v>0</v>
      </c>
      <c r="AQ320" s="60" t="s">
        <v>1238</v>
      </c>
      <c r="AV320" s="9">
        <f>AW320+AX320</f>
        <v>0</v>
      </c>
      <c r="AW320" s="9">
        <f>G320*AO320</f>
        <v>0</v>
      </c>
      <c r="AX320" s="9">
        <f>G320*AP320</f>
        <v>0</v>
      </c>
      <c r="AY320" s="60" t="s">
        <v>133</v>
      </c>
      <c r="AZ320" s="60" t="s">
        <v>50</v>
      </c>
      <c r="BA320" s="11" t="s">
        <v>1092</v>
      </c>
      <c r="BC320" s="9">
        <f>AW320+AX320</f>
        <v>0</v>
      </c>
      <c r="BD320" s="9">
        <f>H320/(100-BE320)*100</f>
        <v>0</v>
      </c>
      <c r="BE320" s="9">
        <v>0</v>
      </c>
      <c r="BF320" s="9">
        <f>320</f>
        <v>320</v>
      </c>
      <c r="BH320" s="9">
        <f>G320*AO320</f>
        <v>0</v>
      </c>
      <c r="BI320" s="9">
        <f>G320*AP320</f>
        <v>0</v>
      </c>
      <c r="BJ320" s="9">
        <f>G320*H320</f>
        <v>0</v>
      </c>
      <c r="BK320" s="9"/>
      <c r="BL320" s="9">
        <v>766</v>
      </c>
      <c r="BW320" s="9">
        <v>21</v>
      </c>
    </row>
    <row r="321" spans="1:11" ht="13.5" customHeight="1">
      <c r="A321" s="47"/>
      <c r="C321" s="28"/>
      <c r="D321" s="116" t="s">
        <v>367</v>
      </c>
      <c r="E321" s="117"/>
      <c r="F321" s="117"/>
      <c r="G321" s="117"/>
      <c r="H321" s="117"/>
      <c r="I321" s="117"/>
      <c r="J321" s="117"/>
      <c r="K321" s="118"/>
    </row>
    <row r="322" spans="1:75" ht="13.5" customHeight="1">
      <c r="A322" s="16" t="s">
        <v>532</v>
      </c>
      <c r="B322" s="32" t="s">
        <v>5</v>
      </c>
      <c r="C322" s="32" t="s">
        <v>1050</v>
      </c>
      <c r="D322" s="69" t="s">
        <v>992</v>
      </c>
      <c r="E322" s="70"/>
      <c r="F322" s="32" t="s">
        <v>594</v>
      </c>
      <c r="G322" s="9">
        <v>2.169</v>
      </c>
      <c r="H322" s="68">
        <v>0</v>
      </c>
      <c r="I322" s="9">
        <f>G322*H322</f>
        <v>0</v>
      </c>
      <c r="K322" s="23"/>
      <c r="Z322" s="9">
        <f>IF(AQ322="5",BJ322,0)</f>
        <v>0</v>
      </c>
      <c r="AB322" s="9">
        <f>IF(AQ322="1",BH322,0)</f>
        <v>0</v>
      </c>
      <c r="AC322" s="9">
        <f>IF(AQ322="1",BI322,0)</f>
        <v>0</v>
      </c>
      <c r="AD322" s="9">
        <f>IF(AQ322="7",BH322,0)</f>
        <v>0</v>
      </c>
      <c r="AE322" s="9">
        <f>IF(AQ322="7",BI322,0)</f>
        <v>0</v>
      </c>
      <c r="AF322" s="9">
        <f>IF(AQ322="2",BH322,0)</f>
        <v>0</v>
      </c>
      <c r="AG322" s="9">
        <f>IF(AQ322="2",BI322,0)</f>
        <v>0</v>
      </c>
      <c r="AH322" s="9">
        <f>IF(AQ322="0",BJ322,0)</f>
        <v>0</v>
      </c>
      <c r="AI322" s="11" t="s">
        <v>5</v>
      </c>
      <c r="AJ322" s="9">
        <f>IF(AN322=0,I322,0)</f>
        <v>0</v>
      </c>
      <c r="AK322" s="9">
        <f>IF(AN322=12,I322,0)</f>
        <v>0</v>
      </c>
      <c r="AL322" s="9">
        <f>IF(AN322=21,I322,0)</f>
        <v>0</v>
      </c>
      <c r="AN322" s="9">
        <v>21</v>
      </c>
      <c r="AO322" s="9">
        <f>H322*0</f>
        <v>0</v>
      </c>
      <c r="AP322" s="9">
        <f>H322*(1-0)</f>
        <v>0</v>
      </c>
      <c r="AQ322" s="60" t="s">
        <v>659</v>
      </c>
      <c r="AV322" s="9">
        <f>AW322+AX322</f>
        <v>0</v>
      </c>
      <c r="AW322" s="9">
        <f>G322*AO322</f>
        <v>0</v>
      </c>
      <c r="AX322" s="9">
        <f>G322*AP322</f>
        <v>0</v>
      </c>
      <c r="AY322" s="60" t="s">
        <v>133</v>
      </c>
      <c r="AZ322" s="60" t="s">
        <v>50</v>
      </c>
      <c r="BA322" s="11" t="s">
        <v>1092</v>
      </c>
      <c r="BC322" s="9">
        <f>AW322+AX322</f>
        <v>0</v>
      </c>
      <c r="BD322" s="9">
        <f>H322/(100-BE322)*100</f>
        <v>0</v>
      </c>
      <c r="BE322" s="9">
        <v>0</v>
      </c>
      <c r="BF322" s="9">
        <f>322</f>
        <v>322</v>
      </c>
      <c r="BH322" s="9">
        <f>G322*AO322</f>
        <v>0</v>
      </c>
      <c r="BI322" s="9">
        <f>G322*AP322</f>
        <v>0</v>
      </c>
      <c r="BJ322" s="9">
        <f>G322*H322</f>
        <v>0</v>
      </c>
      <c r="BK322" s="9"/>
      <c r="BL322" s="9">
        <v>766</v>
      </c>
      <c r="BW322" s="9">
        <v>21</v>
      </c>
    </row>
    <row r="323" spans="1:47" ht="15" customHeight="1">
      <c r="A323" s="39" t="s">
        <v>852</v>
      </c>
      <c r="B323" s="48" t="s">
        <v>5</v>
      </c>
      <c r="C323" s="48" t="s">
        <v>584</v>
      </c>
      <c r="D323" s="122" t="s">
        <v>397</v>
      </c>
      <c r="E323" s="123"/>
      <c r="F323" s="51" t="s">
        <v>1142</v>
      </c>
      <c r="G323" s="51" t="s">
        <v>1142</v>
      </c>
      <c r="H323" s="51" t="s">
        <v>1142</v>
      </c>
      <c r="I323" s="55">
        <f>SUM(I324:I342)</f>
        <v>0</v>
      </c>
      <c r="K323" s="23"/>
      <c r="AI323" s="11" t="s">
        <v>5</v>
      </c>
      <c r="AS323" s="55">
        <f>SUM(AJ324:AJ342)</f>
        <v>0</v>
      </c>
      <c r="AT323" s="55">
        <f>SUM(AK324:AK342)</f>
        <v>0</v>
      </c>
      <c r="AU323" s="55">
        <f>SUM(AL324:AL342)</f>
        <v>0</v>
      </c>
    </row>
    <row r="324" spans="1:75" ht="13.5" customHeight="1">
      <c r="A324" s="16" t="s">
        <v>166</v>
      </c>
      <c r="B324" s="32" t="s">
        <v>5</v>
      </c>
      <c r="C324" s="32" t="s">
        <v>633</v>
      </c>
      <c r="D324" s="69" t="s">
        <v>1351</v>
      </c>
      <c r="E324" s="70"/>
      <c r="F324" s="32" t="s">
        <v>317</v>
      </c>
      <c r="G324" s="9">
        <v>8</v>
      </c>
      <c r="H324" s="68">
        <v>0</v>
      </c>
      <c r="I324" s="9">
        <f>G324*H324</f>
        <v>0</v>
      </c>
      <c r="K324" s="23"/>
      <c r="Z324" s="9">
        <f>IF(AQ324="5",BJ324,0)</f>
        <v>0</v>
      </c>
      <c r="AB324" s="9">
        <f>IF(AQ324="1",BH324,0)</f>
        <v>0</v>
      </c>
      <c r="AC324" s="9">
        <f>IF(AQ324="1",BI324,0)</f>
        <v>0</v>
      </c>
      <c r="AD324" s="9">
        <f>IF(AQ324="7",BH324,0)</f>
        <v>0</v>
      </c>
      <c r="AE324" s="9">
        <f>IF(AQ324="7",BI324,0)</f>
        <v>0</v>
      </c>
      <c r="AF324" s="9">
        <f>IF(AQ324="2",BH324,0)</f>
        <v>0</v>
      </c>
      <c r="AG324" s="9">
        <f>IF(AQ324="2",BI324,0)</f>
        <v>0</v>
      </c>
      <c r="AH324" s="9">
        <f>IF(AQ324="0",BJ324,0)</f>
        <v>0</v>
      </c>
      <c r="AI324" s="11" t="s">
        <v>5</v>
      </c>
      <c r="AJ324" s="9">
        <f>IF(AN324=0,I324,0)</f>
        <v>0</v>
      </c>
      <c r="AK324" s="9">
        <f>IF(AN324=12,I324,0)</f>
        <v>0</v>
      </c>
      <c r="AL324" s="9">
        <f>IF(AN324=21,I324,0)</f>
        <v>0</v>
      </c>
      <c r="AN324" s="9">
        <v>21</v>
      </c>
      <c r="AO324" s="9">
        <f>H324*0.078594470046083</f>
        <v>0</v>
      </c>
      <c r="AP324" s="9">
        <f>H324*(1-0.078594470046083)</f>
        <v>0</v>
      </c>
      <c r="AQ324" s="60" t="s">
        <v>1238</v>
      </c>
      <c r="AV324" s="9">
        <f>AW324+AX324</f>
        <v>0</v>
      </c>
      <c r="AW324" s="9">
        <f>G324*AO324</f>
        <v>0</v>
      </c>
      <c r="AX324" s="9">
        <f>G324*AP324</f>
        <v>0</v>
      </c>
      <c r="AY324" s="60" t="s">
        <v>357</v>
      </c>
      <c r="AZ324" s="60" t="s">
        <v>50</v>
      </c>
      <c r="BA324" s="11" t="s">
        <v>1092</v>
      </c>
      <c r="BC324" s="9">
        <f>AW324+AX324</f>
        <v>0</v>
      </c>
      <c r="BD324" s="9">
        <f>H324/(100-BE324)*100</f>
        <v>0</v>
      </c>
      <c r="BE324" s="9">
        <v>0</v>
      </c>
      <c r="BF324" s="9">
        <f>324</f>
        <v>324</v>
      </c>
      <c r="BH324" s="9">
        <f>G324*AO324</f>
        <v>0</v>
      </c>
      <c r="BI324" s="9">
        <f>G324*AP324</f>
        <v>0</v>
      </c>
      <c r="BJ324" s="9">
        <f>G324*H324</f>
        <v>0</v>
      </c>
      <c r="BK324" s="9"/>
      <c r="BL324" s="9">
        <v>767</v>
      </c>
      <c r="BW324" s="9">
        <v>21</v>
      </c>
    </row>
    <row r="325" spans="1:11" ht="13.5" customHeight="1">
      <c r="A325" s="47"/>
      <c r="C325" s="28"/>
      <c r="D325" s="116" t="s">
        <v>830</v>
      </c>
      <c r="E325" s="117"/>
      <c r="F325" s="117"/>
      <c r="G325" s="117"/>
      <c r="H325" s="117"/>
      <c r="I325" s="117"/>
      <c r="J325" s="117"/>
      <c r="K325" s="118"/>
    </row>
    <row r="326" spans="1:75" ht="13.5" customHeight="1">
      <c r="A326" s="16" t="s">
        <v>353</v>
      </c>
      <c r="B326" s="32" t="s">
        <v>5</v>
      </c>
      <c r="C326" s="32" t="s">
        <v>98</v>
      </c>
      <c r="D326" s="69" t="s">
        <v>815</v>
      </c>
      <c r="E326" s="70"/>
      <c r="F326" s="32" t="s">
        <v>317</v>
      </c>
      <c r="G326" s="9">
        <v>16</v>
      </c>
      <c r="H326" s="68">
        <v>0</v>
      </c>
      <c r="I326" s="9">
        <f>G326*H326</f>
        <v>0</v>
      </c>
      <c r="K326" s="23"/>
      <c r="Z326" s="9">
        <f>IF(AQ326="5",BJ326,0)</f>
        <v>0</v>
      </c>
      <c r="AB326" s="9">
        <f>IF(AQ326="1",BH326,0)</f>
        <v>0</v>
      </c>
      <c r="AC326" s="9">
        <f>IF(AQ326="1",BI326,0)</f>
        <v>0</v>
      </c>
      <c r="AD326" s="9">
        <f>IF(AQ326="7",BH326,0)</f>
        <v>0</v>
      </c>
      <c r="AE326" s="9">
        <f>IF(AQ326="7",BI326,0)</f>
        <v>0</v>
      </c>
      <c r="AF326" s="9">
        <f>IF(AQ326="2",BH326,0)</f>
        <v>0</v>
      </c>
      <c r="AG326" s="9">
        <f>IF(AQ326="2",BI326,0)</f>
        <v>0</v>
      </c>
      <c r="AH326" s="9">
        <f>IF(AQ326="0",BJ326,0)</f>
        <v>0</v>
      </c>
      <c r="AI326" s="11" t="s">
        <v>5</v>
      </c>
      <c r="AJ326" s="9">
        <f>IF(AN326=0,I326,0)</f>
        <v>0</v>
      </c>
      <c r="AK326" s="9">
        <f>IF(AN326=12,I326,0)</f>
        <v>0</v>
      </c>
      <c r="AL326" s="9">
        <f>IF(AN326=21,I326,0)</f>
        <v>0</v>
      </c>
      <c r="AN326" s="9">
        <v>21</v>
      </c>
      <c r="AO326" s="9">
        <f>H326*0.0785984848484848</f>
        <v>0</v>
      </c>
      <c r="AP326" s="9">
        <f>H326*(1-0.0785984848484848)</f>
        <v>0</v>
      </c>
      <c r="AQ326" s="60" t="s">
        <v>1238</v>
      </c>
      <c r="AV326" s="9">
        <f>AW326+AX326</f>
        <v>0</v>
      </c>
      <c r="AW326" s="9">
        <f>G326*AO326</f>
        <v>0</v>
      </c>
      <c r="AX326" s="9">
        <f>G326*AP326</f>
        <v>0</v>
      </c>
      <c r="AY326" s="60" t="s">
        <v>357</v>
      </c>
      <c r="AZ326" s="60" t="s">
        <v>50</v>
      </c>
      <c r="BA326" s="11" t="s">
        <v>1092</v>
      </c>
      <c r="BC326" s="9">
        <f>AW326+AX326</f>
        <v>0</v>
      </c>
      <c r="BD326" s="9">
        <f>H326/(100-BE326)*100</f>
        <v>0</v>
      </c>
      <c r="BE326" s="9">
        <v>0</v>
      </c>
      <c r="BF326" s="9">
        <f>326</f>
        <v>326</v>
      </c>
      <c r="BH326" s="9">
        <f>G326*AO326</f>
        <v>0</v>
      </c>
      <c r="BI326" s="9">
        <f>G326*AP326</f>
        <v>0</v>
      </c>
      <c r="BJ326" s="9">
        <f>G326*H326</f>
        <v>0</v>
      </c>
      <c r="BK326" s="9"/>
      <c r="BL326" s="9">
        <v>767</v>
      </c>
      <c r="BW326" s="9">
        <v>21</v>
      </c>
    </row>
    <row r="327" spans="1:11" ht="13.5" customHeight="1">
      <c r="A327" s="47"/>
      <c r="C327" s="28"/>
      <c r="D327" s="116" t="s">
        <v>830</v>
      </c>
      <c r="E327" s="117"/>
      <c r="F327" s="117"/>
      <c r="G327" s="117"/>
      <c r="H327" s="117"/>
      <c r="I327" s="117"/>
      <c r="J327" s="117"/>
      <c r="K327" s="118"/>
    </row>
    <row r="328" spans="1:75" ht="13.5" customHeight="1">
      <c r="A328" s="16" t="s">
        <v>634</v>
      </c>
      <c r="B328" s="32" t="s">
        <v>5</v>
      </c>
      <c r="C328" s="32" t="s">
        <v>237</v>
      </c>
      <c r="D328" s="69" t="s">
        <v>415</v>
      </c>
      <c r="E328" s="70"/>
      <c r="F328" s="32" t="s">
        <v>317</v>
      </c>
      <c r="G328" s="9">
        <v>18</v>
      </c>
      <c r="H328" s="68">
        <v>0</v>
      </c>
      <c r="I328" s="9">
        <f>G328*H328</f>
        <v>0</v>
      </c>
      <c r="K328" s="23"/>
      <c r="Z328" s="9">
        <f>IF(AQ328="5",BJ328,0)</f>
        <v>0</v>
      </c>
      <c r="AB328" s="9">
        <f>IF(AQ328="1",BH328,0)</f>
        <v>0</v>
      </c>
      <c r="AC328" s="9">
        <f>IF(AQ328="1",BI328,0)</f>
        <v>0</v>
      </c>
      <c r="AD328" s="9">
        <f>IF(AQ328="7",BH328,0)</f>
        <v>0</v>
      </c>
      <c r="AE328" s="9">
        <f>IF(AQ328="7",BI328,0)</f>
        <v>0</v>
      </c>
      <c r="AF328" s="9">
        <f>IF(AQ328="2",BH328,0)</f>
        <v>0</v>
      </c>
      <c r="AG328" s="9">
        <f>IF(AQ328="2",BI328,0)</f>
        <v>0</v>
      </c>
      <c r="AH328" s="9">
        <f>IF(AQ328="0",BJ328,0)</f>
        <v>0</v>
      </c>
      <c r="AI328" s="11" t="s">
        <v>5</v>
      </c>
      <c r="AJ328" s="9">
        <f>IF(AN328=0,I328,0)</f>
        <v>0</v>
      </c>
      <c r="AK328" s="9">
        <f>IF(AN328=12,I328,0)</f>
        <v>0</v>
      </c>
      <c r="AL328" s="9">
        <f>IF(AN328=21,I328,0)</f>
        <v>0</v>
      </c>
      <c r="AN328" s="9">
        <v>21</v>
      </c>
      <c r="AO328" s="9">
        <f>H328*0.0785957873620863</f>
        <v>0</v>
      </c>
      <c r="AP328" s="9">
        <f>H328*(1-0.0785957873620863)</f>
        <v>0</v>
      </c>
      <c r="AQ328" s="60" t="s">
        <v>1238</v>
      </c>
      <c r="AV328" s="9">
        <f>AW328+AX328</f>
        <v>0</v>
      </c>
      <c r="AW328" s="9">
        <f>G328*AO328</f>
        <v>0</v>
      </c>
      <c r="AX328" s="9">
        <f>G328*AP328</f>
        <v>0</v>
      </c>
      <c r="AY328" s="60" t="s">
        <v>357</v>
      </c>
      <c r="AZ328" s="60" t="s">
        <v>50</v>
      </c>
      <c r="BA328" s="11" t="s">
        <v>1092</v>
      </c>
      <c r="BC328" s="9">
        <f>AW328+AX328</f>
        <v>0</v>
      </c>
      <c r="BD328" s="9">
        <f>H328/(100-BE328)*100</f>
        <v>0</v>
      </c>
      <c r="BE328" s="9">
        <v>0</v>
      </c>
      <c r="BF328" s="9">
        <f>328</f>
        <v>328</v>
      </c>
      <c r="BH328" s="9">
        <f>G328*AO328</f>
        <v>0</v>
      </c>
      <c r="BI328" s="9">
        <f>G328*AP328</f>
        <v>0</v>
      </c>
      <c r="BJ328" s="9">
        <f>G328*H328</f>
        <v>0</v>
      </c>
      <c r="BK328" s="9"/>
      <c r="BL328" s="9">
        <v>767</v>
      </c>
      <c r="BW328" s="9">
        <v>21</v>
      </c>
    </row>
    <row r="329" spans="1:11" ht="13.5" customHeight="1">
      <c r="A329" s="47"/>
      <c r="C329" s="28"/>
      <c r="D329" s="116" t="s">
        <v>830</v>
      </c>
      <c r="E329" s="117"/>
      <c r="F329" s="117"/>
      <c r="G329" s="117"/>
      <c r="H329" s="117"/>
      <c r="I329" s="117"/>
      <c r="J329" s="117"/>
      <c r="K329" s="118"/>
    </row>
    <row r="330" spans="1:75" ht="13.5" customHeight="1">
      <c r="A330" s="16" t="s">
        <v>768</v>
      </c>
      <c r="B330" s="32" t="s">
        <v>5</v>
      </c>
      <c r="C330" s="32" t="s">
        <v>968</v>
      </c>
      <c r="D330" s="69" t="s">
        <v>1227</v>
      </c>
      <c r="E330" s="70"/>
      <c r="F330" s="32" t="s">
        <v>317</v>
      </c>
      <c r="G330" s="9">
        <v>6</v>
      </c>
      <c r="H330" s="68">
        <v>0</v>
      </c>
      <c r="I330" s="9">
        <f>G330*H330</f>
        <v>0</v>
      </c>
      <c r="K330" s="23"/>
      <c r="Z330" s="9">
        <f>IF(AQ330="5",BJ330,0)</f>
        <v>0</v>
      </c>
      <c r="AB330" s="9">
        <f>IF(AQ330="1",BH330,0)</f>
        <v>0</v>
      </c>
      <c r="AC330" s="9">
        <f>IF(AQ330="1",BI330,0)</f>
        <v>0</v>
      </c>
      <c r="AD330" s="9">
        <f>IF(AQ330="7",BH330,0)</f>
        <v>0</v>
      </c>
      <c r="AE330" s="9">
        <f>IF(AQ330="7",BI330,0)</f>
        <v>0</v>
      </c>
      <c r="AF330" s="9">
        <f>IF(AQ330="2",BH330,0)</f>
        <v>0</v>
      </c>
      <c r="AG330" s="9">
        <f>IF(AQ330="2",BI330,0)</f>
        <v>0</v>
      </c>
      <c r="AH330" s="9">
        <f>IF(AQ330="0",BJ330,0)</f>
        <v>0</v>
      </c>
      <c r="AI330" s="11" t="s">
        <v>5</v>
      </c>
      <c r="AJ330" s="9">
        <f>IF(AN330=0,I330,0)</f>
        <v>0</v>
      </c>
      <c r="AK330" s="9">
        <f>IF(AN330=12,I330,0)</f>
        <v>0</v>
      </c>
      <c r="AL330" s="9">
        <f>IF(AN330=21,I330,0)</f>
        <v>0</v>
      </c>
      <c r="AN330" s="9">
        <v>21</v>
      </c>
      <c r="AO330" s="9">
        <f>H330*0.0785957873620863</f>
        <v>0</v>
      </c>
      <c r="AP330" s="9">
        <f>H330*(1-0.0785957873620863)</f>
        <v>0</v>
      </c>
      <c r="AQ330" s="60" t="s">
        <v>1238</v>
      </c>
      <c r="AV330" s="9">
        <f>AW330+AX330</f>
        <v>0</v>
      </c>
      <c r="AW330" s="9">
        <f>G330*AO330</f>
        <v>0</v>
      </c>
      <c r="AX330" s="9">
        <f>G330*AP330</f>
        <v>0</v>
      </c>
      <c r="AY330" s="60" t="s">
        <v>357</v>
      </c>
      <c r="AZ330" s="60" t="s">
        <v>50</v>
      </c>
      <c r="BA330" s="11" t="s">
        <v>1092</v>
      </c>
      <c r="BC330" s="9">
        <f>AW330+AX330</f>
        <v>0</v>
      </c>
      <c r="BD330" s="9">
        <f>H330/(100-BE330)*100</f>
        <v>0</v>
      </c>
      <c r="BE330" s="9">
        <v>0</v>
      </c>
      <c r="BF330" s="9">
        <f>330</f>
        <v>330</v>
      </c>
      <c r="BH330" s="9">
        <f>G330*AO330</f>
        <v>0</v>
      </c>
      <c r="BI330" s="9">
        <f>G330*AP330</f>
        <v>0</v>
      </c>
      <c r="BJ330" s="9">
        <f>G330*H330</f>
        <v>0</v>
      </c>
      <c r="BK330" s="9"/>
      <c r="BL330" s="9">
        <v>767</v>
      </c>
      <c r="BW330" s="9">
        <v>21</v>
      </c>
    </row>
    <row r="331" spans="1:11" ht="13.5" customHeight="1">
      <c r="A331" s="47"/>
      <c r="C331" s="28"/>
      <c r="D331" s="116" t="s">
        <v>830</v>
      </c>
      <c r="E331" s="117"/>
      <c r="F331" s="117"/>
      <c r="G331" s="117"/>
      <c r="H331" s="117"/>
      <c r="I331" s="117"/>
      <c r="J331" s="117"/>
      <c r="K331" s="118"/>
    </row>
    <row r="332" spans="1:75" ht="13.5" customHeight="1">
      <c r="A332" s="16" t="s">
        <v>1166</v>
      </c>
      <c r="B332" s="32" t="s">
        <v>5</v>
      </c>
      <c r="C332" s="32" t="s">
        <v>1414</v>
      </c>
      <c r="D332" s="69" t="s">
        <v>486</v>
      </c>
      <c r="E332" s="70"/>
      <c r="F332" s="32" t="s">
        <v>317</v>
      </c>
      <c r="G332" s="9">
        <v>6</v>
      </c>
      <c r="H332" s="68">
        <v>0</v>
      </c>
      <c r="I332" s="9">
        <f>G332*H332</f>
        <v>0</v>
      </c>
      <c r="K332" s="23"/>
      <c r="Z332" s="9">
        <f>IF(AQ332="5",BJ332,0)</f>
        <v>0</v>
      </c>
      <c r="AB332" s="9">
        <f>IF(AQ332="1",BH332,0)</f>
        <v>0</v>
      </c>
      <c r="AC332" s="9">
        <f>IF(AQ332="1",BI332,0)</f>
        <v>0</v>
      </c>
      <c r="AD332" s="9">
        <f>IF(AQ332="7",BH332,0)</f>
        <v>0</v>
      </c>
      <c r="AE332" s="9">
        <f>IF(AQ332="7",BI332,0)</f>
        <v>0</v>
      </c>
      <c r="AF332" s="9">
        <f>IF(AQ332="2",BH332,0)</f>
        <v>0</v>
      </c>
      <c r="AG332" s="9">
        <f>IF(AQ332="2",BI332,0)</f>
        <v>0</v>
      </c>
      <c r="AH332" s="9">
        <f>IF(AQ332="0",BJ332,0)</f>
        <v>0</v>
      </c>
      <c r="AI332" s="11" t="s">
        <v>5</v>
      </c>
      <c r="AJ332" s="9">
        <f>IF(AN332=0,I332,0)</f>
        <v>0</v>
      </c>
      <c r="AK332" s="9">
        <f>IF(AN332=12,I332,0)</f>
        <v>0</v>
      </c>
      <c r="AL332" s="9">
        <f>IF(AN332=21,I332,0)</f>
        <v>0</v>
      </c>
      <c r="AN332" s="9">
        <v>21</v>
      </c>
      <c r="AO332" s="9">
        <f>H332*0.0785957873620863</f>
        <v>0</v>
      </c>
      <c r="AP332" s="9">
        <f>H332*(1-0.0785957873620863)</f>
        <v>0</v>
      </c>
      <c r="AQ332" s="60" t="s">
        <v>1238</v>
      </c>
      <c r="AV332" s="9">
        <f>AW332+AX332</f>
        <v>0</v>
      </c>
      <c r="AW332" s="9">
        <f>G332*AO332</f>
        <v>0</v>
      </c>
      <c r="AX332" s="9">
        <f>G332*AP332</f>
        <v>0</v>
      </c>
      <c r="AY332" s="60" t="s">
        <v>357</v>
      </c>
      <c r="AZ332" s="60" t="s">
        <v>50</v>
      </c>
      <c r="BA332" s="11" t="s">
        <v>1092</v>
      </c>
      <c r="BC332" s="9">
        <f>AW332+AX332</f>
        <v>0</v>
      </c>
      <c r="BD332" s="9">
        <f>H332/(100-BE332)*100</f>
        <v>0</v>
      </c>
      <c r="BE332" s="9">
        <v>0</v>
      </c>
      <c r="BF332" s="9">
        <f>332</f>
        <v>332</v>
      </c>
      <c r="BH332" s="9">
        <f>G332*AO332</f>
        <v>0</v>
      </c>
      <c r="BI332" s="9">
        <f>G332*AP332</f>
        <v>0</v>
      </c>
      <c r="BJ332" s="9">
        <f>G332*H332</f>
        <v>0</v>
      </c>
      <c r="BK332" s="9"/>
      <c r="BL332" s="9">
        <v>767</v>
      </c>
      <c r="BW332" s="9">
        <v>21</v>
      </c>
    </row>
    <row r="333" spans="1:11" ht="13.5" customHeight="1">
      <c r="A333" s="47"/>
      <c r="C333" s="28"/>
      <c r="D333" s="116" t="s">
        <v>830</v>
      </c>
      <c r="E333" s="117"/>
      <c r="F333" s="117"/>
      <c r="G333" s="117"/>
      <c r="H333" s="117"/>
      <c r="I333" s="117"/>
      <c r="J333" s="117"/>
      <c r="K333" s="118"/>
    </row>
    <row r="334" spans="1:75" ht="13.5" customHeight="1">
      <c r="A334" s="16" t="s">
        <v>281</v>
      </c>
      <c r="B334" s="32" t="s">
        <v>5</v>
      </c>
      <c r="C334" s="32" t="s">
        <v>280</v>
      </c>
      <c r="D334" s="69" t="s">
        <v>557</v>
      </c>
      <c r="E334" s="70"/>
      <c r="F334" s="32" t="s">
        <v>317</v>
      </c>
      <c r="G334" s="9">
        <v>2</v>
      </c>
      <c r="H334" s="68">
        <v>0</v>
      </c>
      <c r="I334" s="9">
        <f>G334*H334</f>
        <v>0</v>
      </c>
      <c r="K334" s="23"/>
      <c r="Z334" s="9">
        <f>IF(AQ334="5",BJ334,0)</f>
        <v>0</v>
      </c>
      <c r="AB334" s="9">
        <f>IF(AQ334="1",BH334,0)</f>
        <v>0</v>
      </c>
      <c r="AC334" s="9">
        <f>IF(AQ334="1",BI334,0)</f>
        <v>0</v>
      </c>
      <c r="AD334" s="9">
        <f>IF(AQ334="7",BH334,0)</f>
        <v>0</v>
      </c>
      <c r="AE334" s="9">
        <f>IF(AQ334="7",BI334,0)</f>
        <v>0</v>
      </c>
      <c r="AF334" s="9">
        <f>IF(AQ334="2",BH334,0)</f>
        <v>0</v>
      </c>
      <c r="AG334" s="9">
        <f>IF(AQ334="2",BI334,0)</f>
        <v>0</v>
      </c>
      <c r="AH334" s="9">
        <f>IF(AQ334="0",BJ334,0)</f>
        <v>0</v>
      </c>
      <c r="AI334" s="11" t="s">
        <v>5</v>
      </c>
      <c r="AJ334" s="9">
        <f>IF(AN334=0,I334,0)</f>
        <v>0</v>
      </c>
      <c r="AK334" s="9">
        <f>IF(AN334=12,I334,0)</f>
        <v>0</v>
      </c>
      <c r="AL334" s="9">
        <f>IF(AN334=21,I334,0)</f>
        <v>0</v>
      </c>
      <c r="AN334" s="9">
        <v>21</v>
      </c>
      <c r="AO334" s="9">
        <f>H334*0.0786024844720497</f>
        <v>0</v>
      </c>
      <c r="AP334" s="9">
        <f>H334*(1-0.0786024844720497)</f>
        <v>0</v>
      </c>
      <c r="AQ334" s="60" t="s">
        <v>1238</v>
      </c>
      <c r="AV334" s="9">
        <f>AW334+AX334</f>
        <v>0</v>
      </c>
      <c r="AW334" s="9">
        <f>G334*AO334</f>
        <v>0</v>
      </c>
      <c r="AX334" s="9">
        <f>G334*AP334</f>
        <v>0</v>
      </c>
      <c r="AY334" s="60" t="s">
        <v>357</v>
      </c>
      <c r="AZ334" s="60" t="s">
        <v>50</v>
      </c>
      <c r="BA334" s="11" t="s">
        <v>1092</v>
      </c>
      <c r="BC334" s="9">
        <f>AW334+AX334</f>
        <v>0</v>
      </c>
      <c r="BD334" s="9">
        <f>H334/(100-BE334)*100</f>
        <v>0</v>
      </c>
      <c r="BE334" s="9">
        <v>0</v>
      </c>
      <c r="BF334" s="9">
        <f>334</f>
        <v>334</v>
      </c>
      <c r="BH334" s="9">
        <f>G334*AO334</f>
        <v>0</v>
      </c>
      <c r="BI334" s="9">
        <f>G334*AP334</f>
        <v>0</v>
      </c>
      <c r="BJ334" s="9">
        <f>G334*H334</f>
        <v>0</v>
      </c>
      <c r="BK334" s="9"/>
      <c r="BL334" s="9">
        <v>767</v>
      </c>
      <c r="BW334" s="9">
        <v>21</v>
      </c>
    </row>
    <row r="335" spans="1:11" ht="13.5" customHeight="1">
      <c r="A335" s="47"/>
      <c r="C335" s="28"/>
      <c r="D335" s="116" t="s">
        <v>830</v>
      </c>
      <c r="E335" s="117"/>
      <c r="F335" s="117"/>
      <c r="G335" s="117"/>
      <c r="H335" s="117"/>
      <c r="I335" s="117"/>
      <c r="J335" s="117"/>
      <c r="K335" s="118"/>
    </row>
    <row r="336" spans="1:75" ht="13.5" customHeight="1">
      <c r="A336" s="16" t="s">
        <v>1199</v>
      </c>
      <c r="B336" s="32" t="s">
        <v>5</v>
      </c>
      <c r="C336" s="32" t="s">
        <v>390</v>
      </c>
      <c r="D336" s="69" t="s">
        <v>18</v>
      </c>
      <c r="E336" s="70"/>
      <c r="F336" s="32" t="s">
        <v>317</v>
      </c>
      <c r="G336" s="9">
        <v>14</v>
      </c>
      <c r="H336" s="68">
        <v>0</v>
      </c>
      <c r="I336" s="9">
        <f>G336*H336</f>
        <v>0</v>
      </c>
      <c r="K336" s="23"/>
      <c r="Z336" s="9">
        <f>IF(AQ336="5",BJ336,0)</f>
        <v>0</v>
      </c>
      <c r="AB336" s="9">
        <f>IF(AQ336="1",BH336,0)</f>
        <v>0</v>
      </c>
      <c r="AC336" s="9">
        <f>IF(AQ336="1",BI336,0)</f>
        <v>0</v>
      </c>
      <c r="AD336" s="9">
        <f>IF(AQ336="7",BH336,0)</f>
        <v>0</v>
      </c>
      <c r="AE336" s="9">
        <f>IF(AQ336="7",BI336,0)</f>
        <v>0</v>
      </c>
      <c r="AF336" s="9">
        <f>IF(AQ336="2",BH336,0)</f>
        <v>0</v>
      </c>
      <c r="AG336" s="9">
        <f>IF(AQ336="2",BI336,0)</f>
        <v>0</v>
      </c>
      <c r="AH336" s="9">
        <f>IF(AQ336="0",BJ336,0)</f>
        <v>0</v>
      </c>
      <c r="AI336" s="11" t="s">
        <v>5</v>
      </c>
      <c r="AJ336" s="9">
        <f>IF(AN336=0,I336,0)</f>
        <v>0</v>
      </c>
      <c r="AK336" s="9">
        <f>IF(AN336=12,I336,0)</f>
        <v>0</v>
      </c>
      <c r="AL336" s="9">
        <f>IF(AN336=21,I336,0)</f>
        <v>0</v>
      </c>
      <c r="AN336" s="9">
        <v>21</v>
      </c>
      <c r="AO336" s="9">
        <f>H336*0.0785957873620863</f>
        <v>0</v>
      </c>
      <c r="AP336" s="9">
        <f>H336*(1-0.0785957873620863)</f>
        <v>0</v>
      </c>
      <c r="AQ336" s="60" t="s">
        <v>1238</v>
      </c>
      <c r="AV336" s="9">
        <f>AW336+AX336</f>
        <v>0</v>
      </c>
      <c r="AW336" s="9">
        <f>G336*AO336</f>
        <v>0</v>
      </c>
      <c r="AX336" s="9">
        <f>G336*AP336</f>
        <v>0</v>
      </c>
      <c r="AY336" s="60" t="s">
        <v>357</v>
      </c>
      <c r="AZ336" s="60" t="s">
        <v>50</v>
      </c>
      <c r="BA336" s="11" t="s">
        <v>1092</v>
      </c>
      <c r="BC336" s="9">
        <f>AW336+AX336</f>
        <v>0</v>
      </c>
      <c r="BD336" s="9">
        <f>H336/(100-BE336)*100</f>
        <v>0</v>
      </c>
      <c r="BE336" s="9">
        <v>0</v>
      </c>
      <c r="BF336" s="9">
        <f>336</f>
        <v>336</v>
      </c>
      <c r="BH336" s="9">
        <f>G336*AO336</f>
        <v>0</v>
      </c>
      <c r="BI336" s="9">
        <f>G336*AP336</f>
        <v>0</v>
      </c>
      <c r="BJ336" s="9">
        <f>G336*H336</f>
        <v>0</v>
      </c>
      <c r="BK336" s="9"/>
      <c r="BL336" s="9">
        <v>767</v>
      </c>
      <c r="BW336" s="9">
        <v>21</v>
      </c>
    </row>
    <row r="337" spans="1:11" ht="13.5" customHeight="1">
      <c r="A337" s="47"/>
      <c r="C337" s="28"/>
      <c r="D337" s="116" t="s">
        <v>830</v>
      </c>
      <c r="E337" s="117"/>
      <c r="F337" s="117"/>
      <c r="G337" s="117"/>
      <c r="H337" s="117"/>
      <c r="I337" s="117"/>
      <c r="J337" s="117"/>
      <c r="K337" s="118"/>
    </row>
    <row r="338" spans="1:75" ht="13.5" customHeight="1">
      <c r="A338" s="16" t="s">
        <v>541</v>
      </c>
      <c r="B338" s="32" t="s">
        <v>5</v>
      </c>
      <c r="C338" s="32" t="s">
        <v>288</v>
      </c>
      <c r="D338" s="69" t="s">
        <v>662</v>
      </c>
      <c r="E338" s="70"/>
      <c r="F338" s="32" t="s">
        <v>317</v>
      </c>
      <c r="G338" s="9">
        <v>4</v>
      </c>
      <c r="H338" s="68">
        <v>0</v>
      </c>
      <c r="I338" s="9">
        <f>G338*H338</f>
        <v>0</v>
      </c>
      <c r="K338" s="23"/>
      <c r="Z338" s="9">
        <f>IF(AQ338="5",BJ338,0)</f>
        <v>0</v>
      </c>
      <c r="AB338" s="9">
        <f>IF(AQ338="1",BH338,0)</f>
        <v>0</v>
      </c>
      <c r="AC338" s="9">
        <f>IF(AQ338="1",BI338,0)</f>
        <v>0</v>
      </c>
      <c r="AD338" s="9">
        <f>IF(AQ338="7",BH338,0)</f>
        <v>0</v>
      </c>
      <c r="AE338" s="9">
        <f>IF(AQ338="7",BI338,0)</f>
        <v>0</v>
      </c>
      <c r="AF338" s="9">
        <f>IF(AQ338="2",BH338,0)</f>
        <v>0</v>
      </c>
      <c r="AG338" s="9">
        <f>IF(AQ338="2",BI338,0)</f>
        <v>0</v>
      </c>
      <c r="AH338" s="9">
        <f>IF(AQ338="0",BJ338,0)</f>
        <v>0</v>
      </c>
      <c r="AI338" s="11" t="s">
        <v>5</v>
      </c>
      <c r="AJ338" s="9">
        <f>IF(AN338=0,I338,0)</f>
        <v>0</v>
      </c>
      <c r="AK338" s="9">
        <f>IF(AN338=12,I338,0)</f>
        <v>0</v>
      </c>
      <c r="AL338" s="9">
        <f>IF(AN338=21,I338,0)</f>
        <v>0</v>
      </c>
      <c r="AN338" s="9">
        <v>21</v>
      </c>
      <c r="AO338" s="9">
        <f>H338*0.0786003552397869</f>
        <v>0</v>
      </c>
      <c r="AP338" s="9">
        <f>H338*(1-0.0786003552397869)</f>
        <v>0</v>
      </c>
      <c r="AQ338" s="60" t="s">
        <v>1238</v>
      </c>
      <c r="AV338" s="9">
        <f>AW338+AX338</f>
        <v>0</v>
      </c>
      <c r="AW338" s="9">
        <f>G338*AO338</f>
        <v>0</v>
      </c>
      <c r="AX338" s="9">
        <f>G338*AP338</f>
        <v>0</v>
      </c>
      <c r="AY338" s="60" t="s">
        <v>357</v>
      </c>
      <c r="AZ338" s="60" t="s">
        <v>50</v>
      </c>
      <c r="BA338" s="11" t="s">
        <v>1092</v>
      </c>
      <c r="BC338" s="9">
        <f>AW338+AX338</f>
        <v>0</v>
      </c>
      <c r="BD338" s="9">
        <f>H338/(100-BE338)*100</f>
        <v>0</v>
      </c>
      <c r="BE338" s="9">
        <v>0</v>
      </c>
      <c r="BF338" s="9">
        <f>338</f>
        <v>338</v>
      </c>
      <c r="BH338" s="9">
        <f>G338*AO338</f>
        <v>0</v>
      </c>
      <c r="BI338" s="9">
        <f>G338*AP338</f>
        <v>0</v>
      </c>
      <c r="BJ338" s="9">
        <f>G338*H338</f>
        <v>0</v>
      </c>
      <c r="BK338" s="9"/>
      <c r="BL338" s="9">
        <v>767</v>
      </c>
      <c r="BW338" s="9">
        <v>21</v>
      </c>
    </row>
    <row r="339" spans="1:11" ht="13.5" customHeight="1">
      <c r="A339" s="47"/>
      <c r="C339" s="28"/>
      <c r="D339" s="116" t="s">
        <v>830</v>
      </c>
      <c r="E339" s="117"/>
      <c r="F339" s="117"/>
      <c r="G339" s="117"/>
      <c r="H339" s="117"/>
      <c r="I339" s="117"/>
      <c r="J339" s="117"/>
      <c r="K339" s="118"/>
    </row>
    <row r="340" spans="1:75" ht="13.5" customHeight="1">
      <c r="A340" s="16" t="s">
        <v>15</v>
      </c>
      <c r="B340" s="32" t="s">
        <v>5</v>
      </c>
      <c r="C340" s="32" t="s">
        <v>288</v>
      </c>
      <c r="D340" s="69" t="s">
        <v>1186</v>
      </c>
      <c r="E340" s="70"/>
      <c r="F340" s="32" t="s">
        <v>317</v>
      </c>
      <c r="G340" s="9">
        <v>4</v>
      </c>
      <c r="H340" s="68">
        <v>0</v>
      </c>
      <c r="I340" s="9">
        <f>G340*H340</f>
        <v>0</v>
      </c>
      <c r="K340" s="23"/>
      <c r="Z340" s="9">
        <f>IF(AQ340="5",BJ340,0)</f>
        <v>0</v>
      </c>
      <c r="AB340" s="9">
        <f>IF(AQ340="1",BH340,0)</f>
        <v>0</v>
      </c>
      <c r="AC340" s="9">
        <f>IF(AQ340="1",BI340,0)</f>
        <v>0</v>
      </c>
      <c r="AD340" s="9">
        <f>IF(AQ340="7",BH340,0)</f>
        <v>0</v>
      </c>
      <c r="AE340" s="9">
        <f>IF(AQ340="7",BI340,0)</f>
        <v>0</v>
      </c>
      <c r="AF340" s="9">
        <f>IF(AQ340="2",BH340,0)</f>
        <v>0</v>
      </c>
      <c r="AG340" s="9">
        <f>IF(AQ340="2",BI340,0)</f>
        <v>0</v>
      </c>
      <c r="AH340" s="9">
        <f>IF(AQ340="0",BJ340,0)</f>
        <v>0</v>
      </c>
      <c r="AI340" s="11" t="s">
        <v>5</v>
      </c>
      <c r="AJ340" s="9">
        <f>IF(AN340=0,I340,0)</f>
        <v>0</v>
      </c>
      <c r="AK340" s="9">
        <f>IF(AN340=12,I340,0)</f>
        <v>0</v>
      </c>
      <c r="AL340" s="9">
        <f>IF(AN340=21,I340,0)</f>
        <v>0</v>
      </c>
      <c r="AN340" s="9">
        <v>21</v>
      </c>
      <c r="AO340" s="9">
        <f>H340*0.0786012526096033</f>
        <v>0</v>
      </c>
      <c r="AP340" s="9">
        <f>H340*(1-0.0786012526096033)</f>
        <v>0</v>
      </c>
      <c r="AQ340" s="60" t="s">
        <v>1238</v>
      </c>
      <c r="AV340" s="9">
        <f>AW340+AX340</f>
        <v>0</v>
      </c>
      <c r="AW340" s="9">
        <f>G340*AO340</f>
        <v>0</v>
      </c>
      <c r="AX340" s="9">
        <f>G340*AP340</f>
        <v>0</v>
      </c>
      <c r="AY340" s="60" t="s">
        <v>357</v>
      </c>
      <c r="AZ340" s="60" t="s">
        <v>50</v>
      </c>
      <c r="BA340" s="11" t="s">
        <v>1092</v>
      </c>
      <c r="BC340" s="9">
        <f>AW340+AX340</f>
        <v>0</v>
      </c>
      <c r="BD340" s="9">
        <f>H340/(100-BE340)*100</f>
        <v>0</v>
      </c>
      <c r="BE340" s="9">
        <v>0</v>
      </c>
      <c r="BF340" s="9">
        <f>340</f>
        <v>340</v>
      </c>
      <c r="BH340" s="9">
        <f>G340*AO340</f>
        <v>0</v>
      </c>
      <c r="BI340" s="9">
        <f>G340*AP340</f>
        <v>0</v>
      </c>
      <c r="BJ340" s="9">
        <f>G340*H340</f>
        <v>0</v>
      </c>
      <c r="BK340" s="9"/>
      <c r="BL340" s="9">
        <v>767</v>
      </c>
      <c r="BW340" s="9">
        <v>21</v>
      </c>
    </row>
    <row r="341" spans="1:11" ht="13.5" customHeight="1">
      <c r="A341" s="47"/>
      <c r="C341" s="28"/>
      <c r="D341" s="116" t="s">
        <v>830</v>
      </c>
      <c r="E341" s="117"/>
      <c r="F341" s="117"/>
      <c r="G341" s="117"/>
      <c r="H341" s="117"/>
      <c r="I341" s="117"/>
      <c r="J341" s="117"/>
      <c r="K341" s="118"/>
    </row>
    <row r="342" spans="1:75" ht="13.5" customHeight="1">
      <c r="A342" s="16" t="s">
        <v>583</v>
      </c>
      <c r="B342" s="32" t="s">
        <v>5</v>
      </c>
      <c r="C342" s="32" t="s">
        <v>73</v>
      </c>
      <c r="D342" s="69" t="s">
        <v>804</v>
      </c>
      <c r="E342" s="70"/>
      <c r="F342" s="32" t="s">
        <v>594</v>
      </c>
      <c r="G342" s="9">
        <v>0.27</v>
      </c>
      <c r="H342" s="68">
        <v>0</v>
      </c>
      <c r="I342" s="9">
        <f>G342*H342</f>
        <v>0</v>
      </c>
      <c r="K342" s="23"/>
      <c r="Z342" s="9">
        <f>IF(AQ342="5",BJ342,0)</f>
        <v>0</v>
      </c>
      <c r="AB342" s="9">
        <f>IF(AQ342="1",BH342,0)</f>
        <v>0</v>
      </c>
      <c r="AC342" s="9">
        <f>IF(AQ342="1",BI342,0)</f>
        <v>0</v>
      </c>
      <c r="AD342" s="9">
        <f>IF(AQ342="7",BH342,0)</f>
        <v>0</v>
      </c>
      <c r="AE342" s="9">
        <f>IF(AQ342="7",BI342,0)</f>
        <v>0</v>
      </c>
      <c r="AF342" s="9">
        <f>IF(AQ342="2",BH342,0)</f>
        <v>0</v>
      </c>
      <c r="AG342" s="9">
        <f>IF(AQ342="2",BI342,0)</f>
        <v>0</v>
      </c>
      <c r="AH342" s="9">
        <f>IF(AQ342="0",BJ342,0)</f>
        <v>0</v>
      </c>
      <c r="AI342" s="11" t="s">
        <v>5</v>
      </c>
      <c r="AJ342" s="9">
        <f>IF(AN342=0,I342,0)</f>
        <v>0</v>
      </c>
      <c r="AK342" s="9">
        <f>IF(AN342=12,I342,0)</f>
        <v>0</v>
      </c>
      <c r="AL342" s="9">
        <f>IF(AN342=21,I342,0)</f>
        <v>0</v>
      </c>
      <c r="AN342" s="9">
        <v>21</v>
      </c>
      <c r="AO342" s="9">
        <f>H342*0</f>
        <v>0</v>
      </c>
      <c r="AP342" s="9">
        <f>H342*(1-0)</f>
        <v>0</v>
      </c>
      <c r="AQ342" s="60" t="s">
        <v>659</v>
      </c>
      <c r="AV342" s="9">
        <f>AW342+AX342</f>
        <v>0</v>
      </c>
      <c r="AW342" s="9">
        <f>G342*AO342</f>
        <v>0</v>
      </c>
      <c r="AX342" s="9">
        <f>G342*AP342</f>
        <v>0</v>
      </c>
      <c r="AY342" s="60" t="s">
        <v>357</v>
      </c>
      <c r="AZ342" s="60" t="s">
        <v>50</v>
      </c>
      <c r="BA342" s="11" t="s">
        <v>1092</v>
      </c>
      <c r="BC342" s="9">
        <f>AW342+AX342</f>
        <v>0</v>
      </c>
      <c r="BD342" s="9">
        <f>H342/(100-BE342)*100</f>
        <v>0</v>
      </c>
      <c r="BE342" s="9">
        <v>0</v>
      </c>
      <c r="BF342" s="9">
        <f>342</f>
        <v>342</v>
      </c>
      <c r="BH342" s="9">
        <f>G342*AO342</f>
        <v>0</v>
      </c>
      <c r="BI342" s="9">
        <f>G342*AP342</f>
        <v>0</v>
      </c>
      <c r="BJ342" s="9">
        <f>G342*H342</f>
        <v>0</v>
      </c>
      <c r="BK342" s="9"/>
      <c r="BL342" s="9">
        <v>767</v>
      </c>
      <c r="BW342" s="9">
        <v>21</v>
      </c>
    </row>
    <row r="343" spans="1:47" ht="15" customHeight="1">
      <c r="A343" s="39" t="s">
        <v>852</v>
      </c>
      <c r="B343" s="48" t="s">
        <v>5</v>
      </c>
      <c r="C343" s="48" t="s">
        <v>1372</v>
      </c>
      <c r="D343" s="122" t="s">
        <v>1084</v>
      </c>
      <c r="E343" s="123"/>
      <c r="F343" s="51" t="s">
        <v>1142</v>
      </c>
      <c r="G343" s="51" t="s">
        <v>1142</v>
      </c>
      <c r="H343" s="51" t="s">
        <v>1142</v>
      </c>
      <c r="I343" s="55">
        <f>SUM(I344:I352)</f>
        <v>0</v>
      </c>
      <c r="K343" s="23"/>
      <c r="AI343" s="11" t="s">
        <v>5</v>
      </c>
      <c r="AS343" s="55">
        <f>SUM(AJ344:AJ352)</f>
        <v>0</v>
      </c>
      <c r="AT343" s="55">
        <f>SUM(AK344:AK352)</f>
        <v>0</v>
      </c>
      <c r="AU343" s="55">
        <f>SUM(AL344:AL352)</f>
        <v>0</v>
      </c>
    </row>
    <row r="344" spans="1:75" ht="13.5" customHeight="1">
      <c r="A344" s="16" t="s">
        <v>283</v>
      </c>
      <c r="B344" s="32" t="s">
        <v>5</v>
      </c>
      <c r="C344" s="32" t="s">
        <v>174</v>
      </c>
      <c r="D344" s="69" t="s">
        <v>196</v>
      </c>
      <c r="E344" s="70"/>
      <c r="F344" s="32" t="s">
        <v>1213</v>
      </c>
      <c r="G344" s="9">
        <v>114.36</v>
      </c>
      <c r="H344" s="68">
        <v>0</v>
      </c>
      <c r="I344" s="9">
        <f aca="true" t="shared" si="162" ref="I344:I352">G344*H344</f>
        <v>0</v>
      </c>
      <c r="K344" s="23"/>
      <c r="Z344" s="9">
        <f aca="true" t="shared" si="163" ref="Z344:Z352">IF(AQ344="5",BJ344,0)</f>
        <v>0</v>
      </c>
      <c r="AB344" s="9">
        <f aca="true" t="shared" si="164" ref="AB344:AB352">IF(AQ344="1",BH344,0)</f>
        <v>0</v>
      </c>
      <c r="AC344" s="9">
        <f aca="true" t="shared" si="165" ref="AC344:AC352">IF(AQ344="1",BI344,0)</f>
        <v>0</v>
      </c>
      <c r="AD344" s="9">
        <f aca="true" t="shared" si="166" ref="AD344:AD352">IF(AQ344="7",BH344,0)</f>
        <v>0</v>
      </c>
      <c r="AE344" s="9">
        <f aca="true" t="shared" si="167" ref="AE344:AE352">IF(AQ344="7",BI344,0)</f>
        <v>0</v>
      </c>
      <c r="AF344" s="9">
        <f aca="true" t="shared" si="168" ref="AF344:AF352">IF(AQ344="2",BH344,0)</f>
        <v>0</v>
      </c>
      <c r="AG344" s="9">
        <f aca="true" t="shared" si="169" ref="AG344:AG352">IF(AQ344="2",BI344,0)</f>
        <v>0</v>
      </c>
      <c r="AH344" s="9">
        <f aca="true" t="shared" si="170" ref="AH344:AH352">IF(AQ344="0",BJ344,0)</f>
        <v>0</v>
      </c>
      <c r="AI344" s="11" t="s">
        <v>5</v>
      </c>
      <c r="AJ344" s="9">
        <f aca="true" t="shared" si="171" ref="AJ344:AJ352">IF(AN344=0,I344,0)</f>
        <v>0</v>
      </c>
      <c r="AK344" s="9">
        <f aca="true" t="shared" si="172" ref="AK344:AK352">IF(AN344=12,I344,0)</f>
        <v>0</v>
      </c>
      <c r="AL344" s="9">
        <f aca="true" t="shared" si="173" ref="AL344:AL352">IF(AN344=21,I344,0)</f>
        <v>0</v>
      </c>
      <c r="AN344" s="9">
        <v>21</v>
      </c>
      <c r="AO344" s="9">
        <f>H344*0.71</f>
        <v>0</v>
      </c>
      <c r="AP344" s="9">
        <f>H344*(1-0.71)</f>
        <v>0</v>
      </c>
      <c r="AQ344" s="60" t="s">
        <v>1238</v>
      </c>
      <c r="AV344" s="9">
        <f aca="true" t="shared" si="174" ref="AV344:AV352">AW344+AX344</f>
        <v>0</v>
      </c>
      <c r="AW344" s="9">
        <f aca="true" t="shared" si="175" ref="AW344:AW352">G344*AO344</f>
        <v>0</v>
      </c>
      <c r="AX344" s="9">
        <f aca="true" t="shared" si="176" ref="AX344:AX352">G344*AP344</f>
        <v>0</v>
      </c>
      <c r="AY344" s="60" t="s">
        <v>1269</v>
      </c>
      <c r="AZ344" s="60" t="s">
        <v>964</v>
      </c>
      <c r="BA344" s="11" t="s">
        <v>1092</v>
      </c>
      <c r="BC344" s="9">
        <f aca="true" t="shared" si="177" ref="BC344:BC352">AW344+AX344</f>
        <v>0</v>
      </c>
      <c r="BD344" s="9">
        <f aca="true" t="shared" si="178" ref="BD344:BD352">H344/(100-BE344)*100</f>
        <v>0</v>
      </c>
      <c r="BE344" s="9">
        <v>0</v>
      </c>
      <c r="BF344" s="9">
        <f>344</f>
        <v>344</v>
      </c>
      <c r="BH344" s="9">
        <f aca="true" t="shared" si="179" ref="BH344:BH352">G344*AO344</f>
        <v>0</v>
      </c>
      <c r="BI344" s="9">
        <f aca="true" t="shared" si="180" ref="BI344:BI352">G344*AP344</f>
        <v>0</v>
      </c>
      <c r="BJ344" s="9">
        <f aca="true" t="shared" si="181" ref="BJ344:BJ352">G344*H344</f>
        <v>0</v>
      </c>
      <c r="BK344" s="9"/>
      <c r="BL344" s="9">
        <v>771</v>
      </c>
      <c r="BW344" s="9">
        <v>21</v>
      </c>
    </row>
    <row r="345" spans="1:75" ht="13.5" customHeight="1">
      <c r="A345" s="16" t="s">
        <v>671</v>
      </c>
      <c r="B345" s="32" t="s">
        <v>5</v>
      </c>
      <c r="C345" s="32" t="s">
        <v>652</v>
      </c>
      <c r="D345" s="145" t="s">
        <v>1440</v>
      </c>
      <c r="E345" s="146"/>
      <c r="F345" s="32" t="s">
        <v>1026</v>
      </c>
      <c r="G345" s="9">
        <v>162.22</v>
      </c>
      <c r="H345" s="68">
        <v>0</v>
      </c>
      <c r="I345" s="9">
        <f t="shared" si="162"/>
        <v>0</v>
      </c>
      <c r="K345" s="23"/>
      <c r="Z345" s="9">
        <f t="shared" si="163"/>
        <v>0</v>
      </c>
      <c r="AB345" s="9">
        <f t="shared" si="164"/>
        <v>0</v>
      </c>
      <c r="AC345" s="9">
        <f t="shared" si="165"/>
        <v>0</v>
      </c>
      <c r="AD345" s="9">
        <f t="shared" si="166"/>
        <v>0</v>
      </c>
      <c r="AE345" s="9">
        <f t="shared" si="167"/>
        <v>0</v>
      </c>
      <c r="AF345" s="9">
        <f t="shared" si="168"/>
        <v>0</v>
      </c>
      <c r="AG345" s="9">
        <f t="shared" si="169"/>
        <v>0</v>
      </c>
      <c r="AH345" s="9">
        <f t="shared" si="170"/>
        <v>0</v>
      </c>
      <c r="AI345" s="11" t="s">
        <v>5</v>
      </c>
      <c r="AJ345" s="9">
        <f t="shared" si="171"/>
        <v>0</v>
      </c>
      <c r="AK345" s="9">
        <f t="shared" si="172"/>
        <v>0</v>
      </c>
      <c r="AL345" s="9">
        <f t="shared" si="173"/>
        <v>0</v>
      </c>
      <c r="AN345" s="9">
        <v>21</v>
      </c>
      <c r="AO345" s="9">
        <f>H345*0</f>
        <v>0</v>
      </c>
      <c r="AP345" s="9">
        <f>H345*(1-0)</f>
        <v>0</v>
      </c>
      <c r="AQ345" s="60" t="s">
        <v>1238</v>
      </c>
      <c r="AV345" s="9">
        <f t="shared" si="174"/>
        <v>0</v>
      </c>
      <c r="AW345" s="9">
        <f t="shared" si="175"/>
        <v>0</v>
      </c>
      <c r="AX345" s="9">
        <f t="shared" si="176"/>
        <v>0</v>
      </c>
      <c r="AY345" s="60" t="s">
        <v>1269</v>
      </c>
      <c r="AZ345" s="60" t="s">
        <v>964</v>
      </c>
      <c r="BA345" s="11" t="s">
        <v>1092</v>
      </c>
      <c r="BC345" s="9">
        <f t="shared" si="177"/>
        <v>0</v>
      </c>
      <c r="BD345" s="9">
        <f t="shared" si="178"/>
        <v>0</v>
      </c>
      <c r="BE345" s="9">
        <v>0</v>
      </c>
      <c r="BF345" s="9">
        <f>345</f>
        <v>345</v>
      </c>
      <c r="BH345" s="9">
        <f t="shared" si="179"/>
        <v>0</v>
      </c>
      <c r="BI345" s="9">
        <f t="shared" si="180"/>
        <v>0</v>
      </c>
      <c r="BJ345" s="9">
        <f t="shared" si="181"/>
        <v>0</v>
      </c>
      <c r="BK345" s="9"/>
      <c r="BL345" s="9">
        <v>771</v>
      </c>
      <c r="BW345" s="9">
        <v>21</v>
      </c>
    </row>
    <row r="346" spans="1:75" ht="13.5" customHeight="1">
      <c r="A346" s="16" t="s">
        <v>1196</v>
      </c>
      <c r="B346" s="32" t="s">
        <v>5</v>
      </c>
      <c r="C346" s="32" t="s">
        <v>43</v>
      </c>
      <c r="D346" s="69" t="s">
        <v>46</v>
      </c>
      <c r="E346" s="70"/>
      <c r="F346" s="32" t="s">
        <v>1213</v>
      </c>
      <c r="G346" s="9">
        <v>114.36</v>
      </c>
      <c r="H346" s="68">
        <v>0</v>
      </c>
      <c r="I346" s="9">
        <f t="shared" si="162"/>
        <v>0</v>
      </c>
      <c r="K346" s="23"/>
      <c r="Z346" s="9">
        <f t="shared" si="163"/>
        <v>0</v>
      </c>
      <c r="AB346" s="9">
        <f t="shared" si="164"/>
        <v>0</v>
      </c>
      <c r="AC346" s="9">
        <f t="shared" si="165"/>
        <v>0</v>
      </c>
      <c r="AD346" s="9">
        <f t="shared" si="166"/>
        <v>0</v>
      </c>
      <c r="AE346" s="9">
        <f t="shared" si="167"/>
        <v>0</v>
      </c>
      <c r="AF346" s="9">
        <f t="shared" si="168"/>
        <v>0</v>
      </c>
      <c r="AG346" s="9">
        <f t="shared" si="169"/>
        <v>0</v>
      </c>
      <c r="AH346" s="9">
        <f t="shared" si="170"/>
        <v>0</v>
      </c>
      <c r="AI346" s="11" t="s">
        <v>5</v>
      </c>
      <c r="AJ346" s="9">
        <f t="shared" si="171"/>
        <v>0</v>
      </c>
      <c r="AK346" s="9">
        <f t="shared" si="172"/>
        <v>0</v>
      </c>
      <c r="AL346" s="9">
        <f t="shared" si="173"/>
        <v>0</v>
      </c>
      <c r="AN346" s="9">
        <v>21</v>
      </c>
      <c r="AO346" s="9">
        <f>H346*0.477365801427644</f>
        <v>0</v>
      </c>
      <c r="AP346" s="9">
        <f>H346*(1-0.477365801427644)</f>
        <v>0</v>
      </c>
      <c r="AQ346" s="60" t="s">
        <v>1238</v>
      </c>
      <c r="AV346" s="9">
        <f t="shared" si="174"/>
        <v>0</v>
      </c>
      <c r="AW346" s="9">
        <f t="shared" si="175"/>
        <v>0</v>
      </c>
      <c r="AX346" s="9">
        <f t="shared" si="176"/>
        <v>0</v>
      </c>
      <c r="AY346" s="60" t="s">
        <v>1269</v>
      </c>
      <c r="AZ346" s="60" t="s">
        <v>964</v>
      </c>
      <c r="BA346" s="11" t="s">
        <v>1092</v>
      </c>
      <c r="BC346" s="9">
        <f t="shared" si="177"/>
        <v>0</v>
      </c>
      <c r="BD346" s="9">
        <f t="shared" si="178"/>
        <v>0</v>
      </c>
      <c r="BE346" s="9">
        <v>0</v>
      </c>
      <c r="BF346" s="9">
        <f>346</f>
        <v>346</v>
      </c>
      <c r="BH346" s="9">
        <f t="shared" si="179"/>
        <v>0</v>
      </c>
      <c r="BI346" s="9">
        <f t="shared" si="180"/>
        <v>0</v>
      </c>
      <c r="BJ346" s="9">
        <f t="shared" si="181"/>
        <v>0</v>
      </c>
      <c r="BK346" s="9"/>
      <c r="BL346" s="9">
        <v>771</v>
      </c>
      <c r="BW346" s="9">
        <v>21</v>
      </c>
    </row>
    <row r="347" spans="1:75" ht="13.5" customHeight="1">
      <c r="A347" s="16" t="s">
        <v>988</v>
      </c>
      <c r="B347" s="32" t="s">
        <v>5</v>
      </c>
      <c r="C347" s="32" t="s">
        <v>1243</v>
      </c>
      <c r="D347" s="69" t="s">
        <v>935</v>
      </c>
      <c r="E347" s="70"/>
      <c r="F347" s="32" t="s">
        <v>1213</v>
      </c>
      <c r="G347" s="9">
        <v>114.36</v>
      </c>
      <c r="H347" s="68">
        <v>0</v>
      </c>
      <c r="I347" s="9">
        <f t="shared" si="162"/>
        <v>0</v>
      </c>
      <c r="K347" s="23"/>
      <c r="Z347" s="9">
        <f t="shared" si="163"/>
        <v>0</v>
      </c>
      <c r="AB347" s="9">
        <f t="shared" si="164"/>
        <v>0</v>
      </c>
      <c r="AC347" s="9">
        <f t="shared" si="165"/>
        <v>0</v>
      </c>
      <c r="AD347" s="9">
        <f t="shared" si="166"/>
        <v>0</v>
      </c>
      <c r="AE347" s="9">
        <f t="shared" si="167"/>
        <v>0</v>
      </c>
      <c r="AF347" s="9">
        <f t="shared" si="168"/>
        <v>0</v>
      </c>
      <c r="AG347" s="9">
        <f t="shared" si="169"/>
        <v>0</v>
      </c>
      <c r="AH347" s="9">
        <f t="shared" si="170"/>
        <v>0</v>
      </c>
      <c r="AI347" s="11" t="s">
        <v>5</v>
      </c>
      <c r="AJ347" s="9">
        <f t="shared" si="171"/>
        <v>0</v>
      </c>
      <c r="AK347" s="9">
        <f t="shared" si="172"/>
        <v>0</v>
      </c>
      <c r="AL347" s="9">
        <f t="shared" si="173"/>
        <v>0</v>
      </c>
      <c r="AN347" s="9">
        <v>21</v>
      </c>
      <c r="AO347" s="9">
        <f>H347*0.249187053096922</f>
        <v>0</v>
      </c>
      <c r="AP347" s="9">
        <f>H347*(1-0.249187053096922)</f>
        <v>0</v>
      </c>
      <c r="AQ347" s="60" t="s">
        <v>1238</v>
      </c>
      <c r="AV347" s="9">
        <f t="shared" si="174"/>
        <v>0</v>
      </c>
      <c r="AW347" s="9">
        <f t="shared" si="175"/>
        <v>0</v>
      </c>
      <c r="AX347" s="9">
        <f t="shared" si="176"/>
        <v>0</v>
      </c>
      <c r="AY347" s="60" t="s">
        <v>1269</v>
      </c>
      <c r="AZ347" s="60" t="s">
        <v>964</v>
      </c>
      <c r="BA347" s="11" t="s">
        <v>1092</v>
      </c>
      <c r="BC347" s="9">
        <f t="shared" si="177"/>
        <v>0</v>
      </c>
      <c r="BD347" s="9">
        <f t="shared" si="178"/>
        <v>0</v>
      </c>
      <c r="BE347" s="9">
        <v>0</v>
      </c>
      <c r="BF347" s="9">
        <f>347</f>
        <v>347</v>
      </c>
      <c r="BH347" s="9">
        <f t="shared" si="179"/>
        <v>0</v>
      </c>
      <c r="BI347" s="9">
        <f t="shared" si="180"/>
        <v>0</v>
      </c>
      <c r="BJ347" s="9">
        <f t="shared" si="181"/>
        <v>0</v>
      </c>
      <c r="BK347" s="9"/>
      <c r="BL347" s="9">
        <v>771</v>
      </c>
      <c r="BW347" s="9">
        <v>21</v>
      </c>
    </row>
    <row r="348" spans="1:75" ht="13.5" customHeight="1">
      <c r="A348" s="16" t="s">
        <v>976</v>
      </c>
      <c r="B348" s="32" t="s">
        <v>5</v>
      </c>
      <c r="C348" s="32" t="s">
        <v>120</v>
      </c>
      <c r="D348" s="69" t="s">
        <v>722</v>
      </c>
      <c r="E348" s="70"/>
      <c r="F348" s="32" t="s">
        <v>1213</v>
      </c>
      <c r="G348" s="9">
        <v>120.078</v>
      </c>
      <c r="H348" s="68">
        <v>0</v>
      </c>
      <c r="I348" s="9">
        <f t="shared" si="162"/>
        <v>0</v>
      </c>
      <c r="K348" s="23"/>
      <c r="Z348" s="9">
        <f t="shared" si="163"/>
        <v>0</v>
      </c>
      <c r="AB348" s="9">
        <f t="shared" si="164"/>
        <v>0</v>
      </c>
      <c r="AC348" s="9">
        <f t="shared" si="165"/>
        <v>0</v>
      </c>
      <c r="AD348" s="9">
        <f t="shared" si="166"/>
        <v>0</v>
      </c>
      <c r="AE348" s="9">
        <f t="shared" si="167"/>
        <v>0</v>
      </c>
      <c r="AF348" s="9">
        <f t="shared" si="168"/>
        <v>0</v>
      </c>
      <c r="AG348" s="9">
        <f t="shared" si="169"/>
        <v>0</v>
      </c>
      <c r="AH348" s="9">
        <f t="shared" si="170"/>
        <v>0</v>
      </c>
      <c r="AI348" s="11" t="s">
        <v>5</v>
      </c>
      <c r="AJ348" s="9">
        <f t="shared" si="171"/>
        <v>0</v>
      </c>
      <c r="AK348" s="9">
        <f t="shared" si="172"/>
        <v>0</v>
      </c>
      <c r="AL348" s="9">
        <f t="shared" si="173"/>
        <v>0</v>
      </c>
      <c r="AN348" s="9">
        <v>21</v>
      </c>
      <c r="AO348" s="9">
        <f>H348*1</f>
        <v>0</v>
      </c>
      <c r="AP348" s="9">
        <f>H348*(1-1)</f>
        <v>0</v>
      </c>
      <c r="AQ348" s="60" t="s">
        <v>1238</v>
      </c>
      <c r="AV348" s="9">
        <f t="shared" si="174"/>
        <v>0</v>
      </c>
      <c r="AW348" s="9">
        <f t="shared" si="175"/>
        <v>0</v>
      </c>
      <c r="AX348" s="9">
        <f t="shared" si="176"/>
        <v>0</v>
      </c>
      <c r="AY348" s="60" t="s">
        <v>1269</v>
      </c>
      <c r="AZ348" s="60" t="s">
        <v>964</v>
      </c>
      <c r="BA348" s="11" t="s">
        <v>1092</v>
      </c>
      <c r="BC348" s="9">
        <f t="shared" si="177"/>
        <v>0</v>
      </c>
      <c r="BD348" s="9">
        <f t="shared" si="178"/>
        <v>0</v>
      </c>
      <c r="BE348" s="9">
        <v>0</v>
      </c>
      <c r="BF348" s="9">
        <f>348</f>
        <v>348</v>
      </c>
      <c r="BH348" s="9">
        <f t="shared" si="179"/>
        <v>0</v>
      </c>
      <c r="BI348" s="9">
        <f t="shared" si="180"/>
        <v>0</v>
      </c>
      <c r="BJ348" s="9">
        <f t="shared" si="181"/>
        <v>0</v>
      </c>
      <c r="BK348" s="9"/>
      <c r="BL348" s="9">
        <v>771</v>
      </c>
      <c r="BW348" s="9">
        <v>21</v>
      </c>
    </row>
    <row r="349" spans="1:75" ht="13.5" customHeight="1">
      <c r="A349" s="16" t="s">
        <v>182</v>
      </c>
      <c r="B349" s="32" t="s">
        <v>5</v>
      </c>
      <c r="C349" s="32" t="s">
        <v>847</v>
      </c>
      <c r="D349" s="69" t="s">
        <v>456</v>
      </c>
      <c r="E349" s="70"/>
      <c r="F349" s="32" t="s">
        <v>1026</v>
      </c>
      <c r="G349" s="9">
        <v>162.22</v>
      </c>
      <c r="H349" s="68">
        <v>0</v>
      </c>
      <c r="I349" s="9">
        <f t="shared" si="162"/>
        <v>0</v>
      </c>
      <c r="K349" s="23"/>
      <c r="Z349" s="9">
        <f t="shared" si="163"/>
        <v>0</v>
      </c>
      <c r="AB349" s="9">
        <f t="shared" si="164"/>
        <v>0</v>
      </c>
      <c r="AC349" s="9">
        <f t="shared" si="165"/>
        <v>0</v>
      </c>
      <c r="AD349" s="9">
        <f t="shared" si="166"/>
        <v>0</v>
      </c>
      <c r="AE349" s="9">
        <f t="shared" si="167"/>
        <v>0</v>
      </c>
      <c r="AF349" s="9">
        <f t="shared" si="168"/>
        <v>0</v>
      </c>
      <c r="AG349" s="9">
        <f t="shared" si="169"/>
        <v>0</v>
      </c>
      <c r="AH349" s="9">
        <f t="shared" si="170"/>
        <v>0</v>
      </c>
      <c r="AI349" s="11" t="s">
        <v>5</v>
      </c>
      <c r="AJ349" s="9">
        <f t="shared" si="171"/>
        <v>0</v>
      </c>
      <c r="AK349" s="9">
        <f t="shared" si="172"/>
        <v>0</v>
      </c>
      <c r="AL349" s="9">
        <f t="shared" si="173"/>
        <v>0</v>
      </c>
      <c r="AN349" s="9">
        <v>21</v>
      </c>
      <c r="AO349" s="9">
        <f>H349*0.666565656565656</f>
        <v>0</v>
      </c>
      <c r="AP349" s="9">
        <f>H349*(1-0.666565656565656)</f>
        <v>0</v>
      </c>
      <c r="AQ349" s="60" t="s">
        <v>1238</v>
      </c>
      <c r="AV349" s="9">
        <f t="shared" si="174"/>
        <v>0</v>
      </c>
      <c r="AW349" s="9">
        <f t="shared" si="175"/>
        <v>0</v>
      </c>
      <c r="AX349" s="9">
        <f t="shared" si="176"/>
        <v>0</v>
      </c>
      <c r="AY349" s="60" t="s">
        <v>1269</v>
      </c>
      <c r="AZ349" s="60" t="s">
        <v>964</v>
      </c>
      <c r="BA349" s="11" t="s">
        <v>1092</v>
      </c>
      <c r="BC349" s="9">
        <f t="shared" si="177"/>
        <v>0</v>
      </c>
      <c r="BD349" s="9">
        <f t="shared" si="178"/>
        <v>0</v>
      </c>
      <c r="BE349" s="9">
        <v>0</v>
      </c>
      <c r="BF349" s="9">
        <f>349</f>
        <v>349</v>
      </c>
      <c r="BH349" s="9">
        <f t="shared" si="179"/>
        <v>0</v>
      </c>
      <c r="BI349" s="9">
        <f t="shared" si="180"/>
        <v>0</v>
      </c>
      <c r="BJ349" s="9">
        <f t="shared" si="181"/>
        <v>0</v>
      </c>
      <c r="BK349" s="9"/>
      <c r="BL349" s="9">
        <v>771</v>
      </c>
      <c r="BW349" s="9">
        <v>21</v>
      </c>
    </row>
    <row r="350" spans="1:75" ht="13.5" customHeight="1">
      <c r="A350" s="16" t="s">
        <v>562</v>
      </c>
      <c r="B350" s="32" t="s">
        <v>5</v>
      </c>
      <c r="C350" s="32" t="s">
        <v>384</v>
      </c>
      <c r="D350" s="69" t="s">
        <v>828</v>
      </c>
      <c r="E350" s="70"/>
      <c r="F350" s="32" t="s">
        <v>1213</v>
      </c>
      <c r="G350" s="9">
        <v>25.94</v>
      </c>
      <c r="H350" s="68">
        <v>0</v>
      </c>
      <c r="I350" s="9">
        <f t="shared" si="162"/>
        <v>0</v>
      </c>
      <c r="K350" s="23"/>
      <c r="Z350" s="9">
        <f t="shared" si="163"/>
        <v>0</v>
      </c>
      <c r="AB350" s="9">
        <f t="shared" si="164"/>
        <v>0</v>
      </c>
      <c r="AC350" s="9">
        <f t="shared" si="165"/>
        <v>0</v>
      </c>
      <c r="AD350" s="9">
        <f t="shared" si="166"/>
        <v>0</v>
      </c>
      <c r="AE350" s="9">
        <f t="shared" si="167"/>
        <v>0</v>
      </c>
      <c r="AF350" s="9">
        <f t="shared" si="168"/>
        <v>0</v>
      </c>
      <c r="AG350" s="9">
        <f t="shared" si="169"/>
        <v>0</v>
      </c>
      <c r="AH350" s="9">
        <f t="shared" si="170"/>
        <v>0</v>
      </c>
      <c r="AI350" s="11" t="s">
        <v>5</v>
      </c>
      <c r="AJ350" s="9">
        <f t="shared" si="171"/>
        <v>0</v>
      </c>
      <c r="AK350" s="9">
        <f t="shared" si="172"/>
        <v>0</v>
      </c>
      <c r="AL350" s="9">
        <f t="shared" si="173"/>
        <v>0</v>
      </c>
      <c r="AN350" s="9">
        <v>21</v>
      </c>
      <c r="AO350" s="9">
        <f>H350*0</f>
        <v>0</v>
      </c>
      <c r="AP350" s="9">
        <f>H350*(1-0)</f>
        <v>0</v>
      </c>
      <c r="AQ350" s="60" t="s">
        <v>1238</v>
      </c>
      <c r="AV350" s="9">
        <f t="shared" si="174"/>
        <v>0</v>
      </c>
      <c r="AW350" s="9">
        <f t="shared" si="175"/>
        <v>0</v>
      </c>
      <c r="AX350" s="9">
        <f t="shared" si="176"/>
        <v>0</v>
      </c>
      <c r="AY350" s="60" t="s">
        <v>1269</v>
      </c>
      <c r="AZ350" s="60" t="s">
        <v>964</v>
      </c>
      <c r="BA350" s="11" t="s">
        <v>1092</v>
      </c>
      <c r="BC350" s="9">
        <f t="shared" si="177"/>
        <v>0</v>
      </c>
      <c r="BD350" s="9">
        <f t="shared" si="178"/>
        <v>0</v>
      </c>
      <c r="BE350" s="9">
        <v>0</v>
      </c>
      <c r="BF350" s="9">
        <f>350</f>
        <v>350</v>
      </c>
      <c r="BH350" s="9">
        <f t="shared" si="179"/>
        <v>0</v>
      </c>
      <c r="BI350" s="9">
        <f t="shared" si="180"/>
        <v>0</v>
      </c>
      <c r="BJ350" s="9">
        <f t="shared" si="181"/>
        <v>0</v>
      </c>
      <c r="BK350" s="9"/>
      <c r="BL350" s="9">
        <v>771</v>
      </c>
      <c r="BW350" s="9">
        <v>21</v>
      </c>
    </row>
    <row r="351" spans="1:75" ht="13.5" customHeight="1">
      <c r="A351" s="16" t="s">
        <v>279</v>
      </c>
      <c r="B351" s="32" t="s">
        <v>5</v>
      </c>
      <c r="C351" s="32" t="s">
        <v>1256</v>
      </c>
      <c r="D351" s="69" t="s">
        <v>167</v>
      </c>
      <c r="E351" s="70"/>
      <c r="F351" s="32" t="s">
        <v>1213</v>
      </c>
      <c r="G351" s="9">
        <v>114.36</v>
      </c>
      <c r="H351" s="68">
        <v>0</v>
      </c>
      <c r="I351" s="9">
        <f t="shared" si="162"/>
        <v>0</v>
      </c>
      <c r="K351" s="23"/>
      <c r="Z351" s="9">
        <f t="shared" si="163"/>
        <v>0</v>
      </c>
      <c r="AB351" s="9">
        <f t="shared" si="164"/>
        <v>0</v>
      </c>
      <c r="AC351" s="9">
        <f t="shared" si="165"/>
        <v>0</v>
      </c>
      <c r="AD351" s="9">
        <f t="shared" si="166"/>
        <v>0</v>
      </c>
      <c r="AE351" s="9">
        <f t="shared" si="167"/>
        <v>0</v>
      </c>
      <c r="AF351" s="9">
        <f t="shared" si="168"/>
        <v>0</v>
      </c>
      <c r="AG351" s="9">
        <f t="shared" si="169"/>
        <v>0</v>
      </c>
      <c r="AH351" s="9">
        <f t="shared" si="170"/>
        <v>0</v>
      </c>
      <c r="AI351" s="11" t="s">
        <v>5</v>
      </c>
      <c r="AJ351" s="9">
        <f t="shared" si="171"/>
        <v>0</v>
      </c>
      <c r="AK351" s="9">
        <f t="shared" si="172"/>
        <v>0</v>
      </c>
      <c r="AL351" s="9">
        <f t="shared" si="173"/>
        <v>0</v>
      </c>
      <c r="AN351" s="9">
        <v>21</v>
      </c>
      <c r="AO351" s="9">
        <f>H351*1</f>
        <v>0</v>
      </c>
      <c r="AP351" s="9">
        <f>H351*(1-1)</f>
        <v>0</v>
      </c>
      <c r="AQ351" s="60" t="s">
        <v>1238</v>
      </c>
      <c r="AV351" s="9">
        <f t="shared" si="174"/>
        <v>0</v>
      </c>
      <c r="AW351" s="9">
        <f t="shared" si="175"/>
        <v>0</v>
      </c>
      <c r="AX351" s="9">
        <f t="shared" si="176"/>
        <v>0</v>
      </c>
      <c r="AY351" s="60" t="s">
        <v>1269</v>
      </c>
      <c r="AZ351" s="60" t="s">
        <v>964</v>
      </c>
      <c r="BA351" s="11" t="s">
        <v>1092</v>
      </c>
      <c r="BC351" s="9">
        <f t="shared" si="177"/>
        <v>0</v>
      </c>
      <c r="BD351" s="9">
        <f t="shared" si="178"/>
        <v>0</v>
      </c>
      <c r="BE351" s="9">
        <v>0</v>
      </c>
      <c r="BF351" s="9">
        <f>351</f>
        <v>351</v>
      </c>
      <c r="BH351" s="9">
        <f t="shared" si="179"/>
        <v>0</v>
      </c>
      <c r="BI351" s="9">
        <f t="shared" si="180"/>
        <v>0</v>
      </c>
      <c r="BJ351" s="9">
        <f t="shared" si="181"/>
        <v>0</v>
      </c>
      <c r="BK351" s="9"/>
      <c r="BL351" s="9">
        <v>771</v>
      </c>
      <c r="BW351" s="9">
        <v>21</v>
      </c>
    </row>
    <row r="352" spans="1:75" ht="13.5" customHeight="1">
      <c r="A352" s="16" t="s">
        <v>552</v>
      </c>
      <c r="B352" s="32" t="s">
        <v>5</v>
      </c>
      <c r="C352" s="32" t="s">
        <v>405</v>
      </c>
      <c r="D352" s="69" t="s">
        <v>957</v>
      </c>
      <c r="E352" s="70"/>
      <c r="F352" s="32" t="s">
        <v>594</v>
      </c>
      <c r="G352" s="9">
        <v>3.027</v>
      </c>
      <c r="H352" s="68">
        <v>0</v>
      </c>
      <c r="I352" s="9">
        <f t="shared" si="162"/>
        <v>0</v>
      </c>
      <c r="K352" s="23"/>
      <c r="Z352" s="9">
        <f t="shared" si="163"/>
        <v>0</v>
      </c>
      <c r="AB352" s="9">
        <f t="shared" si="164"/>
        <v>0</v>
      </c>
      <c r="AC352" s="9">
        <f t="shared" si="165"/>
        <v>0</v>
      </c>
      <c r="AD352" s="9">
        <f t="shared" si="166"/>
        <v>0</v>
      </c>
      <c r="AE352" s="9">
        <f t="shared" si="167"/>
        <v>0</v>
      </c>
      <c r="AF352" s="9">
        <f t="shared" si="168"/>
        <v>0</v>
      </c>
      <c r="AG352" s="9">
        <f t="shared" si="169"/>
        <v>0</v>
      </c>
      <c r="AH352" s="9">
        <f t="shared" si="170"/>
        <v>0</v>
      </c>
      <c r="AI352" s="11" t="s">
        <v>5</v>
      </c>
      <c r="AJ352" s="9">
        <f t="shared" si="171"/>
        <v>0</v>
      </c>
      <c r="AK352" s="9">
        <f t="shared" si="172"/>
        <v>0</v>
      </c>
      <c r="AL352" s="9">
        <f t="shared" si="173"/>
        <v>0</v>
      </c>
      <c r="AN352" s="9">
        <v>21</v>
      </c>
      <c r="AO352" s="9">
        <f>H352*0</f>
        <v>0</v>
      </c>
      <c r="AP352" s="9">
        <f>H352*(1-0)</f>
        <v>0</v>
      </c>
      <c r="AQ352" s="60" t="s">
        <v>659</v>
      </c>
      <c r="AV352" s="9">
        <f t="shared" si="174"/>
        <v>0</v>
      </c>
      <c r="AW352" s="9">
        <f t="shared" si="175"/>
        <v>0</v>
      </c>
      <c r="AX352" s="9">
        <f t="shared" si="176"/>
        <v>0</v>
      </c>
      <c r="AY352" s="60" t="s">
        <v>1269</v>
      </c>
      <c r="AZ352" s="60" t="s">
        <v>964</v>
      </c>
      <c r="BA352" s="11" t="s">
        <v>1092</v>
      </c>
      <c r="BC352" s="9">
        <f t="shared" si="177"/>
        <v>0</v>
      </c>
      <c r="BD352" s="9">
        <f t="shared" si="178"/>
        <v>0</v>
      </c>
      <c r="BE352" s="9">
        <v>0</v>
      </c>
      <c r="BF352" s="9">
        <f>352</f>
        <v>352</v>
      </c>
      <c r="BH352" s="9">
        <f t="shared" si="179"/>
        <v>0</v>
      </c>
      <c r="BI352" s="9">
        <f t="shared" si="180"/>
        <v>0</v>
      </c>
      <c r="BJ352" s="9">
        <f t="shared" si="181"/>
        <v>0</v>
      </c>
      <c r="BK352" s="9"/>
      <c r="BL352" s="9">
        <v>771</v>
      </c>
      <c r="BW352" s="9">
        <v>21</v>
      </c>
    </row>
    <row r="353" spans="1:47" ht="15" customHeight="1">
      <c r="A353" s="39" t="s">
        <v>852</v>
      </c>
      <c r="B353" s="48" t="s">
        <v>5</v>
      </c>
      <c r="C353" s="48" t="s">
        <v>1000</v>
      </c>
      <c r="D353" s="122" t="s">
        <v>565</v>
      </c>
      <c r="E353" s="123"/>
      <c r="F353" s="51" t="s">
        <v>1142</v>
      </c>
      <c r="G353" s="51" t="s">
        <v>1142</v>
      </c>
      <c r="H353" s="51" t="s">
        <v>1142</v>
      </c>
      <c r="I353" s="55">
        <f>SUM(I354:I371)</f>
        <v>0</v>
      </c>
      <c r="K353" s="23"/>
      <c r="AI353" s="11" t="s">
        <v>5</v>
      </c>
      <c r="AS353" s="55">
        <f>SUM(AJ354:AJ371)</f>
        <v>0</v>
      </c>
      <c r="AT353" s="55">
        <f>SUM(AK354:AK371)</f>
        <v>0</v>
      </c>
      <c r="AU353" s="55">
        <f>SUM(AL354:AL371)</f>
        <v>0</v>
      </c>
    </row>
    <row r="354" spans="1:75" ht="13.5" customHeight="1">
      <c r="A354" s="16" t="s">
        <v>27</v>
      </c>
      <c r="B354" s="32" t="s">
        <v>5</v>
      </c>
      <c r="C354" s="32" t="s">
        <v>1013</v>
      </c>
      <c r="D354" s="69" t="s">
        <v>44</v>
      </c>
      <c r="E354" s="70"/>
      <c r="F354" s="32" t="s">
        <v>1213</v>
      </c>
      <c r="G354" s="9">
        <v>48.666</v>
      </c>
      <c r="H354" s="68">
        <v>0</v>
      </c>
      <c r="I354" s="9">
        <f aca="true" t="shared" si="182" ref="I354:I366">G354*H354</f>
        <v>0</v>
      </c>
      <c r="K354" s="23"/>
      <c r="Z354" s="9">
        <f aca="true" t="shared" si="183" ref="Z354:Z366">IF(AQ354="5",BJ354,0)</f>
        <v>0</v>
      </c>
      <c r="AB354" s="9">
        <f aca="true" t="shared" si="184" ref="AB354:AB366">IF(AQ354="1",BH354,0)</f>
        <v>0</v>
      </c>
      <c r="AC354" s="9">
        <f aca="true" t="shared" si="185" ref="AC354:AC366">IF(AQ354="1",BI354,0)</f>
        <v>0</v>
      </c>
      <c r="AD354" s="9">
        <f aca="true" t="shared" si="186" ref="AD354:AD366">IF(AQ354="7",BH354,0)</f>
        <v>0</v>
      </c>
      <c r="AE354" s="9">
        <f aca="true" t="shared" si="187" ref="AE354:AE366">IF(AQ354="7",BI354,0)</f>
        <v>0</v>
      </c>
      <c r="AF354" s="9">
        <f aca="true" t="shared" si="188" ref="AF354:AF366">IF(AQ354="2",BH354,0)</f>
        <v>0</v>
      </c>
      <c r="AG354" s="9">
        <f aca="true" t="shared" si="189" ref="AG354:AG366">IF(AQ354="2",BI354,0)</f>
        <v>0</v>
      </c>
      <c r="AH354" s="9">
        <f aca="true" t="shared" si="190" ref="AH354:AH366">IF(AQ354="0",BJ354,0)</f>
        <v>0</v>
      </c>
      <c r="AI354" s="11" t="s">
        <v>5</v>
      </c>
      <c r="AJ354" s="9">
        <f aca="true" t="shared" si="191" ref="AJ354:AJ366">IF(AN354=0,I354,0)</f>
        <v>0</v>
      </c>
      <c r="AK354" s="9">
        <f aca="true" t="shared" si="192" ref="AK354:AK366">IF(AN354=12,I354,0)</f>
        <v>0</v>
      </c>
      <c r="AL354" s="9">
        <f aca="true" t="shared" si="193" ref="AL354:AL366">IF(AN354=21,I354,0)</f>
        <v>0</v>
      </c>
      <c r="AN354" s="9">
        <v>21</v>
      </c>
      <c r="AO354" s="9">
        <f>H354*0.710000148114152</f>
        <v>0</v>
      </c>
      <c r="AP354" s="9">
        <f>H354*(1-0.710000148114152)</f>
        <v>0</v>
      </c>
      <c r="AQ354" s="60" t="s">
        <v>1238</v>
      </c>
      <c r="AV354" s="9">
        <f aca="true" t="shared" si="194" ref="AV354:AV366">AW354+AX354</f>
        <v>0</v>
      </c>
      <c r="AW354" s="9">
        <f aca="true" t="shared" si="195" ref="AW354:AW366">G354*AO354</f>
        <v>0</v>
      </c>
      <c r="AX354" s="9">
        <f aca="true" t="shared" si="196" ref="AX354:AX366">G354*AP354</f>
        <v>0</v>
      </c>
      <c r="AY354" s="60" t="s">
        <v>580</v>
      </c>
      <c r="AZ354" s="60" t="s">
        <v>409</v>
      </c>
      <c r="BA354" s="11" t="s">
        <v>1092</v>
      </c>
      <c r="BC354" s="9">
        <f aca="true" t="shared" si="197" ref="BC354:BC366">AW354+AX354</f>
        <v>0</v>
      </c>
      <c r="BD354" s="9">
        <f aca="true" t="shared" si="198" ref="BD354:BD366">H354/(100-BE354)*100</f>
        <v>0</v>
      </c>
      <c r="BE354" s="9">
        <v>0</v>
      </c>
      <c r="BF354" s="9">
        <f>354</f>
        <v>354</v>
      </c>
      <c r="BH354" s="9">
        <f aca="true" t="shared" si="199" ref="BH354:BH366">G354*AO354</f>
        <v>0</v>
      </c>
      <c r="BI354" s="9">
        <f aca="true" t="shared" si="200" ref="BI354:BI366">G354*AP354</f>
        <v>0</v>
      </c>
      <c r="BJ354" s="9">
        <f aca="true" t="shared" si="201" ref="BJ354:BJ366">G354*H354</f>
        <v>0</v>
      </c>
      <c r="BK354" s="9"/>
      <c r="BL354" s="9">
        <v>781</v>
      </c>
      <c r="BW354" s="9">
        <v>21</v>
      </c>
    </row>
    <row r="355" spans="1:75" ht="13.5" customHeight="1">
      <c r="A355" s="16" t="s">
        <v>1064</v>
      </c>
      <c r="B355" s="32" t="s">
        <v>5</v>
      </c>
      <c r="C355" s="32" t="s">
        <v>959</v>
      </c>
      <c r="D355" s="69" t="s">
        <v>675</v>
      </c>
      <c r="E355" s="70"/>
      <c r="F355" s="32" t="s">
        <v>1213</v>
      </c>
      <c r="G355" s="9">
        <v>333.574</v>
      </c>
      <c r="H355" s="68">
        <v>0</v>
      </c>
      <c r="I355" s="9">
        <f t="shared" si="182"/>
        <v>0</v>
      </c>
      <c r="K355" s="23"/>
      <c r="Z355" s="9">
        <f t="shared" si="183"/>
        <v>0</v>
      </c>
      <c r="AB355" s="9">
        <f t="shared" si="184"/>
        <v>0</v>
      </c>
      <c r="AC355" s="9">
        <f t="shared" si="185"/>
        <v>0</v>
      </c>
      <c r="AD355" s="9">
        <f t="shared" si="186"/>
        <v>0</v>
      </c>
      <c r="AE355" s="9">
        <f t="shared" si="187"/>
        <v>0</v>
      </c>
      <c r="AF355" s="9">
        <f t="shared" si="188"/>
        <v>0</v>
      </c>
      <c r="AG355" s="9">
        <f t="shared" si="189"/>
        <v>0</v>
      </c>
      <c r="AH355" s="9">
        <f t="shared" si="190"/>
        <v>0</v>
      </c>
      <c r="AI355" s="11" t="s">
        <v>5</v>
      </c>
      <c r="AJ355" s="9">
        <f t="shared" si="191"/>
        <v>0</v>
      </c>
      <c r="AK355" s="9">
        <f t="shared" si="192"/>
        <v>0</v>
      </c>
      <c r="AL355" s="9">
        <f t="shared" si="193"/>
        <v>0</v>
      </c>
      <c r="AN355" s="9">
        <v>21</v>
      </c>
      <c r="AO355" s="9">
        <f>H355*0.477365454480735</f>
        <v>0</v>
      </c>
      <c r="AP355" s="9">
        <f>H355*(1-0.477365454480735)</f>
        <v>0</v>
      </c>
      <c r="AQ355" s="60" t="s">
        <v>1238</v>
      </c>
      <c r="AV355" s="9">
        <f t="shared" si="194"/>
        <v>0</v>
      </c>
      <c r="AW355" s="9">
        <f t="shared" si="195"/>
        <v>0</v>
      </c>
      <c r="AX355" s="9">
        <f t="shared" si="196"/>
        <v>0</v>
      </c>
      <c r="AY355" s="60" t="s">
        <v>580</v>
      </c>
      <c r="AZ355" s="60" t="s">
        <v>409</v>
      </c>
      <c r="BA355" s="11" t="s">
        <v>1092</v>
      </c>
      <c r="BC355" s="9">
        <f t="shared" si="197"/>
        <v>0</v>
      </c>
      <c r="BD355" s="9">
        <f t="shared" si="198"/>
        <v>0</v>
      </c>
      <c r="BE355" s="9">
        <v>0</v>
      </c>
      <c r="BF355" s="9">
        <f>355</f>
        <v>355</v>
      </c>
      <c r="BH355" s="9">
        <f t="shared" si="199"/>
        <v>0</v>
      </c>
      <c r="BI355" s="9">
        <f t="shared" si="200"/>
        <v>0</v>
      </c>
      <c r="BJ355" s="9">
        <f t="shared" si="201"/>
        <v>0</v>
      </c>
      <c r="BK355" s="9"/>
      <c r="BL355" s="9">
        <v>781</v>
      </c>
      <c r="BW355" s="9">
        <v>21</v>
      </c>
    </row>
    <row r="356" spans="1:75" ht="13.5" customHeight="1">
      <c r="A356" s="16" t="s">
        <v>1118</v>
      </c>
      <c r="B356" s="32" t="s">
        <v>5</v>
      </c>
      <c r="C356" s="32" t="s">
        <v>901</v>
      </c>
      <c r="D356" s="69" t="s">
        <v>195</v>
      </c>
      <c r="E356" s="70"/>
      <c r="F356" s="32" t="s">
        <v>1026</v>
      </c>
      <c r="G356" s="9">
        <v>44.44</v>
      </c>
      <c r="H356" s="68">
        <v>0</v>
      </c>
      <c r="I356" s="9">
        <f t="shared" si="182"/>
        <v>0</v>
      </c>
      <c r="K356" s="23"/>
      <c r="Z356" s="9">
        <f t="shared" si="183"/>
        <v>0</v>
      </c>
      <c r="AB356" s="9">
        <f t="shared" si="184"/>
        <v>0</v>
      </c>
      <c r="AC356" s="9">
        <f t="shared" si="185"/>
        <v>0</v>
      </c>
      <c r="AD356" s="9">
        <f t="shared" si="186"/>
        <v>0</v>
      </c>
      <c r="AE356" s="9">
        <f t="shared" si="187"/>
        <v>0</v>
      </c>
      <c r="AF356" s="9">
        <f t="shared" si="188"/>
        <v>0</v>
      </c>
      <c r="AG356" s="9">
        <f t="shared" si="189"/>
        <v>0</v>
      </c>
      <c r="AH356" s="9">
        <f t="shared" si="190"/>
        <v>0</v>
      </c>
      <c r="AI356" s="11" t="s">
        <v>5</v>
      </c>
      <c r="AJ356" s="9">
        <f t="shared" si="191"/>
        <v>0</v>
      </c>
      <c r="AK356" s="9">
        <f t="shared" si="192"/>
        <v>0</v>
      </c>
      <c r="AL356" s="9">
        <f t="shared" si="193"/>
        <v>0</v>
      </c>
      <c r="AN356" s="9">
        <v>21</v>
      </c>
      <c r="AO356" s="9">
        <f>H356*0.0539047619047619</f>
        <v>0</v>
      </c>
      <c r="AP356" s="9">
        <f>H356*(1-0.0539047619047619)</f>
        <v>0</v>
      </c>
      <c r="AQ356" s="60" t="s">
        <v>1238</v>
      </c>
      <c r="AV356" s="9">
        <f t="shared" si="194"/>
        <v>0</v>
      </c>
      <c r="AW356" s="9">
        <f t="shared" si="195"/>
        <v>0</v>
      </c>
      <c r="AX356" s="9">
        <f t="shared" si="196"/>
        <v>0</v>
      </c>
      <c r="AY356" s="60" t="s">
        <v>580</v>
      </c>
      <c r="AZ356" s="60" t="s">
        <v>409</v>
      </c>
      <c r="BA356" s="11" t="s">
        <v>1092</v>
      </c>
      <c r="BC356" s="9">
        <f t="shared" si="197"/>
        <v>0</v>
      </c>
      <c r="BD356" s="9">
        <f t="shared" si="198"/>
        <v>0</v>
      </c>
      <c r="BE356" s="9">
        <v>0</v>
      </c>
      <c r="BF356" s="9">
        <f>356</f>
        <v>356</v>
      </c>
      <c r="BH356" s="9">
        <f t="shared" si="199"/>
        <v>0</v>
      </c>
      <c r="BI356" s="9">
        <f t="shared" si="200"/>
        <v>0</v>
      </c>
      <c r="BJ356" s="9">
        <f t="shared" si="201"/>
        <v>0</v>
      </c>
      <c r="BK356" s="9"/>
      <c r="BL356" s="9">
        <v>781</v>
      </c>
      <c r="BW356" s="9">
        <v>21</v>
      </c>
    </row>
    <row r="357" spans="1:75" ht="13.5" customHeight="1">
      <c r="A357" s="16" t="s">
        <v>969</v>
      </c>
      <c r="B357" s="32" t="s">
        <v>5</v>
      </c>
      <c r="C357" s="32" t="s">
        <v>348</v>
      </c>
      <c r="D357" s="69" t="s">
        <v>524</v>
      </c>
      <c r="E357" s="70"/>
      <c r="F357" s="32" t="s">
        <v>317</v>
      </c>
      <c r="G357" s="9">
        <v>62</v>
      </c>
      <c r="H357" s="68">
        <v>0</v>
      </c>
      <c r="I357" s="9">
        <f t="shared" si="182"/>
        <v>0</v>
      </c>
      <c r="K357" s="23"/>
      <c r="Z357" s="9">
        <f t="shared" si="183"/>
        <v>0</v>
      </c>
      <c r="AB357" s="9">
        <f t="shared" si="184"/>
        <v>0</v>
      </c>
      <c r="AC357" s="9">
        <f t="shared" si="185"/>
        <v>0</v>
      </c>
      <c r="AD357" s="9">
        <f t="shared" si="186"/>
        <v>0</v>
      </c>
      <c r="AE357" s="9">
        <f t="shared" si="187"/>
        <v>0</v>
      </c>
      <c r="AF357" s="9">
        <f t="shared" si="188"/>
        <v>0</v>
      </c>
      <c r="AG357" s="9">
        <f t="shared" si="189"/>
        <v>0</v>
      </c>
      <c r="AH357" s="9">
        <f t="shared" si="190"/>
        <v>0</v>
      </c>
      <c r="AI357" s="11" t="s">
        <v>5</v>
      </c>
      <c r="AJ357" s="9">
        <f t="shared" si="191"/>
        <v>0</v>
      </c>
      <c r="AK357" s="9">
        <f t="shared" si="192"/>
        <v>0</v>
      </c>
      <c r="AL357" s="9">
        <f t="shared" si="193"/>
        <v>0</v>
      </c>
      <c r="AN357" s="9">
        <v>21</v>
      </c>
      <c r="AO357" s="9">
        <f>H357*0.017595818815331</f>
        <v>0</v>
      </c>
      <c r="AP357" s="9">
        <f>H357*(1-0.017595818815331)</f>
        <v>0</v>
      </c>
      <c r="AQ357" s="60" t="s">
        <v>1238</v>
      </c>
      <c r="AV357" s="9">
        <f t="shared" si="194"/>
        <v>0</v>
      </c>
      <c r="AW357" s="9">
        <f t="shared" si="195"/>
        <v>0</v>
      </c>
      <c r="AX357" s="9">
        <f t="shared" si="196"/>
        <v>0</v>
      </c>
      <c r="AY357" s="60" t="s">
        <v>580</v>
      </c>
      <c r="AZ357" s="60" t="s">
        <v>409</v>
      </c>
      <c r="BA357" s="11" t="s">
        <v>1092</v>
      </c>
      <c r="BC357" s="9">
        <f t="shared" si="197"/>
        <v>0</v>
      </c>
      <c r="BD357" s="9">
        <f t="shared" si="198"/>
        <v>0</v>
      </c>
      <c r="BE357" s="9">
        <v>0</v>
      </c>
      <c r="BF357" s="9">
        <f>357</f>
        <v>357</v>
      </c>
      <c r="BH357" s="9">
        <f t="shared" si="199"/>
        <v>0</v>
      </c>
      <c r="BI357" s="9">
        <f t="shared" si="200"/>
        <v>0</v>
      </c>
      <c r="BJ357" s="9">
        <f t="shared" si="201"/>
        <v>0</v>
      </c>
      <c r="BK357" s="9"/>
      <c r="BL357" s="9">
        <v>781</v>
      </c>
      <c r="BW357" s="9">
        <v>21</v>
      </c>
    </row>
    <row r="358" spans="1:75" ht="13.5" customHeight="1">
      <c r="A358" s="16" t="s">
        <v>448</v>
      </c>
      <c r="B358" s="32" t="s">
        <v>5</v>
      </c>
      <c r="C358" s="32" t="s">
        <v>1103</v>
      </c>
      <c r="D358" s="69" t="s">
        <v>331</v>
      </c>
      <c r="E358" s="70"/>
      <c r="F358" s="32" t="s">
        <v>317</v>
      </c>
      <c r="G358" s="9">
        <v>42</v>
      </c>
      <c r="H358" s="68">
        <v>0</v>
      </c>
      <c r="I358" s="9">
        <f t="shared" si="182"/>
        <v>0</v>
      </c>
      <c r="K358" s="23"/>
      <c r="Z358" s="9">
        <f t="shared" si="183"/>
        <v>0</v>
      </c>
      <c r="AB358" s="9">
        <f t="shared" si="184"/>
        <v>0</v>
      </c>
      <c r="AC358" s="9">
        <f t="shared" si="185"/>
        <v>0</v>
      </c>
      <c r="AD358" s="9">
        <f t="shared" si="186"/>
        <v>0</v>
      </c>
      <c r="AE358" s="9">
        <f t="shared" si="187"/>
        <v>0</v>
      </c>
      <c r="AF358" s="9">
        <f t="shared" si="188"/>
        <v>0</v>
      </c>
      <c r="AG358" s="9">
        <f t="shared" si="189"/>
        <v>0</v>
      </c>
      <c r="AH358" s="9">
        <f t="shared" si="190"/>
        <v>0</v>
      </c>
      <c r="AI358" s="11" t="s">
        <v>5</v>
      </c>
      <c r="AJ358" s="9">
        <f t="shared" si="191"/>
        <v>0</v>
      </c>
      <c r="AK358" s="9">
        <f t="shared" si="192"/>
        <v>0</v>
      </c>
      <c r="AL358" s="9">
        <f t="shared" si="193"/>
        <v>0</v>
      </c>
      <c r="AN358" s="9">
        <v>21</v>
      </c>
      <c r="AO358" s="9">
        <f>H358*0.0580547112462006</f>
        <v>0</v>
      </c>
      <c r="AP358" s="9">
        <f>H358*(1-0.0580547112462006)</f>
        <v>0</v>
      </c>
      <c r="AQ358" s="60" t="s">
        <v>1238</v>
      </c>
      <c r="AV358" s="9">
        <f t="shared" si="194"/>
        <v>0</v>
      </c>
      <c r="AW358" s="9">
        <f t="shared" si="195"/>
        <v>0</v>
      </c>
      <c r="AX358" s="9">
        <f t="shared" si="196"/>
        <v>0</v>
      </c>
      <c r="AY358" s="60" t="s">
        <v>580</v>
      </c>
      <c r="AZ358" s="60" t="s">
        <v>409</v>
      </c>
      <c r="BA358" s="11" t="s">
        <v>1092</v>
      </c>
      <c r="BC358" s="9">
        <f t="shared" si="197"/>
        <v>0</v>
      </c>
      <c r="BD358" s="9">
        <f t="shared" si="198"/>
        <v>0</v>
      </c>
      <c r="BE358" s="9">
        <v>0</v>
      </c>
      <c r="BF358" s="9">
        <f>358</f>
        <v>358</v>
      </c>
      <c r="BH358" s="9">
        <f t="shared" si="199"/>
        <v>0</v>
      </c>
      <c r="BI358" s="9">
        <f t="shared" si="200"/>
        <v>0</v>
      </c>
      <c r="BJ358" s="9">
        <f t="shared" si="201"/>
        <v>0</v>
      </c>
      <c r="BK358" s="9"/>
      <c r="BL358" s="9">
        <v>781</v>
      </c>
      <c r="BW358" s="9">
        <v>21</v>
      </c>
    </row>
    <row r="359" spans="1:75" ht="13.5" customHeight="1">
      <c r="A359" s="16" t="s">
        <v>978</v>
      </c>
      <c r="B359" s="32" t="s">
        <v>5</v>
      </c>
      <c r="C359" s="32" t="s">
        <v>438</v>
      </c>
      <c r="D359" s="69" t="s">
        <v>399</v>
      </c>
      <c r="E359" s="70"/>
      <c r="F359" s="32" t="s">
        <v>1026</v>
      </c>
      <c r="G359" s="9">
        <v>28.8</v>
      </c>
      <c r="H359" s="68">
        <v>0</v>
      </c>
      <c r="I359" s="9">
        <f t="shared" si="182"/>
        <v>0</v>
      </c>
      <c r="K359" s="23"/>
      <c r="Z359" s="9">
        <f t="shared" si="183"/>
        <v>0</v>
      </c>
      <c r="AB359" s="9">
        <f t="shared" si="184"/>
        <v>0</v>
      </c>
      <c r="AC359" s="9">
        <f t="shared" si="185"/>
        <v>0</v>
      </c>
      <c r="AD359" s="9">
        <f t="shared" si="186"/>
        <v>0</v>
      </c>
      <c r="AE359" s="9">
        <f t="shared" si="187"/>
        <v>0</v>
      </c>
      <c r="AF359" s="9">
        <f t="shared" si="188"/>
        <v>0</v>
      </c>
      <c r="AG359" s="9">
        <f t="shared" si="189"/>
        <v>0</v>
      </c>
      <c r="AH359" s="9">
        <f t="shared" si="190"/>
        <v>0</v>
      </c>
      <c r="AI359" s="11" t="s">
        <v>5</v>
      </c>
      <c r="AJ359" s="9">
        <f t="shared" si="191"/>
        <v>0</v>
      </c>
      <c r="AK359" s="9">
        <f t="shared" si="192"/>
        <v>0</v>
      </c>
      <c r="AL359" s="9">
        <f t="shared" si="193"/>
        <v>0</v>
      </c>
      <c r="AN359" s="9">
        <v>21</v>
      </c>
      <c r="AO359" s="9">
        <f>H359*0</f>
        <v>0</v>
      </c>
      <c r="AP359" s="9">
        <f>H359*(1-0)</f>
        <v>0</v>
      </c>
      <c r="AQ359" s="60" t="s">
        <v>1238</v>
      </c>
      <c r="AV359" s="9">
        <f t="shared" si="194"/>
        <v>0</v>
      </c>
      <c r="AW359" s="9">
        <f t="shared" si="195"/>
        <v>0</v>
      </c>
      <c r="AX359" s="9">
        <f t="shared" si="196"/>
        <v>0</v>
      </c>
      <c r="AY359" s="60" t="s">
        <v>580</v>
      </c>
      <c r="AZ359" s="60" t="s">
        <v>409</v>
      </c>
      <c r="BA359" s="11" t="s">
        <v>1092</v>
      </c>
      <c r="BC359" s="9">
        <f t="shared" si="197"/>
        <v>0</v>
      </c>
      <c r="BD359" s="9">
        <f t="shared" si="198"/>
        <v>0</v>
      </c>
      <c r="BE359" s="9">
        <v>0</v>
      </c>
      <c r="BF359" s="9">
        <f>359</f>
        <v>359</v>
      </c>
      <c r="BH359" s="9">
        <f t="shared" si="199"/>
        <v>0</v>
      </c>
      <c r="BI359" s="9">
        <f t="shared" si="200"/>
        <v>0</v>
      </c>
      <c r="BJ359" s="9">
        <f t="shared" si="201"/>
        <v>0</v>
      </c>
      <c r="BK359" s="9"/>
      <c r="BL359" s="9">
        <v>781</v>
      </c>
      <c r="BW359" s="9">
        <v>21</v>
      </c>
    </row>
    <row r="360" spans="1:75" ht="13.5" customHeight="1">
      <c r="A360" s="16" t="s">
        <v>807</v>
      </c>
      <c r="B360" s="32" t="s">
        <v>5</v>
      </c>
      <c r="C360" s="32" t="s">
        <v>795</v>
      </c>
      <c r="D360" s="69" t="s">
        <v>994</v>
      </c>
      <c r="E360" s="70"/>
      <c r="F360" s="32" t="s">
        <v>1213</v>
      </c>
      <c r="G360" s="9">
        <v>5.76</v>
      </c>
      <c r="H360" s="68">
        <v>0</v>
      </c>
      <c r="I360" s="9">
        <f t="shared" si="182"/>
        <v>0</v>
      </c>
      <c r="K360" s="23"/>
      <c r="Z360" s="9">
        <f t="shared" si="183"/>
        <v>0</v>
      </c>
      <c r="AB360" s="9">
        <f t="shared" si="184"/>
        <v>0</v>
      </c>
      <c r="AC360" s="9">
        <f t="shared" si="185"/>
        <v>0</v>
      </c>
      <c r="AD360" s="9">
        <f t="shared" si="186"/>
        <v>0</v>
      </c>
      <c r="AE360" s="9">
        <f t="shared" si="187"/>
        <v>0</v>
      </c>
      <c r="AF360" s="9">
        <f t="shared" si="188"/>
        <v>0</v>
      </c>
      <c r="AG360" s="9">
        <f t="shared" si="189"/>
        <v>0</v>
      </c>
      <c r="AH360" s="9">
        <f t="shared" si="190"/>
        <v>0</v>
      </c>
      <c r="AI360" s="11" t="s">
        <v>5</v>
      </c>
      <c r="AJ360" s="9">
        <f t="shared" si="191"/>
        <v>0</v>
      </c>
      <c r="AK360" s="9">
        <f t="shared" si="192"/>
        <v>0</v>
      </c>
      <c r="AL360" s="9">
        <f t="shared" si="193"/>
        <v>0</v>
      </c>
      <c r="AN360" s="9">
        <v>21</v>
      </c>
      <c r="AO360" s="9">
        <f>H360*1</f>
        <v>0</v>
      </c>
      <c r="AP360" s="9">
        <f>H360*(1-1)</f>
        <v>0</v>
      </c>
      <c r="AQ360" s="60" t="s">
        <v>1238</v>
      </c>
      <c r="AV360" s="9">
        <f t="shared" si="194"/>
        <v>0</v>
      </c>
      <c r="AW360" s="9">
        <f t="shared" si="195"/>
        <v>0</v>
      </c>
      <c r="AX360" s="9">
        <f t="shared" si="196"/>
        <v>0</v>
      </c>
      <c r="AY360" s="60" t="s">
        <v>580</v>
      </c>
      <c r="AZ360" s="60" t="s">
        <v>409</v>
      </c>
      <c r="BA360" s="11" t="s">
        <v>1092</v>
      </c>
      <c r="BC360" s="9">
        <f t="shared" si="197"/>
        <v>0</v>
      </c>
      <c r="BD360" s="9">
        <f t="shared" si="198"/>
        <v>0</v>
      </c>
      <c r="BE360" s="9">
        <v>0</v>
      </c>
      <c r="BF360" s="9">
        <f>360</f>
        <v>360</v>
      </c>
      <c r="BH360" s="9">
        <f t="shared" si="199"/>
        <v>0</v>
      </c>
      <c r="BI360" s="9">
        <f t="shared" si="200"/>
        <v>0</v>
      </c>
      <c r="BJ360" s="9">
        <f t="shared" si="201"/>
        <v>0</v>
      </c>
      <c r="BK360" s="9"/>
      <c r="BL360" s="9">
        <v>781</v>
      </c>
      <c r="BW360" s="9">
        <v>21</v>
      </c>
    </row>
    <row r="361" spans="1:75" ht="13.5" customHeight="1">
      <c r="A361" s="16" t="s">
        <v>1125</v>
      </c>
      <c r="B361" s="32" t="s">
        <v>5</v>
      </c>
      <c r="C361" s="32" t="s">
        <v>1134</v>
      </c>
      <c r="D361" s="69" t="s">
        <v>1367</v>
      </c>
      <c r="E361" s="70"/>
      <c r="F361" s="32" t="s">
        <v>1026</v>
      </c>
      <c r="G361" s="9">
        <v>13.64</v>
      </c>
      <c r="H361" s="68">
        <v>0</v>
      </c>
      <c r="I361" s="9">
        <f t="shared" si="182"/>
        <v>0</v>
      </c>
      <c r="K361" s="23"/>
      <c r="Z361" s="9">
        <f t="shared" si="183"/>
        <v>0</v>
      </c>
      <c r="AB361" s="9">
        <f t="shared" si="184"/>
        <v>0</v>
      </c>
      <c r="AC361" s="9">
        <f t="shared" si="185"/>
        <v>0</v>
      </c>
      <c r="AD361" s="9">
        <f t="shared" si="186"/>
        <v>0</v>
      </c>
      <c r="AE361" s="9">
        <f t="shared" si="187"/>
        <v>0</v>
      </c>
      <c r="AF361" s="9">
        <f t="shared" si="188"/>
        <v>0</v>
      </c>
      <c r="AG361" s="9">
        <f t="shared" si="189"/>
        <v>0</v>
      </c>
      <c r="AH361" s="9">
        <f t="shared" si="190"/>
        <v>0</v>
      </c>
      <c r="AI361" s="11" t="s">
        <v>5</v>
      </c>
      <c r="AJ361" s="9">
        <f t="shared" si="191"/>
        <v>0</v>
      </c>
      <c r="AK361" s="9">
        <f t="shared" si="192"/>
        <v>0</v>
      </c>
      <c r="AL361" s="9">
        <f t="shared" si="193"/>
        <v>0</v>
      </c>
      <c r="AN361" s="9">
        <v>21</v>
      </c>
      <c r="AO361" s="9">
        <f>H361*0</f>
        <v>0</v>
      </c>
      <c r="AP361" s="9">
        <f>H361*(1-0)</f>
        <v>0</v>
      </c>
      <c r="AQ361" s="60" t="s">
        <v>1238</v>
      </c>
      <c r="AV361" s="9">
        <f t="shared" si="194"/>
        <v>0</v>
      </c>
      <c r="AW361" s="9">
        <f t="shared" si="195"/>
        <v>0</v>
      </c>
      <c r="AX361" s="9">
        <f t="shared" si="196"/>
        <v>0</v>
      </c>
      <c r="AY361" s="60" t="s">
        <v>580</v>
      </c>
      <c r="AZ361" s="60" t="s">
        <v>409</v>
      </c>
      <c r="BA361" s="11" t="s">
        <v>1092</v>
      </c>
      <c r="BC361" s="9">
        <f t="shared" si="197"/>
        <v>0</v>
      </c>
      <c r="BD361" s="9">
        <f t="shared" si="198"/>
        <v>0</v>
      </c>
      <c r="BE361" s="9">
        <v>0</v>
      </c>
      <c r="BF361" s="9">
        <f>361</f>
        <v>361</v>
      </c>
      <c r="BH361" s="9">
        <f t="shared" si="199"/>
        <v>0</v>
      </c>
      <c r="BI361" s="9">
        <f t="shared" si="200"/>
        <v>0</v>
      </c>
      <c r="BJ361" s="9">
        <f t="shared" si="201"/>
        <v>0</v>
      </c>
      <c r="BK361" s="9"/>
      <c r="BL361" s="9">
        <v>781</v>
      </c>
      <c r="BW361" s="9">
        <v>21</v>
      </c>
    </row>
    <row r="362" spans="1:75" ht="13.5" customHeight="1">
      <c r="A362" s="16" t="s">
        <v>1060</v>
      </c>
      <c r="B362" s="32" t="s">
        <v>5</v>
      </c>
      <c r="C362" s="32" t="s">
        <v>795</v>
      </c>
      <c r="D362" s="69" t="s">
        <v>994</v>
      </c>
      <c r="E362" s="70"/>
      <c r="F362" s="32" t="s">
        <v>1213</v>
      </c>
      <c r="G362" s="9">
        <v>3.008</v>
      </c>
      <c r="H362" s="68">
        <v>0</v>
      </c>
      <c r="I362" s="9">
        <f t="shared" si="182"/>
        <v>0</v>
      </c>
      <c r="K362" s="23"/>
      <c r="Z362" s="9">
        <f t="shared" si="183"/>
        <v>0</v>
      </c>
      <c r="AB362" s="9">
        <f t="shared" si="184"/>
        <v>0</v>
      </c>
      <c r="AC362" s="9">
        <f t="shared" si="185"/>
        <v>0</v>
      </c>
      <c r="AD362" s="9">
        <f t="shared" si="186"/>
        <v>0</v>
      </c>
      <c r="AE362" s="9">
        <f t="shared" si="187"/>
        <v>0</v>
      </c>
      <c r="AF362" s="9">
        <f t="shared" si="188"/>
        <v>0</v>
      </c>
      <c r="AG362" s="9">
        <f t="shared" si="189"/>
        <v>0</v>
      </c>
      <c r="AH362" s="9">
        <f t="shared" si="190"/>
        <v>0</v>
      </c>
      <c r="AI362" s="11" t="s">
        <v>5</v>
      </c>
      <c r="AJ362" s="9">
        <f t="shared" si="191"/>
        <v>0</v>
      </c>
      <c r="AK362" s="9">
        <f t="shared" si="192"/>
        <v>0</v>
      </c>
      <c r="AL362" s="9">
        <f t="shared" si="193"/>
        <v>0</v>
      </c>
      <c r="AN362" s="9">
        <v>21</v>
      </c>
      <c r="AO362" s="9">
        <f>H362*1</f>
        <v>0</v>
      </c>
      <c r="AP362" s="9">
        <f>H362*(1-1)</f>
        <v>0</v>
      </c>
      <c r="AQ362" s="60" t="s">
        <v>1238</v>
      </c>
      <c r="AV362" s="9">
        <f t="shared" si="194"/>
        <v>0</v>
      </c>
      <c r="AW362" s="9">
        <f t="shared" si="195"/>
        <v>0</v>
      </c>
      <c r="AX362" s="9">
        <f t="shared" si="196"/>
        <v>0</v>
      </c>
      <c r="AY362" s="60" t="s">
        <v>580</v>
      </c>
      <c r="AZ362" s="60" t="s">
        <v>409</v>
      </c>
      <c r="BA362" s="11" t="s">
        <v>1092</v>
      </c>
      <c r="BC362" s="9">
        <f t="shared" si="197"/>
        <v>0</v>
      </c>
      <c r="BD362" s="9">
        <f t="shared" si="198"/>
        <v>0</v>
      </c>
      <c r="BE362" s="9">
        <v>0</v>
      </c>
      <c r="BF362" s="9">
        <f>362</f>
        <v>362</v>
      </c>
      <c r="BH362" s="9">
        <f t="shared" si="199"/>
        <v>0</v>
      </c>
      <c r="BI362" s="9">
        <f t="shared" si="200"/>
        <v>0</v>
      </c>
      <c r="BJ362" s="9">
        <f t="shared" si="201"/>
        <v>0</v>
      </c>
      <c r="BK362" s="9"/>
      <c r="BL362" s="9">
        <v>781</v>
      </c>
      <c r="BW362" s="9">
        <v>21</v>
      </c>
    </row>
    <row r="363" spans="1:75" ht="13.5" customHeight="1">
      <c r="A363" s="16" t="s">
        <v>347</v>
      </c>
      <c r="B363" s="32" t="s">
        <v>5</v>
      </c>
      <c r="C363" s="32" t="s">
        <v>189</v>
      </c>
      <c r="D363" s="69" t="s">
        <v>696</v>
      </c>
      <c r="E363" s="70"/>
      <c r="F363" s="32" t="s">
        <v>1213</v>
      </c>
      <c r="G363" s="9">
        <v>333.574</v>
      </c>
      <c r="H363" s="68">
        <v>0</v>
      </c>
      <c r="I363" s="9">
        <f t="shared" si="182"/>
        <v>0</v>
      </c>
      <c r="K363" s="23"/>
      <c r="Z363" s="9">
        <f t="shared" si="183"/>
        <v>0</v>
      </c>
      <c r="AB363" s="9">
        <f t="shared" si="184"/>
        <v>0</v>
      </c>
      <c r="AC363" s="9">
        <f t="shared" si="185"/>
        <v>0</v>
      </c>
      <c r="AD363" s="9">
        <f t="shared" si="186"/>
        <v>0</v>
      </c>
      <c r="AE363" s="9">
        <f t="shared" si="187"/>
        <v>0</v>
      </c>
      <c r="AF363" s="9">
        <f t="shared" si="188"/>
        <v>0</v>
      </c>
      <c r="AG363" s="9">
        <f t="shared" si="189"/>
        <v>0</v>
      </c>
      <c r="AH363" s="9">
        <f t="shared" si="190"/>
        <v>0</v>
      </c>
      <c r="AI363" s="11" t="s">
        <v>5</v>
      </c>
      <c r="AJ363" s="9">
        <f t="shared" si="191"/>
        <v>0</v>
      </c>
      <c r="AK363" s="9">
        <f t="shared" si="192"/>
        <v>0</v>
      </c>
      <c r="AL363" s="9">
        <f t="shared" si="193"/>
        <v>0</v>
      </c>
      <c r="AN363" s="9">
        <v>21</v>
      </c>
      <c r="AO363" s="9">
        <f>H363*0.999999884698646</f>
        <v>0</v>
      </c>
      <c r="AP363" s="9">
        <f>H363*(1-0.999999884698646)</f>
        <v>0</v>
      </c>
      <c r="AQ363" s="60" t="s">
        <v>1238</v>
      </c>
      <c r="AV363" s="9">
        <f t="shared" si="194"/>
        <v>0</v>
      </c>
      <c r="AW363" s="9">
        <f t="shared" si="195"/>
        <v>0</v>
      </c>
      <c r="AX363" s="9">
        <f t="shared" si="196"/>
        <v>0</v>
      </c>
      <c r="AY363" s="60" t="s">
        <v>580</v>
      </c>
      <c r="AZ363" s="60" t="s">
        <v>409</v>
      </c>
      <c r="BA363" s="11" t="s">
        <v>1092</v>
      </c>
      <c r="BC363" s="9">
        <f t="shared" si="197"/>
        <v>0</v>
      </c>
      <c r="BD363" s="9">
        <f t="shared" si="198"/>
        <v>0</v>
      </c>
      <c r="BE363" s="9">
        <v>0</v>
      </c>
      <c r="BF363" s="9">
        <f>363</f>
        <v>363</v>
      </c>
      <c r="BH363" s="9">
        <f t="shared" si="199"/>
        <v>0</v>
      </c>
      <c r="BI363" s="9">
        <f t="shared" si="200"/>
        <v>0</v>
      </c>
      <c r="BJ363" s="9">
        <f t="shared" si="201"/>
        <v>0</v>
      </c>
      <c r="BK363" s="9"/>
      <c r="BL363" s="9">
        <v>781</v>
      </c>
      <c r="BW363" s="9">
        <v>21</v>
      </c>
    </row>
    <row r="364" spans="1:75" ht="13.5" customHeight="1">
      <c r="A364" s="16" t="s">
        <v>592</v>
      </c>
      <c r="B364" s="32" t="s">
        <v>5</v>
      </c>
      <c r="C364" s="32" t="s">
        <v>987</v>
      </c>
      <c r="D364" s="69" t="s">
        <v>346</v>
      </c>
      <c r="E364" s="70"/>
      <c r="F364" s="32" t="s">
        <v>1213</v>
      </c>
      <c r="G364" s="9">
        <v>333.574</v>
      </c>
      <c r="H364" s="68">
        <v>0</v>
      </c>
      <c r="I364" s="9">
        <f t="shared" si="182"/>
        <v>0</v>
      </c>
      <c r="K364" s="23"/>
      <c r="Z364" s="9">
        <f t="shared" si="183"/>
        <v>0</v>
      </c>
      <c r="AB364" s="9">
        <f t="shared" si="184"/>
        <v>0</v>
      </c>
      <c r="AC364" s="9">
        <f t="shared" si="185"/>
        <v>0</v>
      </c>
      <c r="AD364" s="9">
        <f t="shared" si="186"/>
        <v>0</v>
      </c>
      <c r="AE364" s="9">
        <f t="shared" si="187"/>
        <v>0</v>
      </c>
      <c r="AF364" s="9">
        <f t="shared" si="188"/>
        <v>0</v>
      </c>
      <c r="AG364" s="9">
        <f t="shared" si="189"/>
        <v>0</v>
      </c>
      <c r="AH364" s="9">
        <f t="shared" si="190"/>
        <v>0</v>
      </c>
      <c r="AI364" s="11" t="s">
        <v>5</v>
      </c>
      <c r="AJ364" s="9">
        <f t="shared" si="191"/>
        <v>0</v>
      </c>
      <c r="AK364" s="9">
        <f t="shared" si="192"/>
        <v>0</v>
      </c>
      <c r="AL364" s="9">
        <f t="shared" si="193"/>
        <v>0</v>
      </c>
      <c r="AN364" s="9">
        <v>21</v>
      </c>
      <c r="AO364" s="9">
        <f>H364*0.214537634408602</f>
        <v>0</v>
      </c>
      <c r="AP364" s="9">
        <f>H364*(1-0.214537634408602)</f>
        <v>0</v>
      </c>
      <c r="AQ364" s="60" t="s">
        <v>1238</v>
      </c>
      <c r="AV364" s="9">
        <f t="shared" si="194"/>
        <v>0</v>
      </c>
      <c r="AW364" s="9">
        <f t="shared" si="195"/>
        <v>0</v>
      </c>
      <c r="AX364" s="9">
        <f t="shared" si="196"/>
        <v>0</v>
      </c>
      <c r="AY364" s="60" t="s">
        <v>580</v>
      </c>
      <c r="AZ364" s="60" t="s">
        <v>409</v>
      </c>
      <c r="BA364" s="11" t="s">
        <v>1092</v>
      </c>
      <c r="BC364" s="9">
        <f t="shared" si="197"/>
        <v>0</v>
      </c>
      <c r="BD364" s="9">
        <f t="shared" si="198"/>
        <v>0</v>
      </c>
      <c r="BE364" s="9">
        <v>0</v>
      </c>
      <c r="BF364" s="9">
        <f>364</f>
        <v>364</v>
      </c>
      <c r="BH364" s="9">
        <f t="shared" si="199"/>
        <v>0</v>
      </c>
      <c r="BI364" s="9">
        <f t="shared" si="200"/>
        <v>0</v>
      </c>
      <c r="BJ364" s="9">
        <f t="shared" si="201"/>
        <v>0</v>
      </c>
      <c r="BK364" s="9"/>
      <c r="BL364" s="9">
        <v>781</v>
      </c>
      <c r="BW364" s="9">
        <v>21</v>
      </c>
    </row>
    <row r="365" spans="1:75" ht="13.5" customHeight="1">
      <c r="A365" s="16" t="s">
        <v>30</v>
      </c>
      <c r="B365" s="32" t="s">
        <v>5</v>
      </c>
      <c r="C365" s="32" t="s">
        <v>795</v>
      </c>
      <c r="D365" s="69" t="s">
        <v>994</v>
      </c>
      <c r="E365" s="70"/>
      <c r="F365" s="32" t="s">
        <v>1213</v>
      </c>
      <c r="G365" s="9">
        <v>350.253</v>
      </c>
      <c r="H365" s="68">
        <v>0</v>
      </c>
      <c r="I365" s="9">
        <f t="shared" si="182"/>
        <v>0</v>
      </c>
      <c r="K365" s="23"/>
      <c r="Z365" s="9">
        <f t="shared" si="183"/>
        <v>0</v>
      </c>
      <c r="AB365" s="9">
        <f t="shared" si="184"/>
        <v>0</v>
      </c>
      <c r="AC365" s="9">
        <f t="shared" si="185"/>
        <v>0</v>
      </c>
      <c r="AD365" s="9">
        <f t="shared" si="186"/>
        <v>0</v>
      </c>
      <c r="AE365" s="9">
        <f t="shared" si="187"/>
        <v>0</v>
      </c>
      <c r="AF365" s="9">
        <f t="shared" si="188"/>
        <v>0</v>
      </c>
      <c r="AG365" s="9">
        <f t="shared" si="189"/>
        <v>0</v>
      </c>
      <c r="AH365" s="9">
        <f t="shared" si="190"/>
        <v>0</v>
      </c>
      <c r="AI365" s="11" t="s">
        <v>5</v>
      </c>
      <c r="AJ365" s="9">
        <f t="shared" si="191"/>
        <v>0</v>
      </c>
      <c r="AK365" s="9">
        <f t="shared" si="192"/>
        <v>0</v>
      </c>
      <c r="AL365" s="9">
        <f t="shared" si="193"/>
        <v>0</v>
      </c>
      <c r="AN365" s="9">
        <v>21</v>
      </c>
      <c r="AO365" s="9">
        <f>H365*1</f>
        <v>0</v>
      </c>
      <c r="AP365" s="9">
        <f>H365*(1-1)</f>
        <v>0</v>
      </c>
      <c r="AQ365" s="60" t="s">
        <v>1238</v>
      </c>
      <c r="AV365" s="9">
        <f t="shared" si="194"/>
        <v>0</v>
      </c>
      <c r="AW365" s="9">
        <f t="shared" si="195"/>
        <v>0</v>
      </c>
      <c r="AX365" s="9">
        <f t="shared" si="196"/>
        <v>0</v>
      </c>
      <c r="AY365" s="60" t="s">
        <v>580</v>
      </c>
      <c r="AZ365" s="60" t="s">
        <v>409</v>
      </c>
      <c r="BA365" s="11" t="s">
        <v>1092</v>
      </c>
      <c r="BC365" s="9">
        <f t="shared" si="197"/>
        <v>0</v>
      </c>
      <c r="BD365" s="9">
        <f t="shared" si="198"/>
        <v>0</v>
      </c>
      <c r="BE365" s="9">
        <v>0</v>
      </c>
      <c r="BF365" s="9">
        <f>365</f>
        <v>365</v>
      </c>
      <c r="BH365" s="9">
        <f t="shared" si="199"/>
        <v>0</v>
      </c>
      <c r="BI365" s="9">
        <f t="shared" si="200"/>
        <v>0</v>
      </c>
      <c r="BJ365" s="9">
        <f t="shared" si="201"/>
        <v>0</v>
      </c>
      <c r="BK365" s="9"/>
      <c r="BL365" s="9">
        <v>781</v>
      </c>
      <c r="BW365" s="9">
        <v>21</v>
      </c>
    </row>
    <row r="366" spans="1:75" ht="13.5" customHeight="1">
      <c r="A366" s="16" t="s">
        <v>723</v>
      </c>
      <c r="B366" s="32" t="s">
        <v>5</v>
      </c>
      <c r="C366" s="32" t="s">
        <v>1153</v>
      </c>
      <c r="D366" s="69" t="s">
        <v>543</v>
      </c>
      <c r="E366" s="70"/>
      <c r="F366" s="32" t="s">
        <v>1026</v>
      </c>
      <c r="G366" s="9">
        <v>463.98</v>
      </c>
      <c r="H366" s="68">
        <v>0</v>
      </c>
      <c r="I366" s="9">
        <f t="shared" si="182"/>
        <v>0</v>
      </c>
      <c r="K366" s="23"/>
      <c r="Z366" s="9">
        <f t="shared" si="183"/>
        <v>0</v>
      </c>
      <c r="AB366" s="9">
        <f t="shared" si="184"/>
        <v>0</v>
      </c>
      <c r="AC366" s="9">
        <f t="shared" si="185"/>
        <v>0</v>
      </c>
      <c r="AD366" s="9">
        <f t="shared" si="186"/>
        <v>0</v>
      </c>
      <c r="AE366" s="9">
        <f t="shared" si="187"/>
        <v>0</v>
      </c>
      <c r="AF366" s="9">
        <f t="shared" si="188"/>
        <v>0</v>
      </c>
      <c r="AG366" s="9">
        <f t="shared" si="189"/>
        <v>0</v>
      </c>
      <c r="AH366" s="9">
        <f t="shared" si="190"/>
        <v>0</v>
      </c>
      <c r="AI366" s="11" t="s">
        <v>5</v>
      </c>
      <c r="AJ366" s="9">
        <f t="shared" si="191"/>
        <v>0</v>
      </c>
      <c r="AK366" s="9">
        <f t="shared" si="192"/>
        <v>0</v>
      </c>
      <c r="AL366" s="9">
        <f t="shared" si="193"/>
        <v>0</v>
      </c>
      <c r="AN366" s="9">
        <v>21</v>
      </c>
      <c r="AO366" s="9">
        <f>H366*0</f>
        <v>0</v>
      </c>
      <c r="AP366" s="9">
        <f>H366*(1-0)</f>
        <v>0</v>
      </c>
      <c r="AQ366" s="60" t="s">
        <v>1238</v>
      </c>
      <c r="AV366" s="9">
        <f t="shared" si="194"/>
        <v>0</v>
      </c>
      <c r="AW366" s="9">
        <f t="shared" si="195"/>
        <v>0</v>
      </c>
      <c r="AX366" s="9">
        <f t="shared" si="196"/>
        <v>0</v>
      </c>
      <c r="AY366" s="60" t="s">
        <v>580</v>
      </c>
      <c r="AZ366" s="60" t="s">
        <v>409</v>
      </c>
      <c r="BA366" s="11" t="s">
        <v>1092</v>
      </c>
      <c r="BC366" s="9">
        <f t="shared" si="197"/>
        <v>0</v>
      </c>
      <c r="BD366" s="9">
        <f t="shared" si="198"/>
        <v>0</v>
      </c>
      <c r="BE366" s="9">
        <v>0</v>
      </c>
      <c r="BF366" s="9">
        <f>366</f>
        <v>366</v>
      </c>
      <c r="BH366" s="9">
        <f t="shared" si="199"/>
        <v>0</v>
      </c>
      <c r="BI366" s="9">
        <f t="shared" si="200"/>
        <v>0</v>
      </c>
      <c r="BJ366" s="9">
        <f t="shared" si="201"/>
        <v>0</v>
      </c>
      <c r="BK366" s="9"/>
      <c r="BL366" s="9">
        <v>781</v>
      </c>
      <c r="BW366" s="9">
        <v>21</v>
      </c>
    </row>
    <row r="367" spans="1:11" ht="13.5" customHeight="1">
      <c r="A367" s="47"/>
      <c r="C367" s="28"/>
      <c r="D367" s="116" t="s">
        <v>327</v>
      </c>
      <c r="E367" s="117"/>
      <c r="F367" s="117"/>
      <c r="G367" s="117"/>
      <c r="H367" s="117"/>
      <c r="I367" s="117"/>
      <c r="J367" s="117"/>
      <c r="K367" s="118"/>
    </row>
    <row r="368" spans="1:75" ht="13.5" customHeight="1">
      <c r="A368" s="16" t="s">
        <v>1124</v>
      </c>
      <c r="B368" s="32" t="s">
        <v>5</v>
      </c>
      <c r="C368" s="32" t="s">
        <v>418</v>
      </c>
      <c r="D368" s="69" t="s">
        <v>207</v>
      </c>
      <c r="E368" s="70"/>
      <c r="F368" s="32" t="s">
        <v>1026</v>
      </c>
      <c r="G368" s="9">
        <v>183.502</v>
      </c>
      <c r="H368" s="68">
        <v>0</v>
      </c>
      <c r="I368" s="9">
        <f>G368*H368</f>
        <v>0</v>
      </c>
      <c r="K368" s="23"/>
      <c r="Z368" s="9">
        <f>IF(AQ368="5",BJ368,0)</f>
        <v>0</v>
      </c>
      <c r="AB368" s="9">
        <f>IF(AQ368="1",BH368,0)</f>
        <v>0</v>
      </c>
      <c r="AC368" s="9">
        <f>IF(AQ368="1",BI368,0)</f>
        <v>0</v>
      </c>
      <c r="AD368" s="9">
        <f>IF(AQ368="7",BH368,0)</f>
        <v>0</v>
      </c>
      <c r="AE368" s="9">
        <f>IF(AQ368="7",BI368,0)</f>
        <v>0</v>
      </c>
      <c r="AF368" s="9">
        <f>IF(AQ368="2",BH368,0)</f>
        <v>0</v>
      </c>
      <c r="AG368" s="9">
        <f>IF(AQ368="2",BI368,0)</f>
        <v>0</v>
      </c>
      <c r="AH368" s="9">
        <f>IF(AQ368="0",BJ368,0)</f>
        <v>0</v>
      </c>
      <c r="AI368" s="11" t="s">
        <v>5</v>
      </c>
      <c r="AJ368" s="9">
        <f>IF(AN368=0,I368,0)</f>
        <v>0</v>
      </c>
      <c r="AK368" s="9">
        <f>IF(AN368=12,I368,0)</f>
        <v>0</v>
      </c>
      <c r="AL368" s="9">
        <f>IF(AN368=21,I368,0)</f>
        <v>0</v>
      </c>
      <c r="AN368" s="9">
        <v>21</v>
      </c>
      <c r="AO368" s="9">
        <f>H368*1</f>
        <v>0</v>
      </c>
      <c r="AP368" s="9">
        <f>H368*(1-1)</f>
        <v>0</v>
      </c>
      <c r="AQ368" s="60" t="s">
        <v>1238</v>
      </c>
      <c r="AV368" s="9">
        <f>AW368+AX368</f>
        <v>0</v>
      </c>
      <c r="AW368" s="9">
        <f>G368*AO368</f>
        <v>0</v>
      </c>
      <c r="AX368" s="9">
        <f>G368*AP368</f>
        <v>0</v>
      </c>
      <c r="AY368" s="60" t="s">
        <v>580</v>
      </c>
      <c r="AZ368" s="60" t="s">
        <v>409</v>
      </c>
      <c r="BA368" s="11" t="s">
        <v>1092</v>
      </c>
      <c r="BC368" s="9">
        <f>AW368+AX368</f>
        <v>0</v>
      </c>
      <c r="BD368" s="9">
        <f>H368/(100-BE368)*100</f>
        <v>0</v>
      </c>
      <c r="BE368" s="9">
        <v>0</v>
      </c>
      <c r="BF368" s="9">
        <f>368</f>
        <v>368</v>
      </c>
      <c r="BH368" s="9">
        <f>G368*AO368</f>
        <v>0</v>
      </c>
      <c r="BI368" s="9">
        <f>G368*AP368</f>
        <v>0</v>
      </c>
      <c r="BJ368" s="9">
        <f>G368*H368</f>
        <v>0</v>
      </c>
      <c r="BK368" s="9"/>
      <c r="BL368" s="9">
        <v>781</v>
      </c>
      <c r="BW368" s="9">
        <v>21</v>
      </c>
    </row>
    <row r="369" spans="1:75" ht="13.5" customHeight="1">
      <c r="A369" s="16" t="s">
        <v>649</v>
      </c>
      <c r="B369" s="32" t="s">
        <v>5</v>
      </c>
      <c r="C369" s="32" t="s">
        <v>1088</v>
      </c>
      <c r="D369" s="69" t="s">
        <v>432</v>
      </c>
      <c r="E369" s="70"/>
      <c r="F369" s="32" t="s">
        <v>1026</v>
      </c>
      <c r="G369" s="9">
        <v>188.1</v>
      </c>
      <c r="H369" s="68">
        <v>0</v>
      </c>
      <c r="I369" s="9">
        <f>G369*H369</f>
        <v>0</v>
      </c>
      <c r="K369" s="23"/>
      <c r="Z369" s="9">
        <f>IF(AQ369="5",BJ369,0)</f>
        <v>0</v>
      </c>
      <c r="AB369" s="9">
        <f>IF(AQ369="1",BH369,0)</f>
        <v>0</v>
      </c>
      <c r="AC369" s="9">
        <f>IF(AQ369="1",BI369,0)</f>
        <v>0</v>
      </c>
      <c r="AD369" s="9">
        <f>IF(AQ369="7",BH369,0)</f>
        <v>0</v>
      </c>
      <c r="AE369" s="9">
        <f>IF(AQ369="7",BI369,0)</f>
        <v>0</v>
      </c>
      <c r="AF369" s="9">
        <f>IF(AQ369="2",BH369,0)</f>
        <v>0</v>
      </c>
      <c r="AG369" s="9">
        <f>IF(AQ369="2",BI369,0)</f>
        <v>0</v>
      </c>
      <c r="AH369" s="9">
        <f>IF(AQ369="0",BJ369,0)</f>
        <v>0</v>
      </c>
      <c r="AI369" s="11" t="s">
        <v>5</v>
      </c>
      <c r="AJ369" s="9">
        <f>IF(AN369=0,I369,0)</f>
        <v>0</v>
      </c>
      <c r="AK369" s="9">
        <f>IF(AN369=12,I369,0)</f>
        <v>0</v>
      </c>
      <c r="AL369" s="9">
        <f>IF(AN369=21,I369,0)</f>
        <v>0</v>
      </c>
      <c r="AN369" s="9">
        <v>21</v>
      </c>
      <c r="AO369" s="9">
        <f>H369*1</f>
        <v>0</v>
      </c>
      <c r="AP369" s="9">
        <f>H369*(1-1)</f>
        <v>0</v>
      </c>
      <c r="AQ369" s="60" t="s">
        <v>1238</v>
      </c>
      <c r="AV369" s="9">
        <f>AW369+AX369</f>
        <v>0</v>
      </c>
      <c r="AW369" s="9">
        <f>G369*AO369</f>
        <v>0</v>
      </c>
      <c r="AX369" s="9">
        <f>G369*AP369</f>
        <v>0</v>
      </c>
      <c r="AY369" s="60" t="s">
        <v>580</v>
      </c>
      <c r="AZ369" s="60" t="s">
        <v>409</v>
      </c>
      <c r="BA369" s="11" t="s">
        <v>1092</v>
      </c>
      <c r="BC369" s="9">
        <f>AW369+AX369</f>
        <v>0</v>
      </c>
      <c r="BD369" s="9">
        <f>H369/(100-BE369)*100</f>
        <v>0</v>
      </c>
      <c r="BE369" s="9">
        <v>0</v>
      </c>
      <c r="BF369" s="9">
        <f>369</f>
        <v>369</v>
      </c>
      <c r="BH369" s="9">
        <f>G369*AO369</f>
        <v>0</v>
      </c>
      <c r="BI369" s="9">
        <f>G369*AP369</f>
        <v>0</v>
      </c>
      <c r="BJ369" s="9">
        <f>G369*H369</f>
        <v>0</v>
      </c>
      <c r="BK369" s="9"/>
      <c r="BL369" s="9">
        <v>781</v>
      </c>
      <c r="BW369" s="9">
        <v>21</v>
      </c>
    </row>
    <row r="370" spans="1:75" ht="13.5" customHeight="1">
      <c r="A370" s="16" t="s">
        <v>1109</v>
      </c>
      <c r="B370" s="32" t="s">
        <v>5</v>
      </c>
      <c r="C370" s="32" t="s">
        <v>843</v>
      </c>
      <c r="D370" s="69" t="s">
        <v>349</v>
      </c>
      <c r="E370" s="70"/>
      <c r="F370" s="32" t="s">
        <v>1026</v>
      </c>
      <c r="G370" s="9">
        <v>136.796</v>
      </c>
      <c r="H370" s="68">
        <v>0</v>
      </c>
      <c r="I370" s="9">
        <f>G370*H370</f>
        <v>0</v>
      </c>
      <c r="K370" s="23"/>
      <c r="Z370" s="9">
        <f>IF(AQ370="5",BJ370,0)</f>
        <v>0</v>
      </c>
      <c r="AB370" s="9">
        <f>IF(AQ370="1",BH370,0)</f>
        <v>0</v>
      </c>
      <c r="AC370" s="9">
        <f>IF(AQ370="1",BI370,0)</f>
        <v>0</v>
      </c>
      <c r="AD370" s="9">
        <f>IF(AQ370="7",BH370,0)</f>
        <v>0</v>
      </c>
      <c r="AE370" s="9">
        <f>IF(AQ370="7",BI370,0)</f>
        <v>0</v>
      </c>
      <c r="AF370" s="9">
        <f>IF(AQ370="2",BH370,0)</f>
        <v>0</v>
      </c>
      <c r="AG370" s="9">
        <f>IF(AQ370="2",BI370,0)</f>
        <v>0</v>
      </c>
      <c r="AH370" s="9">
        <f>IF(AQ370="0",BJ370,0)</f>
        <v>0</v>
      </c>
      <c r="AI370" s="11" t="s">
        <v>5</v>
      </c>
      <c r="AJ370" s="9">
        <f>IF(AN370=0,I370,0)</f>
        <v>0</v>
      </c>
      <c r="AK370" s="9">
        <f>IF(AN370=12,I370,0)</f>
        <v>0</v>
      </c>
      <c r="AL370" s="9">
        <f>IF(AN370=21,I370,0)</f>
        <v>0</v>
      </c>
      <c r="AN370" s="9">
        <v>21</v>
      </c>
      <c r="AO370" s="9">
        <f>H370*1</f>
        <v>0</v>
      </c>
      <c r="AP370" s="9">
        <f>H370*(1-1)</f>
        <v>0</v>
      </c>
      <c r="AQ370" s="60" t="s">
        <v>1238</v>
      </c>
      <c r="AV370" s="9">
        <f>AW370+AX370</f>
        <v>0</v>
      </c>
      <c r="AW370" s="9">
        <f>G370*AO370</f>
        <v>0</v>
      </c>
      <c r="AX370" s="9">
        <f>G370*AP370</f>
        <v>0</v>
      </c>
      <c r="AY370" s="60" t="s">
        <v>580</v>
      </c>
      <c r="AZ370" s="60" t="s">
        <v>409</v>
      </c>
      <c r="BA370" s="11" t="s">
        <v>1092</v>
      </c>
      <c r="BC370" s="9">
        <f>AW370+AX370</f>
        <v>0</v>
      </c>
      <c r="BD370" s="9">
        <f>H370/(100-BE370)*100</f>
        <v>0</v>
      </c>
      <c r="BE370" s="9">
        <v>0</v>
      </c>
      <c r="BF370" s="9">
        <f>370</f>
        <v>370</v>
      </c>
      <c r="BH370" s="9">
        <f>G370*AO370</f>
        <v>0</v>
      </c>
      <c r="BI370" s="9">
        <f>G370*AP370</f>
        <v>0</v>
      </c>
      <c r="BJ370" s="9">
        <f>G370*H370</f>
        <v>0</v>
      </c>
      <c r="BK370" s="9"/>
      <c r="BL370" s="9">
        <v>781</v>
      </c>
      <c r="BW370" s="9">
        <v>21</v>
      </c>
    </row>
    <row r="371" spans="1:75" ht="13.5" customHeight="1">
      <c r="A371" s="16" t="s">
        <v>1311</v>
      </c>
      <c r="B371" s="32" t="s">
        <v>5</v>
      </c>
      <c r="C371" s="32" t="s">
        <v>64</v>
      </c>
      <c r="D371" s="69" t="s">
        <v>65</v>
      </c>
      <c r="E371" s="70"/>
      <c r="F371" s="32" t="s">
        <v>594</v>
      </c>
      <c r="G371" s="9">
        <v>9.03</v>
      </c>
      <c r="H371" s="68">
        <v>0</v>
      </c>
      <c r="I371" s="9">
        <f>G371*H371</f>
        <v>0</v>
      </c>
      <c r="K371" s="23"/>
      <c r="Z371" s="9">
        <f>IF(AQ371="5",BJ371,0)</f>
        <v>0</v>
      </c>
      <c r="AB371" s="9">
        <f>IF(AQ371="1",BH371,0)</f>
        <v>0</v>
      </c>
      <c r="AC371" s="9">
        <f>IF(AQ371="1",BI371,0)</f>
        <v>0</v>
      </c>
      <c r="AD371" s="9">
        <f>IF(AQ371="7",BH371,0)</f>
        <v>0</v>
      </c>
      <c r="AE371" s="9">
        <f>IF(AQ371="7",BI371,0)</f>
        <v>0</v>
      </c>
      <c r="AF371" s="9">
        <f>IF(AQ371="2",BH371,0)</f>
        <v>0</v>
      </c>
      <c r="AG371" s="9">
        <f>IF(AQ371="2",BI371,0)</f>
        <v>0</v>
      </c>
      <c r="AH371" s="9">
        <f>IF(AQ371="0",BJ371,0)</f>
        <v>0</v>
      </c>
      <c r="AI371" s="11" t="s">
        <v>5</v>
      </c>
      <c r="AJ371" s="9">
        <f>IF(AN371=0,I371,0)</f>
        <v>0</v>
      </c>
      <c r="AK371" s="9">
        <f>IF(AN371=12,I371,0)</f>
        <v>0</v>
      </c>
      <c r="AL371" s="9">
        <f>IF(AN371=21,I371,0)</f>
        <v>0</v>
      </c>
      <c r="AN371" s="9">
        <v>21</v>
      </c>
      <c r="AO371" s="9">
        <f>H371*0</f>
        <v>0</v>
      </c>
      <c r="AP371" s="9">
        <f>H371*(1-0)</f>
        <v>0</v>
      </c>
      <c r="AQ371" s="60" t="s">
        <v>659</v>
      </c>
      <c r="AV371" s="9">
        <f>AW371+AX371</f>
        <v>0</v>
      </c>
      <c r="AW371" s="9">
        <f>G371*AO371</f>
        <v>0</v>
      </c>
      <c r="AX371" s="9">
        <f>G371*AP371</f>
        <v>0</v>
      </c>
      <c r="AY371" s="60" t="s">
        <v>580</v>
      </c>
      <c r="AZ371" s="60" t="s">
        <v>409</v>
      </c>
      <c r="BA371" s="11" t="s">
        <v>1092</v>
      </c>
      <c r="BC371" s="9">
        <f>AW371+AX371</f>
        <v>0</v>
      </c>
      <c r="BD371" s="9">
        <f>H371/(100-BE371)*100</f>
        <v>0</v>
      </c>
      <c r="BE371" s="9">
        <v>0</v>
      </c>
      <c r="BF371" s="9">
        <f>371</f>
        <v>371</v>
      </c>
      <c r="BH371" s="9">
        <f>G371*AO371</f>
        <v>0</v>
      </c>
      <c r="BI371" s="9">
        <f>G371*AP371</f>
        <v>0</v>
      </c>
      <c r="BJ371" s="9">
        <f>G371*H371</f>
        <v>0</v>
      </c>
      <c r="BK371" s="9"/>
      <c r="BL371" s="9">
        <v>781</v>
      </c>
      <c r="BW371" s="9">
        <v>21</v>
      </c>
    </row>
    <row r="372" spans="1:47" ht="15" customHeight="1">
      <c r="A372" s="39" t="s">
        <v>852</v>
      </c>
      <c r="B372" s="48" t="s">
        <v>5</v>
      </c>
      <c r="C372" s="48" t="s">
        <v>683</v>
      </c>
      <c r="D372" s="122" t="s">
        <v>31</v>
      </c>
      <c r="E372" s="123"/>
      <c r="F372" s="51" t="s">
        <v>1142</v>
      </c>
      <c r="G372" s="51" t="s">
        <v>1142</v>
      </c>
      <c r="H372" s="51" t="s">
        <v>1142</v>
      </c>
      <c r="I372" s="55">
        <f>SUM(I373:I376)</f>
        <v>0</v>
      </c>
      <c r="K372" s="23"/>
      <c r="AI372" s="11" t="s">
        <v>5</v>
      </c>
      <c r="AS372" s="55">
        <f>SUM(AJ373:AJ376)</f>
        <v>0</v>
      </c>
      <c r="AT372" s="55">
        <f>SUM(AK373:AK376)</f>
        <v>0</v>
      </c>
      <c r="AU372" s="55">
        <f>SUM(AL373:AL376)</f>
        <v>0</v>
      </c>
    </row>
    <row r="373" spans="1:75" ht="13.5" customHeight="1">
      <c r="A373" s="16" t="s">
        <v>386</v>
      </c>
      <c r="B373" s="32" t="s">
        <v>5</v>
      </c>
      <c r="C373" s="32" t="s">
        <v>96</v>
      </c>
      <c r="D373" s="69" t="s">
        <v>289</v>
      </c>
      <c r="E373" s="70"/>
      <c r="F373" s="32" t="s">
        <v>1213</v>
      </c>
      <c r="G373" s="9">
        <v>90.108</v>
      </c>
      <c r="H373" s="68">
        <v>0</v>
      </c>
      <c r="I373" s="9">
        <f>G373*H373</f>
        <v>0</v>
      </c>
      <c r="K373" s="23"/>
      <c r="Z373" s="9">
        <f>IF(AQ373="5",BJ373,0)</f>
        <v>0</v>
      </c>
      <c r="AB373" s="9">
        <f>IF(AQ373="1",BH373,0)</f>
        <v>0</v>
      </c>
      <c r="AC373" s="9">
        <f>IF(AQ373="1",BI373,0)</f>
        <v>0</v>
      </c>
      <c r="AD373" s="9">
        <f>IF(AQ373="7",BH373,0)</f>
        <v>0</v>
      </c>
      <c r="AE373" s="9">
        <f>IF(AQ373="7",BI373,0)</f>
        <v>0</v>
      </c>
      <c r="AF373" s="9">
        <f>IF(AQ373="2",BH373,0)</f>
        <v>0</v>
      </c>
      <c r="AG373" s="9">
        <f>IF(AQ373="2",BI373,0)</f>
        <v>0</v>
      </c>
      <c r="AH373" s="9">
        <f>IF(AQ373="0",BJ373,0)</f>
        <v>0</v>
      </c>
      <c r="AI373" s="11" t="s">
        <v>5</v>
      </c>
      <c r="AJ373" s="9">
        <f>IF(AN373=0,I373,0)</f>
        <v>0</v>
      </c>
      <c r="AK373" s="9">
        <f>IF(AN373=12,I373,0)</f>
        <v>0</v>
      </c>
      <c r="AL373" s="9">
        <f>IF(AN373=21,I373,0)</f>
        <v>0</v>
      </c>
      <c r="AN373" s="9">
        <v>21</v>
      </c>
      <c r="AO373" s="9">
        <f>H373*0.409677126031468</f>
        <v>0</v>
      </c>
      <c r="AP373" s="9">
        <f>H373*(1-0.409677126031468)</f>
        <v>0</v>
      </c>
      <c r="AQ373" s="60" t="s">
        <v>1238</v>
      </c>
      <c r="AV373" s="9">
        <f>AW373+AX373</f>
        <v>0</v>
      </c>
      <c r="AW373" s="9">
        <f>G373*AO373</f>
        <v>0</v>
      </c>
      <c r="AX373" s="9">
        <f>G373*AP373</f>
        <v>0</v>
      </c>
      <c r="AY373" s="60" t="s">
        <v>1094</v>
      </c>
      <c r="AZ373" s="60" t="s">
        <v>409</v>
      </c>
      <c r="BA373" s="11" t="s">
        <v>1092</v>
      </c>
      <c r="BC373" s="9">
        <f>AW373+AX373</f>
        <v>0</v>
      </c>
      <c r="BD373" s="9">
        <f>H373/(100-BE373)*100</f>
        <v>0</v>
      </c>
      <c r="BE373" s="9">
        <v>0</v>
      </c>
      <c r="BF373" s="9">
        <f>373</f>
        <v>373</v>
      </c>
      <c r="BH373" s="9">
        <f>G373*AO373</f>
        <v>0</v>
      </c>
      <c r="BI373" s="9">
        <f>G373*AP373</f>
        <v>0</v>
      </c>
      <c r="BJ373" s="9">
        <f>G373*H373</f>
        <v>0</v>
      </c>
      <c r="BK373" s="9"/>
      <c r="BL373" s="9">
        <v>784</v>
      </c>
      <c r="BW373" s="9">
        <v>21</v>
      </c>
    </row>
    <row r="374" spans="1:11" ht="13.5" customHeight="1">
      <c r="A374" s="47"/>
      <c r="C374" s="28"/>
      <c r="D374" s="116" t="s">
        <v>599</v>
      </c>
      <c r="E374" s="117"/>
      <c r="F374" s="117"/>
      <c r="G374" s="117"/>
      <c r="H374" s="117"/>
      <c r="I374" s="117"/>
      <c r="J374" s="117"/>
      <c r="K374" s="118"/>
    </row>
    <row r="375" spans="1:75" ht="13.5" customHeight="1">
      <c r="A375" s="16" t="s">
        <v>827</v>
      </c>
      <c r="B375" s="32" t="s">
        <v>5</v>
      </c>
      <c r="C375" s="32" t="s">
        <v>1386</v>
      </c>
      <c r="D375" s="69" t="s">
        <v>1271</v>
      </c>
      <c r="E375" s="70"/>
      <c r="F375" s="32" t="s">
        <v>1213</v>
      </c>
      <c r="G375" s="9">
        <v>25.94</v>
      </c>
      <c r="H375" s="68">
        <v>0</v>
      </c>
      <c r="I375" s="9">
        <f>G375*H375</f>
        <v>0</v>
      </c>
      <c r="K375" s="23"/>
      <c r="Z375" s="9">
        <f>IF(AQ375="5",BJ375,0)</f>
        <v>0</v>
      </c>
      <c r="AB375" s="9">
        <f>IF(AQ375="1",BH375,0)</f>
        <v>0</v>
      </c>
      <c r="AC375" s="9">
        <f>IF(AQ375="1",BI375,0)</f>
        <v>0</v>
      </c>
      <c r="AD375" s="9">
        <f>IF(AQ375="7",BH375,0)</f>
        <v>0</v>
      </c>
      <c r="AE375" s="9">
        <f>IF(AQ375="7",BI375,0)</f>
        <v>0</v>
      </c>
      <c r="AF375" s="9">
        <f>IF(AQ375="2",BH375,0)</f>
        <v>0</v>
      </c>
      <c r="AG375" s="9">
        <f>IF(AQ375="2",BI375,0)</f>
        <v>0</v>
      </c>
      <c r="AH375" s="9">
        <f>IF(AQ375="0",BJ375,0)</f>
        <v>0</v>
      </c>
      <c r="AI375" s="11" t="s">
        <v>5</v>
      </c>
      <c r="AJ375" s="9">
        <f>IF(AN375=0,I375,0)</f>
        <v>0</v>
      </c>
      <c r="AK375" s="9">
        <f>IF(AN375=12,I375,0)</f>
        <v>0</v>
      </c>
      <c r="AL375" s="9">
        <f>IF(AN375=21,I375,0)</f>
        <v>0</v>
      </c>
      <c r="AN375" s="9">
        <v>21</v>
      </c>
      <c r="AO375" s="9">
        <f>H375*0.620842105263158</f>
        <v>0</v>
      </c>
      <c r="AP375" s="9">
        <f>H375*(1-0.620842105263158)</f>
        <v>0</v>
      </c>
      <c r="AQ375" s="60" t="s">
        <v>1238</v>
      </c>
      <c r="AV375" s="9">
        <f>AW375+AX375</f>
        <v>0</v>
      </c>
      <c r="AW375" s="9">
        <f>G375*AO375</f>
        <v>0</v>
      </c>
      <c r="AX375" s="9">
        <f>G375*AP375</f>
        <v>0</v>
      </c>
      <c r="AY375" s="60" t="s">
        <v>1094</v>
      </c>
      <c r="AZ375" s="60" t="s">
        <v>409</v>
      </c>
      <c r="BA375" s="11" t="s">
        <v>1092</v>
      </c>
      <c r="BC375" s="9">
        <f>AW375+AX375</f>
        <v>0</v>
      </c>
      <c r="BD375" s="9">
        <f>H375/(100-BE375)*100</f>
        <v>0</v>
      </c>
      <c r="BE375" s="9">
        <v>0</v>
      </c>
      <c r="BF375" s="9">
        <f>375</f>
        <v>375</v>
      </c>
      <c r="BH375" s="9">
        <f>G375*AO375</f>
        <v>0</v>
      </c>
      <c r="BI375" s="9">
        <f>G375*AP375</f>
        <v>0</v>
      </c>
      <c r="BJ375" s="9">
        <f>G375*H375</f>
        <v>0</v>
      </c>
      <c r="BK375" s="9"/>
      <c r="BL375" s="9">
        <v>784</v>
      </c>
      <c r="BW375" s="9">
        <v>21</v>
      </c>
    </row>
    <row r="376" spans="1:75" ht="13.5" customHeight="1">
      <c r="A376" s="16" t="s">
        <v>185</v>
      </c>
      <c r="B376" s="32" t="s">
        <v>5</v>
      </c>
      <c r="C376" s="32" t="s">
        <v>373</v>
      </c>
      <c r="D376" s="69" t="s">
        <v>1126</v>
      </c>
      <c r="E376" s="70"/>
      <c r="F376" s="32" t="s">
        <v>1213</v>
      </c>
      <c r="G376" s="9">
        <v>293.872</v>
      </c>
      <c r="H376" s="68">
        <v>0</v>
      </c>
      <c r="I376" s="9">
        <f>G376*H376</f>
        <v>0</v>
      </c>
      <c r="K376" s="23"/>
      <c r="Z376" s="9">
        <f>IF(AQ376="5",BJ376,0)</f>
        <v>0</v>
      </c>
      <c r="AB376" s="9">
        <f>IF(AQ376="1",BH376,0)</f>
        <v>0</v>
      </c>
      <c r="AC376" s="9">
        <f>IF(AQ376="1",BI376,0)</f>
        <v>0</v>
      </c>
      <c r="AD376" s="9">
        <f>IF(AQ376="7",BH376,0)</f>
        <v>0</v>
      </c>
      <c r="AE376" s="9">
        <f>IF(AQ376="7",BI376,0)</f>
        <v>0</v>
      </c>
      <c r="AF376" s="9">
        <f>IF(AQ376="2",BH376,0)</f>
        <v>0</v>
      </c>
      <c r="AG376" s="9">
        <f>IF(AQ376="2",BI376,0)</f>
        <v>0</v>
      </c>
      <c r="AH376" s="9">
        <f>IF(AQ376="0",BJ376,0)</f>
        <v>0</v>
      </c>
      <c r="AI376" s="11" t="s">
        <v>5</v>
      </c>
      <c r="AJ376" s="9">
        <f>IF(AN376=0,I376,0)</f>
        <v>0</v>
      </c>
      <c r="AK376" s="9">
        <f>IF(AN376=12,I376,0)</f>
        <v>0</v>
      </c>
      <c r="AL376" s="9">
        <f>IF(AN376=21,I376,0)</f>
        <v>0</v>
      </c>
      <c r="AN376" s="9">
        <v>21</v>
      </c>
      <c r="AO376" s="9">
        <f>H376*0.148740740740741</f>
        <v>0</v>
      </c>
      <c r="AP376" s="9">
        <f>H376*(1-0.148740740740741)</f>
        <v>0</v>
      </c>
      <c r="AQ376" s="60" t="s">
        <v>1238</v>
      </c>
      <c r="AV376" s="9">
        <f>AW376+AX376</f>
        <v>0</v>
      </c>
      <c r="AW376" s="9">
        <f>G376*AO376</f>
        <v>0</v>
      </c>
      <c r="AX376" s="9">
        <f>G376*AP376</f>
        <v>0</v>
      </c>
      <c r="AY376" s="60" t="s">
        <v>1094</v>
      </c>
      <c r="AZ376" s="60" t="s">
        <v>409</v>
      </c>
      <c r="BA376" s="11" t="s">
        <v>1092</v>
      </c>
      <c r="BC376" s="9">
        <f>AW376+AX376</f>
        <v>0</v>
      </c>
      <c r="BD376" s="9">
        <f>H376/(100-BE376)*100</f>
        <v>0</v>
      </c>
      <c r="BE376" s="9">
        <v>0</v>
      </c>
      <c r="BF376" s="9">
        <f>376</f>
        <v>376</v>
      </c>
      <c r="BH376" s="9">
        <f>G376*AO376</f>
        <v>0</v>
      </c>
      <c r="BI376" s="9">
        <f>G376*AP376</f>
        <v>0</v>
      </c>
      <c r="BJ376" s="9">
        <f>G376*H376</f>
        <v>0</v>
      </c>
      <c r="BK376" s="9"/>
      <c r="BL376" s="9">
        <v>784</v>
      </c>
      <c r="BW376" s="9">
        <v>21</v>
      </c>
    </row>
    <row r="377" spans="1:11" ht="13.5" customHeight="1">
      <c r="A377" s="47"/>
      <c r="C377" s="28"/>
      <c r="D377" s="116" t="s">
        <v>1040</v>
      </c>
      <c r="E377" s="117"/>
      <c r="F377" s="117"/>
      <c r="G377" s="117"/>
      <c r="H377" s="117"/>
      <c r="I377" s="117"/>
      <c r="J377" s="117"/>
      <c r="K377" s="118"/>
    </row>
    <row r="378" spans="1:47" ht="15" customHeight="1">
      <c r="A378" s="39" t="s">
        <v>852</v>
      </c>
      <c r="B378" s="48" t="s">
        <v>5</v>
      </c>
      <c r="C378" s="48" t="s">
        <v>187</v>
      </c>
      <c r="D378" s="122" t="s">
        <v>941</v>
      </c>
      <c r="E378" s="123"/>
      <c r="F378" s="51" t="s">
        <v>1142</v>
      </c>
      <c r="G378" s="51" t="s">
        <v>1142</v>
      </c>
      <c r="H378" s="51" t="s">
        <v>1142</v>
      </c>
      <c r="I378" s="55">
        <f>SUM(I379:I452)</f>
        <v>0</v>
      </c>
      <c r="K378" s="23"/>
      <c r="AI378" s="11" t="s">
        <v>5</v>
      </c>
      <c r="AS378" s="55">
        <f>SUM(AJ379:AJ452)</f>
        <v>0</v>
      </c>
      <c r="AT378" s="55">
        <f>SUM(AK379:AK452)</f>
        <v>0</v>
      </c>
      <c r="AU378" s="55">
        <f>SUM(AL379:AL452)</f>
        <v>0</v>
      </c>
    </row>
    <row r="379" spans="1:75" ht="13.5" customHeight="1">
      <c r="A379" s="16" t="s">
        <v>338</v>
      </c>
      <c r="B379" s="32" t="s">
        <v>5</v>
      </c>
      <c r="C379" s="32" t="s">
        <v>276</v>
      </c>
      <c r="D379" s="69" t="s">
        <v>429</v>
      </c>
      <c r="E379" s="70"/>
      <c r="F379" s="32" t="s">
        <v>317</v>
      </c>
      <c r="G379" s="9">
        <v>21</v>
      </c>
      <c r="H379" s="68">
        <v>0</v>
      </c>
      <c r="I379" s="9">
        <f aca="true" t="shared" si="202" ref="I379:I410">G379*H379</f>
        <v>0</v>
      </c>
      <c r="K379" s="23"/>
      <c r="Z379" s="9">
        <f aca="true" t="shared" si="203" ref="Z379:Z410">IF(AQ379="5",BJ379,0)</f>
        <v>0</v>
      </c>
      <c r="AB379" s="9">
        <f aca="true" t="shared" si="204" ref="AB379:AB410">IF(AQ379="1",BH379,0)</f>
        <v>0</v>
      </c>
      <c r="AC379" s="9">
        <f aca="true" t="shared" si="205" ref="AC379:AC410">IF(AQ379="1",BI379,0)</f>
        <v>0</v>
      </c>
      <c r="AD379" s="9">
        <f aca="true" t="shared" si="206" ref="AD379:AD410">IF(AQ379="7",BH379,0)</f>
        <v>0</v>
      </c>
      <c r="AE379" s="9">
        <f aca="true" t="shared" si="207" ref="AE379:AE410">IF(AQ379="7",BI379,0)</f>
        <v>0</v>
      </c>
      <c r="AF379" s="9">
        <f aca="true" t="shared" si="208" ref="AF379:AF410">IF(AQ379="2",BH379,0)</f>
        <v>0</v>
      </c>
      <c r="AG379" s="9">
        <f aca="true" t="shared" si="209" ref="AG379:AG410">IF(AQ379="2",BI379,0)</f>
        <v>0</v>
      </c>
      <c r="AH379" s="9">
        <f aca="true" t="shared" si="210" ref="AH379:AH410">IF(AQ379="0",BJ379,0)</f>
        <v>0</v>
      </c>
      <c r="AI379" s="11" t="s">
        <v>5</v>
      </c>
      <c r="AJ379" s="9">
        <f aca="true" t="shared" si="211" ref="AJ379:AJ410">IF(AN379=0,I379,0)</f>
        <v>0</v>
      </c>
      <c r="AK379" s="9">
        <f aca="true" t="shared" si="212" ref="AK379:AK410">IF(AN379=12,I379,0)</f>
        <v>0</v>
      </c>
      <c r="AL379" s="9">
        <f aca="true" t="shared" si="213" ref="AL379:AL410">IF(AN379=21,I379,0)</f>
        <v>0</v>
      </c>
      <c r="AN379" s="9">
        <v>21</v>
      </c>
      <c r="AO379" s="9">
        <f aca="true" t="shared" si="214" ref="AO379:AO385">H379*0</f>
        <v>0</v>
      </c>
      <c r="AP379" s="9">
        <f aca="true" t="shared" si="215" ref="AP379:AP385">H379*(1-0)</f>
        <v>0</v>
      </c>
      <c r="AQ379" s="60" t="s">
        <v>1231</v>
      </c>
      <c r="AV379" s="9">
        <f aca="true" t="shared" si="216" ref="AV379:AV410">AW379+AX379</f>
        <v>0</v>
      </c>
      <c r="AW379" s="9">
        <f aca="true" t="shared" si="217" ref="AW379:AW410">G379*AO379</f>
        <v>0</v>
      </c>
      <c r="AX379" s="9">
        <f aca="true" t="shared" si="218" ref="AX379:AX410">G379*AP379</f>
        <v>0</v>
      </c>
      <c r="AY379" s="60" t="s">
        <v>1294</v>
      </c>
      <c r="AZ379" s="60" t="s">
        <v>1348</v>
      </c>
      <c r="BA379" s="11" t="s">
        <v>1092</v>
      </c>
      <c r="BC379" s="9">
        <f aca="true" t="shared" si="219" ref="BC379:BC410">AW379+AX379</f>
        <v>0</v>
      </c>
      <c r="BD379" s="9">
        <f aca="true" t="shared" si="220" ref="BD379:BD410">H379/(100-BE379)*100</f>
        <v>0</v>
      </c>
      <c r="BE379" s="9">
        <v>0</v>
      </c>
      <c r="BF379" s="9">
        <f>379</f>
        <v>379</v>
      </c>
      <c r="BH379" s="9">
        <f aca="true" t="shared" si="221" ref="BH379:BH410">G379*AO379</f>
        <v>0</v>
      </c>
      <c r="BI379" s="9">
        <f aca="true" t="shared" si="222" ref="BI379:BI410">G379*AP379</f>
        <v>0</v>
      </c>
      <c r="BJ379" s="9">
        <f aca="true" t="shared" si="223" ref="BJ379:BJ410">G379*H379</f>
        <v>0</v>
      </c>
      <c r="BK379" s="9"/>
      <c r="BL379" s="9"/>
      <c r="BW379" s="9">
        <v>21</v>
      </c>
    </row>
    <row r="380" spans="1:75" ht="13.5" customHeight="1">
      <c r="A380" s="16" t="s">
        <v>1427</v>
      </c>
      <c r="B380" s="32" t="s">
        <v>5</v>
      </c>
      <c r="C380" s="32" t="s">
        <v>1255</v>
      </c>
      <c r="D380" s="69" t="s">
        <v>427</v>
      </c>
      <c r="E380" s="70"/>
      <c r="F380" s="32" t="s">
        <v>317</v>
      </c>
      <c r="G380" s="9">
        <v>14</v>
      </c>
      <c r="H380" s="68">
        <v>0</v>
      </c>
      <c r="I380" s="9">
        <f t="shared" si="202"/>
        <v>0</v>
      </c>
      <c r="K380" s="23"/>
      <c r="Z380" s="9">
        <f t="shared" si="203"/>
        <v>0</v>
      </c>
      <c r="AB380" s="9">
        <f t="shared" si="204"/>
        <v>0</v>
      </c>
      <c r="AC380" s="9">
        <f t="shared" si="205"/>
        <v>0</v>
      </c>
      <c r="AD380" s="9">
        <f t="shared" si="206"/>
        <v>0</v>
      </c>
      <c r="AE380" s="9">
        <f t="shared" si="207"/>
        <v>0</v>
      </c>
      <c r="AF380" s="9">
        <f t="shared" si="208"/>
        <v>0</v>
      </c>
      <c r="AG380" s="9">
        <f t="shared" si="209"/>
        <v>0</v>
      </c>
      <c r="AH380" s="9">
        <f t="shared" si="210"/>
        <v>0</v>
      </c>
      <c r="AI380" s="11" t="s">
        <v>5</v>
      </c>
      <c r="AJ380" s="9">
        <f t="shared" si="211"/>
        <v>0</v>
      </c>
      <c r="AK380" s="9">
        <f t="shared" si="212"/>
        <v>0</v>
      </c>
      <c r="AL380" s="9">
        <f t="shared" si="213"/>
        <v>0</v>
      </c>
      <c r="AN380" s="9">
        <v>21</v>
      </c>
      <c r="AO380" s="9">
        <f t="shared" si="214"/>
        <v>0</v>
      </c>
      <c r="AP380" s="9">
        <f t="shared" si="215"/>
        <v>0</v>
      </c>
      <c r="AQ380" s="60" t="s">
        <v>1231</v>
      </c>
      <c r="AV380" s="9">
        <f t="shared" si="216"/>
        <v>0</v>
      </c>
      <c r="AW380" s="9">
        <f t="shared" si="217"/>
        <v>0</v>
      </c>
      <c r="AX380" s="9">
        <f t="shared" si="218"/>
        <v>0</v>
      </c>
      <c r="AY380" s="60" t="s">
        <v>1294</v>
      </c>
      <c r="AZ380" s="60" t="s">
        <v>1348</v>
      </c>
      <c r="BA380" s="11" t="s">
        <v>1092</v>
      </c>
      <c r="BC380" s="9">
        <f t="shared" si="219"/>
        <v>0</v>
      </c>
      <c r="BD380" s="9">
        <f t="shared" si="220"/>
        <v>0</v>
      </c>
      <c r="BE380" s="9">
        <v>0</v>
      </c>
      <c r="BF380" s="9">
        <f>380</f>
        <v>380</v>
      </c>
      <c r="BH380" s="9">
        <f t="shared" si="221"/>
        <v>0</v>
      </c>
      <c r="BI380" s="9">
        <f t="shared" si="222"/>
        <v>0</v>
      </c>
      <c r="BJ380" s="9">
        <f t="shared" si="223"/>
        <v>0</v>
      </c>
      <c r="BK380" s="9"/>
      <c r="BL380" s="9"/>
      <c r="BW380" s="9">
        <v>21</v>
      </c>
    </row>
    <row r="381" spans="1:75" ht="13.5" customHeight="1">
      <c r="A381" s="16" t="s">
        <v>1292</v>
      </c>
      <c r="B381" s="32" t="s">
        <v>5</v>
      </c>
      <c r="C381" s="32" t="s">
        <v>515</v>
      </c>
      <c r="D381" s="69" t="s">
        <v>989</v>
      </c>
      <c r="E381" s="70"/>
      <c r="F381" s="32" t="s">
        <v>317</v>
      </c>
      <c r="G381" s="9">
        <v>72</v>
      </c>
      <c r="H381" s="68">
        <v>0</v>
      </c>
      <c r="I381" s="9">
        <f t="shared" si="202"/>
        <v>0</v>
      </c>
      <c r="K381" s="23"/>
      <c r="Z381" s="9">
        <f t="shared" si="203"/>
        <v>0</v>
      </c>
      <c r="AB381" s="9">
        <f t="shared" si="204"/>
        <v>0</v>
      </c>
      <c r="AC381" s="9">
        <f t="shared" si="205"/>
        <v>0</v>
      </c>
      <c r="AD381" s="9">
        <f t="shared" si="206"/>
        <v>0</v>
      </c>
      <c r="AE381" s="9">
        <f t="shared" si="207"/>
        <v>0</v>
      </c>
      <c r="AF381" s="9">
        <f t="shared" si="208"/>
        <v>0</v>
      </c>
      <c r="AG381" s="9">
        <f t="shared" si="209"/>
        <v>0</v>
      </c>
      <c r="AH381" s="9">
        <f t="shared" si="210"/>
        <v>0</v>
      </c>
      <c r="AI381" s="11" t="s">
        <v>5</v>
      </c>
      <c r="AJ381" s="9">
        <f t="shared" si="211"/>
        <v>0</v>
      </c>
      <c r="AK381" s="9">
        <f t="shared" si="212"/>
        <v>0</v>
      </c>
      <c r="AL381" s="9">
        <f t="shared" si="213"/>
        <v>0</v>
      </c>
      <c r="AN381" s="9">
        <v>21</v>
      </c>
      <c r="AO381" s="9">
        <f t="shared" si="214"/>
        <v>0</v>
      </c>
      <c r="AP381" s="9">
        <f t="shared" si="215"/>
        <v>0</v>
      </c>
      <c r="AQ381" s="60" t="s">
        <v>1231</v>
      </c>
      <c r="AV381" s="9">
        <f t="shared" si="216"/>
        <v>0</v>
      </c>
      <c r="AW381" s="9">
        <f t="shared" si="217"/>
        <v>0</v>
      </c>
      <c r="AX381" s="9">
        <f t="shared" si="218"/>
        <v>0</v>
      </c>
      <c r="AY381" s="60" t="s">
        <v>1294</v>
      </c>
      <c r="AZ381" s="60" t="s">
        <v>1348</v>
      </c>
      <c r="BA381" s="11" t="s">
        <v>1092</v>
      </c>
      <c r="BC381" s="9">
        <f t="shared" si="219"/>
        <v>0</v>
      </c>
      <c r="BD381" s="9">
        <f t="shared" si="220"/>
        <v>0</v>
      </c>
      <c r="BE381" s="9">
        <v>0</v>
      </c>
      <c r="BF381" s="9">
        <f>381</f>
        <v>381</v>
      </c>
      <c r="BH381" s="9">
        <f t="shared" si="221"/>
        <v>0</v>
      </c>
      <c r="BI381" s="9">
        <f t="shared" si="222"/>
        <v>0</v>
      </c>
      <c r="BJ381" s="9">
        <f t="shared" si="223"/>
        <v>0</v>
      </c>
      <c r="BK381" s="9"/>
      <c r="BL381" s="9"/>
      <c r="BW381" s="9">
        <v>21</v>
      </c>
    </row>
    <row r="382" spans="1:75" ht="13.5" customHeight="1">
      <c r="A382" s="16" t="s">
        <v>605</v>
      </c>
      <c r="B382" s="32" t="s">
        <v>5</v>
      </c>
      <c r="C382" s="32" t="s">
        <v>1051</v>
      </c>
      <c r="D382" s="69" t="s">
        <v>1158</v>
      </c>
      <c r="E382" s="70"/>
      <c r="F382" s="32" t="s">
        <v>1026</v>
      </c>
      <c r="G382" s="9">
        <v>122</v>
      </c>
      <c r="H382" s="68">
        <v>0</v>
      </c>
      <c r="I382" s="9">
        <f t="shared" si="202"/>
        <v>0</v>
      </c>
      <c r="K382" s="23"/>
      <c r="Z382" s="9">
        <f t="shared" si="203"/>
        <v>0</v>
      </c>
      <c r="AB382" s="9">
        <f t="shared" si="204"/>
        <v>0</v>
      </c>
      <c r="AC382" s="9">
        <f t="shared" si="205"/>
        <v>0</v>
      </c>
      <c r="AD382" s="9">
        <f t="shared" si="206"/>
        <v>0</v>
      </c>
      <c r="AE382" s="9">
        <f t="shared" si="207"/>
        <v>0</v>
      </c>
      <c r="AF382" s="9">
        <f t="shared" si="208"/>
        <v>0</v>
      </c>
      <c r="AG382" s="9">
        <f t="shared" si="209"/>
        <v>0</v>
      </c>
      <c r="AH382" s="9">
        <f t="shared" si="210"/>
        <v>0</v>
      </c>
      <c r="AI382" s="11" t="s">
        <v>5</v>
      </c>
      <c r="AJ382" s="9">
        <f t="shared" si="211"/>
        <v>0</v>
      </c>
      <c r="AK382" s="9">
        <f t="shared" si="212"/>
        <v>0</v>
      </c>
      <c r="AL382" s="9">
        <f t="shared" si="213"/>
        <v>0</v>
      </c>
      <c r="AN382" s="9">
        <v>21</v>
      </c>
      <c r="AO382" s="9">
        <f t="shared" si="214"/>
        <v>0</v>
      </c>
      <c r="AP382" s="9">
        <f t="shared" si="215"/>
        <v>0</v>
      </c>
      <c r="AQ382" s="60" t="s">
        <v>1231</v>
      </c>
      <c r="AV382" s="9">
        <f t="shared" si="216"/>
        <v>0</v>
      </c>
      <c r="AW382" s="9">
        <f t="shared" si="217"/>
        <v>0</v>
      </c>
      <c r="AX382" s="9">
        <f t="shared" si="218"/>
        <v>0</v>
      </c>
      <c r="AY382" s="60" t="s">
        <v>1294</v>
      </c>
      <c r="AZ382" s="60" t="s">
        <v>1348</v>
      </c>
      <c r="BA382" s="11" t="s">
        <v>1092</v>
      </c>
      <c r="BC382" s="9">
        <f t="shared" si="219"/>
        <v>0</v>
      </c>
      <c r="BD382" s="9">
        <f t="shared" si="220"/>
        <v>0</v>
      </c>
      <c r="BE382" s="9">
        <v>0</v>
      </c>
      <c r="BF382" s="9">
        <f>382</f>
        <v>382</v>
      </c>
      <c r="BH382" s="9">
        <f t="shared" si="221"/>
        <v>0</v>
      </c>
      <c r="BI382" s="9">
        <f t="shared" si="222"/>
        <v>0</v>
      </c>
      <c r="BJ382" s="9">
        <f t="shared" si="223"/>
        <v>0</v>
      </c>
      <c r="BK382" s="9"/>
      <c r="BL382" s="9"/>
      <c r="BW382" s="9">
        <v>21</v>
      </c>
    </row>
    <row r="383" spans="1:75" ht="13.5" customHeight="1">
      <c r="A383" s="16" t="s">
        <v>1095</v>
      </c>
      <c r="B383" s="32" t="s">
        <v>5</v>
      </c>
      <c r="C383" s="32" t="s">
        <v>1054</v>
      </c>
      <c r="D383" s="69" t="s">
        <v>1218</v>
      </c>
      <c r="E383" s="70"/>
      <c r="F383" s="32" t="s">
        <v>1026</v>
      </c>
      <c r="G383" s="9">
        <v>23</v>
      </c>
      <c r="H383" s="68">
        <v>0</v>
      </c>
      <c r="I383" s="9">
        <f t="shared" si="202"/>
        <v>0</v>
      </c>
      <c r="K383" s="23"/>
      <c r="Z383" s="9">
        <f t="shared" si="203"/>
        <v>0</v>
      </c>
      <c r="AB383" s="9">
        <f t="shared" si="204"/>
        <v>0</v>
      </c>
      <c r="AC383" s="9">
        <f t="shared" si="205"/>
        <v>0</v>
      </c>
      <c r="AD383" s="9">
        <f t="shared" si="206"/>
        <v>0</v>
      </c>
      <c r="AE383" s="9">
        <f t="shared" si="207"/>
        <v>0</v>
      </c>
      <c r="AF383" s="9">
        <f t="shared" si="208"/>
        <v>0</v>
      </c>
      <c r="AG383" s="9">
        <f t="shared" si="209"/>
        <v>0</v>
      </c>
      <c r="AH383" s="9">
        <f t="shared" si="210"/>
        <v>0</v>
      </c>
      <c r="AI383" s="11" t="s">
        <v>5</v>
      </c>
      <c r="AJ383" s="9">
        <f t="shared" si="211"/>
        <v>0</v>
      </c>
      <c r="AK383" s="9">
        <f t="shared" si="212"/>
        <v>0</v>
      </c>
      <c r="AL383" s="9">
        <f t="shared" si="213"/>
        <v>0</v>
      </c>
      <c r="AN383" s="9">
        <v>21</v>
      </c>
      <c r="AO383" s="9">
        <f t="shared" si="214"/>
        <v>0</v>
      </c>
      <c r="AP383" s="9">
        <f t="shared" si="215"/>
        <v>0</v>
      </c>
      <c r="AQ383" s="60" t="s">
        <v>1231</v>
      </c>
      <c r="AV383" s="9">
        <f t="shared" si="216"/>
        <v>0</v>
      </c>
      <c r="AW383" s="9">
        <f t="shared" si="217"/>
        <v>0</v>
      </c>
      <c r="AX383" s="9">
        <f t="shared" si="218"/>
        <v>0</v>
      </c>
      <c r="AY383" s="60" t="s">
        <v>1294</v>
      </c>
      <c r="AZ383" s="60" t="s">
        <v>1348</v>
      </c>
      <c r="BA383" s="11" t="s">
        <v>1092</v>
      </c>
      <c r="BC383" s="9">
        <f t="shared" si="219"/>
        <v>0</v>
      </c>
      <c r="BD383" s="9">
        <f t="shared" si="220"/>
        <v>0</v>
      </c>
      <c r="BE383" s="9">
        <v>0</v>
      </c>
      <c r="BF383" s="9">
        <f>383</f>
        <v>383</v>
      </c>
      <c r="BH383" s="9">
        <f t="shared" si="221"/>
        <v>0</v>
      </c>
      <c r="BI383" s="9">
        <f t="shared" si="222"/>
        <v>0</v>
      </c>
      <c r="BJ383" s="9">
        <f t="shared" si="223"/>
        <v>0</v>
      </c>
      <c r="BK383" s="9"/>
      <c r="BL383" s="9"/>
      <c r="BW383" s="9">
        <v>21</v>
      </c>
    </row>
    <row r="384" spans="1:75" ht="13.5" customHeight="1">
      <c r="A384" s="16" t="s">
        <v>14</v>
      </c>
      <c r="B384" s="32" t="s">
        <v>5</v>
      </c>
      <c r="C384" s="32" t="s">
        <v>1059</v>
      </c>
      <c r="D384" s="69" t="s">
        <v>622</v>
      </c>
      <c r="E384" s="70"/>
      <c r="F384" s="32" t="s">
        <v>317</v>
      </c>
      <c r="G384" s="9">
        <v>1</v>
      </c>
      <c r="H384" s="68">
        <v>0</v>
      </c>
      <c r="I384" s="9">
        <f t="shared" si="202"/>
        <v>0</v>
      </c>
      <c r="K384" s="23"/>
      <c r="Z384" s="9">
        <f t="shared" si="203"/>
        <v>0</v>
      </c>
      <c r="AB384" s="9">
        <f t="shared" si="204"/>
        <v>0</v>
      </c>
      <c r="AC384" s="9">
        <f t="shared" si="205"/>
        <v>0</v>
      </c>
      <c r="AD384" s="9">
        <f t="shared" si="206"/>
        <v>0</v>
      </c>
      <c r="AE384" s="9">
        <f t="shared" si="207"/>
        <v>0</v>
      </c>
      <c r="AF384" s="9">
        <f t="shared" si="208"/>
        <v>0</v>
      </c>
      <c r="AG384" s="9">
        <f t="shared" si="209"/>
        <v>0</v>
      </c>
      <c r="AH384" s="9">
        <f t="shared" si="210"/>
        <v>0</v>
      </c>
      <c r="AI384" s="11" t="s">
        <v>5</v>
      </c>
      <c r="AJ384" s="9">
        <f t="shared" si="211"/>
        <v>0</v>
      </c>
      <c r="AK384" s="9">
        <f t="shared" si="212"/>
        <v>0</v>
      </c>
      <c r="AL384" s="9">
        <f t="shared" si="213"/>
        <v>0</v>
      </c>
      <c r="AN384" s="9">
        <v>21</v>
      </c>
      <c r="AO384" s="9">
        <f t="shared" si="214"/>
        <v>0</v>
      </c>
      <c r="AP384" s="9">
        <f t="shared" si="215"/>
        <v>0</v>
      </c>
      <c r="AQ384" s="60" t="s">
        <v>1231</v>
      </c>
      <c r="AV384" s="9">
        <f t="shared" si="216"/>
        <v>0</v>
      </c>
      <c r="AW384" s="9">
        <f t="shared" si="217"/>
        <v>0</v>
      </c>
      <c r="AX384" s="9">
        <f t="shared" si="218"/>
        <v>0</v>
      </c>
      <c r="AY384" s="60" t="s">
        <v>1294</v>
      </c>
      <c r="AZ384" s="60" t="s">
        <v>1348</v>
      </c>
      <c r="BA384" s="11" t="s">
        <v>1092</v>
      </c>
      <c r="BC384" s="9">
        <f t="shared" si="219"/>
        <v>0</v>
      </c>
      <c r="BD384" s="9">
        <f t="shared" si="220"/>
        <v>0</v>
      </c>
      <c r="BE384" s="9">
        <v>0</v>
      </c>
      <c r="BF384" s="9">
        <f>384</f>
        <v>384</v>
      </c>
      <c r="BH384" s="9">
        <f t="shared" si="221"/>
        <v>0</v>
      </c>
      <c r="BI384" s="9">
        <f t="shared" si="222"/>
        <v>0</v>
      </c>
      <c r="BJ384" s="9">
        <f t="shared" si="223"/>
        <v>0</v>
      </c>
      <c r="BK384" s="9"/>
      <c r="BL384" s="9"/>
      <c r="BW384" s="9">
        <v>21</v>
      </c>
    </row>
    <row r="385" spans="1:75" ht="13.5" customHeight="1">
      <c r="A385" s="16" t="s">
        <v>925</v>
      </c>
      <c r="B385" s="32" t="s">
        <v>5</v>
      </c>
      <c r="C385" s="32" t="s">
        <v>274</v>
      </c>
      <c r="D385" s="69" t="s">
        <v>1078</v>
      </c>
      <c r="E385" s="70"/>
      <c r="F385" s="32" t="s">
        <v>798</v>
      </c>
      <c r="G385" s="9">
        <v>32</v>
      </c>
      <c r="H385" s="68">
        <v>0</v>
      </c>
      <c r="I385" s="9">
        <f t="shared" si="202"/>
        <v>0</v>
      </c>
      <c r="K385" s="23"/>
      <c r="Z385" s="9">
        <f t="shared" si="203"/>
        <v>0</v>
      </c>
      <c r="AB385" s="9">
        <f t="shared" si="204"/>
        <v>0</v>
      </c>
      <c r="AC385" s="9">
        <f t="shared" si="205"/>
        <v>0</v>
      </c>
      <c r="AD385" s="9">
        <f t="shared" si="206"/>
        <v>0</v>
      </c>
      <c r="AE385" s="9">
        <f t="shared" si="207"/>
        <v>0</v>
      </c>
      <c r="AF385" s="9">
        <f t="shared" si="208"/>
        <v>0</v>
      </c>
      <c r="AG385" s="9">
        <f t="shared" si="209"/>
        <v>0</v>
      </c>
      <c r="AH385" s="9">
        <f t="shared" si="210"/>
        <v>0</v>
      </c>
      <c r="AI385" s="11" t="s">
        <v>5</v>
      </c>
      <c r="AJ385" s="9">
        <f t="shared" si="211"/>
        <v>0</v>
      </c>
      <c r="AK385" s="9">
        <f t="shared" si="212"/>
        <v>0</v>
      </c>
      <c r="AL385" s="9">
        <f t="shared" si="213"/>
        <v>0</v>
      </c>
      <c r="AN385" s="9">
        <v>21</v>
      </c>
      <c r="AO385" s="9">
        <f t="shared" si="214"/>
        <v>0</v>
      </c>
      <c r="AP385" s="9">
        <f t="shared" si="215"/>
        <v>0</v>
      </c>
      <c r="AQ385" s="60" t="s">
        <v>1231</v>
      </c>
      <c r="AV385" s="9">
        <f t="shared" si="216"/>
        <v>0</v>
      </c>
      <c r="AW385" s="9">
        <f t="shared" si="217"/>
        <v>0</v>
      </c>
      <c r="AX385" s="9">
        <f t="shared" si="218"/>
        <v>0</v>
      </c>
      <c r="AY385" s="60" t="s">
        <v>1294</v>
      </c>
      <c r="AZ385" s="60" t="s">
        <v>1348</v>
      </c>
      <c r="BA385" s="11" t="s">
        <v>1092</v>
      </c>
      <c r="BC385" s="9">
        <f t="shared" si="219"/>
        <v>0</v>
      </c>
      <c r="BD385" s="9">
        <f t="shared" si="220"/>
        <v>0</v>
      </c>
      <c r="BE385" s="9">
        <v>0</v>
      </c>
      <c r="BF385" s="9">
        <f>385</f>
        <v>385</v>
      </c>
      <c r="BH385" s="9">
        <f t="shared" si="221"/>
        <v>0</v>
      </c>
      <c r="BI385" s="9">
        <f t="shared" si="222"/>
        <v>0</v>
      </c>
      <c r="BJ385" s="9">
        <f t="shared" si="223"/>
        <v>0</v>
      </c>
      <c r="BK385" s="9"/>
      <c r="BL385" s="9"/>
      <c r="BW385" s="9">
        <v>21</v>
      </c>
    </row>
    <row r="386" spans="1:75" ht="13.5" customHeight="1">
      <c r="A386" s="16" t="s">
        <v>695</v>
      </c>
      <c r="B386" s="32" t="s">
        <v>5</v>
      </c>
      <c r="C386" s="32" t="s">
        <v>1097</v>
      </c>
      <c r="D386" s="69" t="s">
        <v>1018</v>
      </c>
      <c r="E386" s="70"/>
      <c r="F386" s="32" t="s">
        <v>861</v>
      </c>
      <c r="G386" s="9">
        <v>3</v>
      </c>
      <c r="H386" s="68">
        <v>0</v>
      </c>
      <c r="I386" s="9">
        <f t="shared" si="202"/>
        <v>0</v>
      </c>
      <c r="K386" s="23"/>
      <c r="Z386" s="9">
        <f t="shared" si="203"/>
        <v>0</v>
      </c>
      <c r="AB386" s="9">
        <f t="shared" si="204"/>
        <v>0</v>
      </c>
      <c r="AC386" s="9">
        <f t="shared" si="205"/>
        <v>0</v>
      </c>
      <c r="AD386" s="9">
        <f t="shared" si="206"/>
        <v>0</v>
      </c>
      <c r="AE386" s="9">
        <f t="shared" si="207"/>
        <v>0</v>
      </c>
      <c r="AF386" s="9">
        <f t="shared" si="208"/>
        <v>0</v>
      </c>
      <c r="AG386" s="9">
        <f t="shared" si="209"/>
        <v>0</v>
      </c>
      <c r="AH386" s="9">
        <f t="shared" si="210"/>
        <v>0</v>
      </c>
      <c r="AI386" s="11" t="s">
        <v>5</v>
      </c>
      <c r="AJ386" s="9">
        <f t="shared" si="211"/>
        <v>0</v>
      </c>
      <c r="AK386" s="9">
        <f t="shared" si="212"/>
        <v>0</v>
      </c>
      <c r="AL386" s="9">
        <f t="shared" si="213"/>
        <v>0</v>
      </c>
      <c r="AN386" s="9">
        <v>21</v>
      </c>
      <c r="AO386" s="9">
        <f>H386*1</f>
        <v>0</v>
      </c>
      <c r="AP386" s="9">
        <f>H386*(1-1)</f>
        <v>0</v>
      </c>
      <c r="AQ386" s="60" t="s">
        <v>1231</v>
      </c>
      <c r="AV386" s="9">
        <f t="shared" si="216"/>
        <v>0</v>
      </c>
      <c r="AW386" s="9">
        <f t="shared" si="217"/>
        <v>0</v>
      </c>
      <c r="AX386" s="9">
        <f t="shared" si="218"/>
        <v>0</v>
      </c>
      <c r="AY386" s="60" t="s">
        <v>1294</v>
      </c>
      <c r="AZ386" s="60" t="s">
        <v>1348</v>
      </c>
      <c r="BA386" s="11" t="s">
        <v>1092</v>
      </c>
      <c r="BC386" s="9">
        <f t="shared" si="219"/>
        <v>0</v>
      </c>
      <c r="BD386" s="9">
        <f t="shared" si="220"/>
        <v>0</v>
      </c>
      <c r="BE386" s="9">
        <v>0</v>
      </c>
      <c r="BF386" s="9">
        <f>386</f>
        <v>386</v>
      </c>
      <c r="BH386" s="9">
        <f t="shared" si="221"/>
        <v>0</v>
      </c>
      <c r="BI386" s="9">
        <f t="shared" si="222"/>
        <v>0</v>
      </c>
      <c r="BJ386" s="9">
        <f t="shared" si="223"/>
        <v>0</v>
      </c>
      <c r="BK386" s="9"/>
      <c r="BL386" s="9"/>
      <c r="BW386" s="9">
        <v>21</v>
      </c>
    </row>
    <row r="387" spans="1:75" ht="13.5" customHeight="1">
      <c r="A387" s="16" t="s">
        <v>1057</v>
      </c>
      <c r="B387" s="32" t="s">
        <v>5</v>
      </c>
      <c r="C387" s="32" t="s">
        <v>1363</v>
      </c>
      <c r="D387" s="69" t="s">
        <v>366</v>
      </c>
      <c r="E387" s="70"/>
      <c r="F387" s="32" t="s">
        <v>951</v>
      </c>
      <c r="G387" s="9">
        <v>3</v>
      </c>
      <c r="H387" s="68">
        <v>0</v>
      </c>
      <c r="I387" s="9">
        <f t="shared" si="202"/>
        <v>0</v>
      </c>
      <c r="K387" s="23"/>
      <c r="Z387" s="9">
        <f t="shared" si="203"/>
        <v>0</v>
      </c>
      <c r="AB387" s="9">
        <f t="shared" si="204"/>
        <v>0</v>
      </c>
      <c r="AC387" s="9">
        <f t="shared" si="205"/>
        <v>0</v>
      </c>
      <c r="AD387" s="9">
        <f t="shared" si="206"/>
        <v>0</v>
      </c>
      <c r="AE387" s="9">
        <f t="shared" si="207"/>
        <v>0</v>
      </c>
      <c r="AF387" s="9">
        <f t="shared" si="208"/>
        <v>0</v>
      </c>
      <c r="AG387" s="9">
        <f t="shared" si="209"/>
        <v>0</v>
      </c>
      <c r="AH387" s="9">
        <f t="shared" si="210"/>
        <v>0</v>
      </c>
      <c r="AI387" s="11" t="s">
        <v>5</v>
      </c>
      <c r="AJ387" s="9">
        <f t="shared" si="211"/>
        <v>0</v>
      </c>
      <c r="AK387" s="9">
        <f t="shared" si="212"/>
        <v>0</v>
      </c>
      <c r="AL387" s="9">
        <f t="shared" si="213"/>
        <v>0</v>
      </c>
      <c r="AN387" s="9">
        <v>21</v>
      </c>
      <c r="AO387" s="9">
        <f>H387*1</f>
        <v>0</v>
      </c>
      <c r="AP387" s="9">
        <f>H387*(1-1)</f>
        <v>0</v>
      </c>
      <c r="AQ387" s="60" t="s">
        <v>1231</v>
      </c>
      <c r="AV387" s="9">
        <f t="shared" si="216"/>
        <v>0</v>
      </c>
      <c r="AW387" s="9">
        <f t="shared" si="217"/>
        <v>0</v>
      </c>
      <c r="AX387" s="9">
        <f t="shared" si="218"/>
        <v>0</v>
      </c>
      <c r="AY387" s="60" t="s">
        <v>1294</v>
      </c>
      <c r="AZ387" s="60" t="s">
        <v>1348</v>
      </c>
      <c r="BA387" s="11" t="s">
        <v>1092</v>
      </c>
      <c r="BC387" s="9">
        <f t="shared" si="219"/>
        <v>0</v>
      </c>
      <c r="BD387" s="9">
        <f t="shared" si="220"/>
        <v>0</v>
      </c>
      <c r="BE387" s="9">
        <v>0</v>
      </c>
      <c r="BF387" s="9">
        <f>387</f>
        <v>387</v>
      </c>
      <c r="BH387" s="9">
        <f t="shared" si="221"/>
        <v>0</v>
      </c>
      <c r="BI387" s="9">
        <f t="shared" si="222"/>
        <v>0</v>
      </c>
      <c r="BJ387" s="9">
        <f t="shared" si="223"/>
        <v>0</v>
      </c>
      <c r="BK387" s="9"/>
      <c r="BL387" s="9"/>
      <c r="BW387" s="9">
        <v>21</v>
      </c>
    </row>
    <row r="388" spans="1:75" ht="13.5" customHeight="1">
      <c r="A388" s="16" t="s">
        <v>1396</v>
      </c>
      <c r="B388" s="32" t="s">
        <v>5</v>
      </c>
      <c r="C388" s="32" t="s">
        <v>767</v>
      </c>
      <c r="D388" s="69" t="s">
        <v>1332</v>
      </c>
      <c r="E388" s="70"/>
      <c r="F388" s="32" t="s">
        <v>798</v>
      </c>
      <c r="G388" s="9">
        <v>10</v>
      </c>
      <c r="H388" s="68">
        <v>0</v>
      </c>
      <c r="I388" s="9">
        <f t="shared" si="202"/>
        <v>0</v>
      </c>
      <c r="K388" s="23"/>
      <c r="Z388" s="9">
        <f t="shared" si="203"/>
        <v>0</v>
      </c>
      <c r="AB388" s="9">
        <f t="shared" si="204"/>
        <v>0</v>
      </c>
      <c r="AC388" s="9">
        <f t="shared" si="205"/>
        <v>0</v>
      </c>
      <c r="AD388" s="9">
        <f t="shared" si="206"/>
        <v>0</v>
      </c>
      <c r="AE388" s="9">
        <f t="shared" si="207"/>
        <v>0</v>
      </c>
      <c r="AF388" s="9">
        <f t="shared" si="208"/>
        <v>0</v>
      </c>
      <c r="AG388" s="9">
        <f t="shared" si="209"/>
        <v>0</v>
      </c>
      <c r="AH388" s="9">
        <f t="shared" si="210"/>
        <v>0</v>
      </c>
      <c r="AI388" s="11" t="s">
        <v>5</v>
      </c>
      <c r="AJ388" s="9">
        <f t="shared" si="211"/>
        <v>0</v>
      </c>
      <c r="AK388" s="9">
        <f t="shared" si="212"/>
        <v>0</v>
      </c>
      <c r="AL388" s="9">
        <f t="shared" si="213"/>
        <v>0</v>
      </c>
      <c r="AN388" s="9">
        <v>21</v>
      </c>
      <c r="AO388" s="9">
        <f>H388*0</f>
        <v>0</v>
      </c>
      <c r="AP388" s="9">
        <f>H388*(1-0)</f>
        <v>0</v>
      </c>
      <c r="AQ388" s="60" t="s">
        <v>1231</v>
      </c>
      <c r="AV388" s="9">
        <f t="shared" si="216"/>
        <v>0</v>
      </c>
      <c r="AW388" s="9">
        <f t="shared" si="217"/>
        <v>0</v>
      </c>
      <c r="AX388" s="9">
        <f t="shared" si="218"/>
        <v>0</v>
      </c>
      <c r="AY388" s="60" t="s">
        <v>1294</v>
      </c>
      <c r="AZ388" s="60" t="s">
        <v>1348</v>
      </c>
      <c r="BA388" s="11" t="s">
        <v>1092</v>
      </c>
      <c r="BC388" s="9">
        <f t="shared" si="219"/>
        <v>0</v>
      </c>
      <c r="BD388" s="9">
        <f t="shared" si="220"/>
        <v>0</v>
      </c>
      <c r="BE388" s="9">
        <v>0</v>
      </c>
      <c r="BF388" s="9">
        <f>388</f>
        <v>388</v>
      </c>
      <c r="BH388" s="9">
        <f t="shared" si="221"/>
        <v>0</v>
      </c>
      <c r="BI388" s="9">
        <f t="shared" si="222"/>
        <v>0</v>
      </c>
      <c r="BJ388" s="9">
        <f t="shared" si="223"/>
        <v>0</v>
      </c>
      <c r="BK388" s="9"/>
      <c r="BL388" s="9"/>
      <c r="BW388" s="9">
        <v>21</v>
      </c>
    </row>
    <row r="389" spans="1:75" ht="12.75" customHeight="1">
      <c r="A389" s="16" t="s">
        <v>694</v>
      </c>
      <c r="B389" s="32" t="s">
        <v>5</v>
      </c>
      <c r="C389" s="32" t="s">
        <v>1171</v>
      </c>
      <c r="D389" s="69" t="s">
        <v>1107</v>
      </c>
      <c r="E389" s="70"/>
      <c r="F389" s="32" t="s">
        <v>1026</v>
      </c>
      <c r="G389" s="9">
        <v>60</v>
      </c>
      <c r="H389" s="68">
        <v>0</v>
      </c>
      <c r="I389" s="9">
        <f t="shared" si="202"/>
        <v>0</v>
      </c>
      <c r="K389" s="23"/>
      <c r="Z389" s="9">
        <f t="shared" si="203"/>
        <v>0</v>
      </c>
      <c r="AB389" s="9">
        <f t="shared" si="204"/>
        <v>0</v>
      </c>
      <c r="AC389" s="9">
        <f t="shared" si="205"/>
        <v>0</v>
      </c>
      <c r="AD389" s="9">
        <f t="shared" si="206"/>
        <v>0</v>
      </c>
      <c r="AE389" s="9">
        <f t="shared" si="207"/>
        <v>0</v>
      </c>
      <c r="AF389" s="9">
        <f t="shared" si="208"/>
        <v>0</v>
      </c>
      <c r="AG389" s="9">
        <f t="shared" si="209"/>
        <v>0</v>
      </c>
      <c r="AH389" s="9">
        <f t="shared" si="210"/>
        <v>0</v>
      </c>
      <c r="AI389" s="11" t="s">
        <v>5</v>
      </c>
      <c r="AJ389" s="9">
        <f t="shared" si="211"/>
        <v>0</v>
      </c>
      <c r="AK389" s="9">
        <f t="shared" si="212"/>
        <v>0</v>
      </c>
      <c r="AL389" s="9">
        <f t="shared" si="213"/>
        <v>0</v>
      </c>
      <c r="AN389" s="9">
        <v>21</v>
      </c>
      <c r="AO389" s="9">
        <f>H389*0</f>
        <v>0</v>
      </c>
      <c r="AP389" s="9">
        <f>H389*(1-0)</f>
        <v>0</v>
      </c>
      <c r="AQ389" s="60" t="s">
        <v>1231</v>
      </c>
      <c r="AV389" s="9">
        <f t="shared" si="216"/>
        <v>0</v>
      </c>
      <c r="AW389" s="9">
        <f t="shared" si="217"/>
        <v>0</v>
      </c>
      <c r="AX389" s="9">
        <f t="shared" si="218"/>
        <v>0</v>
      </c>
      <c r="AY389" s="60" t="s">
        <v>1294</v>
      </c>
      <c r="AZ389" s="60" t="s">
        <v>1348</v>
      </c>
      <c r="BA389" s="11" t="s">
        <v>1092</v>
      </c>
      <c r="BC389" s="9">
        <f t="shared" si="219"/>
        <v>0</v>
      </c>
      <c r="BD389" s="9">
        <f t="shared" si="220"/>
        <v>0</v>
      </c>
      <c r="BE389" s="9">
        <v>0</v>
      </c>
      <c r="BF389" s="9">
        <f>389</f>
        <v>389</v>
      </c>
      <c r="BH389" s="9">
        <f t="shared" si="221"/>
        <v>0</v>
      </c>
      <c r="BI389" s="9">
        <f t="shared" si="222"/>
        <v>0</v>
      </c>
      <c r="BJ389" s="9">
        <f t="shared" si="223"/>
        <v>0</v>
      </c>
      <c r="BK389" s="9"/>
      <c r="BL389" s="9"/>
      <c r="BW389" s="9">
        <v>21</v>
      </c>
    </row>
    <row r="390" spans="1:75" ht="13.5" customHeight="1">
      <c r="A390" s="66" t="s">
        <v>1355</v>
      </c>
      <c r="B390" s="32" t="s">
        <v>5</v>
      </c>
      <c r="C390" s="32" t="s">
        <v>163</v>
      </c>
      <c r="D390" s="69" t="s">
        <v>45</v>
      </c>
      <c r="E390" s="70"/>
      <c r="F390" s="32" t="s">
        <v>1026</v>
      </c>
      <c r="G390" s="67">
        <v>60</v>
      </c>
      <c r="H390" s="68">
        <v>0</v>
      </c>
      <c r="I390" s="9">
        <f t="shared" si="202"/>
        <v>0</v>
      </c>
      <c r="K390" s="23"/>
      <c r="Z390" s="9">
        <f t="shared" si="203"/>
        <v>0</v>
      </c>
      <c r="AB390" s="9">
        <f t="shared" si="204"/>
        <v>0</v>
      </c>
      <c r="AC390" s="9">
        <f t="shared" si="205"/>
        <v>0</v>
      </c>
      <c r="AD390" s="9">
        <f t="shared" si="206"/>
        <v>0</v>
      </c>
      <c r="AE390" s="9">
        <f t="shared" si="207"/>
        <v>0</v>
      </c>
      <c r="AF390" s="9">
        <f t="shared" si="208"/>
        <v>0</v>
      </c>
      <c r="AG390" s="9">
        <f t="shared" si="209"/>
        <v>0</v>
      </c>
      <c r="AH390" s="9">
        <f t="shared" si="210"/>
        <v>0</v>
      </c>
      <c r="AI390" s="11" t="s">
        <v>5</v>
      </c>
      <c r="AJ390" s="9">
        <f t="shared" si="211"/>
        <v>0</v>
      </c>
      <c r="AK390" s="9">
        <f t="shared" si="212"/>
        <v>0</v>
      </c>
      <c r="AL390" s="9">
        <f t="shared" si="213"/>
        <v>0</v>
      </c>
      <c r="AN390" s="9">
        <v>21</v>
      </c>
      <c r="AO390" s="9">
        <f>H390*1</f>
        <v>0</v>
      </c>
      <c r="AP390" s="9">
        <f>H390*(1-1)</f>
        <v>0</v>
      </c>
      <c r="AQ390" s="60" t="s">
        <v>1231</v>
      </c>
      <c r="AV390" s="9">
        <f t="shared" si="216"/>
        <v>0</v>
      </c>
      <c r="AW390" s="9">
        <f t="shared" si="217"/>
        <v>0</v>
      </c>
      <c r="AX390" s="9">
        <f t="shared" si="218"/>
        <v>0</v>
      </c>
      <c r="AY390" s="60" t="s">
        <v>1294</v>
      </c>
      <c r="AZ390" s="60" t="s">
        <v>1348</v>
      </c>
      <c r="BA390" s="11" t="s">
        <v>1092</v>
      </c>
      <c r="BC390" s="9">
        <f t="shared" si="219"/>
        <v>0</v>
      </c>
      <c r="BD390" s="9">
        <f t="shared" si="220"/>
        <v>0</v>
      </c>
      <c r="BE390" s="9">
        <v>0</v>
      </c>
      <c r="BF390" s="9">
        <f>390</f>
        <v>390</v>
      </c>
      <c r="BH390" s="9">
        <f t="shared" si="221"/>
        <v>0</v>
      </c>
      <c r="BI390" s="9">
        <f t="shared" si="222"/>
        <v>0</v>
      </c>
      <c r="BJ390" s="9">
        <f t="shared" si="223"/>
        <v>0</v>
      </c>
      <c r="BK390" s="9"/>
      <c r="BL390" s="9"/>
      <c r="BW390" s="9">
        <v>21</v>
      </c>
    </row>
    <row r="391" spans="1:75" ht="13.5" customHeight="1">
      <c r="A391" s="16" t="s">
        <v>272</v>
      </c>
      <c r="B391" s="32" t="s">
        <v>5</v>
      </c>
      <c r="C391" s="32" t="s">
        <v>426</v>
      </c>
      <c r="D391" s="69" t="s">
        <v>726</v>
      </c>
      <c r="E391" s="70"/>
      <c r="F391" s="32" t="s">
        <v>1026</v>
      </c>
      <c r="G391" s="9">
        <v>20</v>
      </c>
      <c r="H391" s="68">
        <v>0</v>
      </c>
      <c r="I391" s="9">
        <f t="shared" si="202"/>
        <v>0</v>
      </c>
      <c r="K391" s="23"/>
      <c r="Z391" s="9">
        <f t="shared" si="203"/>
        <v>0</v>
      </c>
      <c r="AB391" s="9">
        <f t="shared" si="204"/>
        <v>0</v>
      </c>
      <c r="AC391" s="9">
        <f t="shared" si="205"/>
        <v>0</v>
      </c>
      <c r="AD391" s="9">
        <f t="shared" si="206"/>
        <v>0</v>
      </c>
      <c r="AE391" s="9">
        <f t="shared" si="207"/>
        <v>0</v>
      </c>
      <c r="AF391" s="9">
        <f t="shared" si="208"/>
        <v>0</v>
      </c>
      <c r="AG391" s="9">
        <f t="shared" si="209"/>
        <v>0</v>
      </c>
      <c r="AH391" s="9">
        <f t="shared" si="210"/>
        <v>0</v>
      </c>
      <c r="AI391" s="11" t="s">
        <v>5</v>
      </c>
      <c r="AJ391" s="9">
        <f t="shared" si="211"/>
        <v>0</v>
      </c>
      <c r="AK391" s="9">
        <f t="shared" si="212"/>
        <v>0</v>
      </c>
      <c r="AL391" s="9">
        <f t="shared" si="213"/>
        <v>0</v>
      </c>
      <c r="AN391" s="9">
        <v>21</v>
      </c>
      <c r="AO391" s="9">
        <f>H391*0</f>
        <v>0</v>
      </c>
      <c r="AP391" s="9">
        <f>H391*(1-0)</f>
        <v>0</v>
      </c>
      <c r="AQ391" s="60" t="s">
        <v>1231</v>
      </c>
      <c r="AV391" s="9">
        <f t="shared" si="216"/>
        <v>0</v>
      </c>
      <c r="AW391" s="9">
        <f t="shared" si="217"/>
        <v>0</v>
      </c>
      <c r="AX391" s="9">
        <f t="shared" si="218"/>
        <v>0</v>
      </c>
      <c r="AY391" s="60" t="s">
        <v>1294</v>
      </c>
      <c r="AZ391" s="60" t="s">
        <v>1348</v>
      </c>
      <c r="BA391" s="11" t="s">
        <v>1092</v>
      </c>
      <c r="BC391" s="9">
        <f t="shared" si="219"/>
        <v>0</v>
      </c>
      <c r="BD391" s="9">
        <f t="shared" si="220"/>
        <v>0</v>
      </c>
      <c r="BE391" s="9">
        <v>0</v>
      </c>
      <c r="BF391" s="9">
        <f>391</f>
        <v>391</v>
      </c>
      <c r="BH391" s="9">
        <f t="shared" si="221"/>
        <v>0</v>
      </c>
      <c r="BI391" s="9">
        <f t="shared" si="222"/>
        <v>0</v>
      </c>
      <c r="BJ391" s="9">
        <f t="shared" si="223"/>
        <v>0</v>
      </c>
      <c r="BK391" s="9"/>
      <c r="BL391" s="9"/>
      <c r="BW391" s="9">
        <v>21</v>
      </c>
    </row>
    <row r="392" spans="1:75" ht="13.5" customHeight="1">
      <c r="A392" s="16" t="s">
        <v>735</v>
      </c>
      <c r="B392" s="32" t="s">
        <v>5</v>
      </c>
      <c r="C392" s="32" t="s">
        <v>893</v>
      </c>
      <c r="D392" s="69" t="s">
        <v>1168</v>
      </c>
      <c r="E392" s="70"/>
      <c r="F392" s="32" t="s">
        <v>1026</v>
      </c>
      <c r="G392" s="9">
        <v>20</v>
      </c>
      <c r="H392" s="68">
        <v>0</v>
      </c>
      <c r="I392" s="9">
        <f t="shared" si="202"/>
        <v>0</v>
      </c>
      <c r="K392" s="23"/>
      <c r="Z392" s="9">
        <f t="shared" si="203"/>
        <v>0</v>
      </c>
      <c r="AB392" s="9">
        <f t="shared" si="204"/>
        <v>0</v>
      </c>
      <c r="AC392" s="9">
        <f t="shared" si="205"/>
        <v>0</v>
      </c>
      <c r="AD392" s="9">
        <f t="shared" si="206"/>
        <v>0</v>
      </c>
      <c r="AE392" s="9">
        <f t="shared" si="207"/>
        <v>0</v>
      </c>
      <c r="AF392" s="9">
        <f t="shared" si="208"/>
        <v>0</v>
      </c>
      <c r="AG392" s="9">
        <f t="shared" si="209"/>
        <v>0</v>
      </c>
      <c r="AH392" s="9">
        <f t="shared" si="210"/>
        <v>0</v>
      </c>
      <c r="AI392" s="11" t="s">
        <v>5</v>
      </c>
      <c r="AJ392" s="9">
        <f t="shared" si="211"/>
        <v>0</v>
      </c>
      <c r="AK392" s="9">
        <f t="shared" si="212"/>
        <v>0</v>
      </c>
      <c r="AL392" s="9">
        <f t="shared" si="213"/>
        <v>0</v>
      </c>
      <c r="AN392" s="9">
        <v>21</v>
      </c>
      <c r="AO392" s="9">
        <f>H392*1</f>
        <v>0</v>
      </c>
      <c r="AP392" s="9">
        <f>H392*(1-1)</f>
        <v>0</v>
      </c>
      <c r="AQ392" s="60" t="s">
        <v>1231</v>
      </c>
      <c r="AV392" s="9">
        <f t="shared" si="216"/>
        <v>0</v>
      </c>
      <c r="AW392" s="9">
        <f t="shared" si="217"/>
        <v>0</v>
      </c>
      <c r="AX392" s="9">
        <f t="shared" si="218"/>
        <v>0</v>
      </c>
      <c r="AY392" s="60" t="s">
        <v>1294</v>
      </c>
      <c r="AZ392" s="60" t="s">
        <v>1348</v>
      </c>
      <c r="BA392" s="11" t="s">
        <v>1092</v>
      </c>
      <c r="BC392" s="9">
        <f t="shared" si="219"/>
        <v>0</v>
      </c>
      <c r="BD392" s="9">
        <f t="shared" si="220"/>
        <v>0</v>
      </c>
      <c r="BE392" s="9">
        <v>0</v>
      </c>
      <c r="BF392" s="9">
        <f>392</f>
        <v>392</v>
      </c>
      <c r="BH392" s="9">
        <f t="shared" si="221"/>
        <v>0</v>
      </c>
      <c r="BI392" s="9">
        <f t="shared" si="222"/>
        <v>0</v>
      </c>
      <c r="BJ392" s="9">
        <f t="shared" si="223"/>
        <v>0</v>
      </c>
      <c r="BK392" s="9"/>
      <c r="BL392" s="9"/>
      <c r="BW392" s="9">
        <v>21</v>
      </c>
    </row>
    <row r="393" spans="1:75" ht="13.5" customHeight="1">
      <c r="A393" s="16" t="s">
        <v>918</v>
      </c>
      <c r="B393" s="32" t="s">
        <v>5</v>
      </c>
      <c r="C393" s="32" t="s">
        <v>1405</v>
      </c>
      <c r="D393" s="69" t="s">
        <v>1082</v>
      </c>
      <c r="E393" s="70"/>
      <c r="F393" s="32" t="s">
        <v>861</v>
      </c>
      <c r="G393" s="9">
        <v>103</v>
      </c>
      <c r="H393" s="68">
        <v>0</v>
      </c>
      <c r="I393" s="9">
        <f t="shared" si="202"/>
        <v>0</v>
      </c>
      <c r="K393" s="23"/>
      <c r="Z393" s="9">
        <f t="shared" si="203"/>
        <v>0</v>
      </c>
      <c r="AB393" s="9">
        <f t="shared" si="204"/>
        <v>0</v>
      </c>
      <c r="AC393" s="9">
        <f t="shared" si="205"/>
        <v>0</v>
      </c>
      <c r="AD393" s="9">
        <f t="shared" si="206"/>
        <v>0</v>
      </c>
      <c r="AE393" s="9">
        <f t="shared" si="207"/>
        <v>0</v>
      </c>
      <c r="AF393" s="9">
        <f t="shared" si="208"/>
        <v>0</v>
      </c>
      <c r="AG393" s="9">
        <f t="shared" si="209"/>
        <v>0</v>
      </c>
      <c r="AH393" s="9">
        <f t="shared" si="210"/>
        <v>0</v>
      </c>
      <c r="AI393" s="11" t="s">
        <v>5</v>
      </c>
      <c r="AJ393" s="9">
        <f t="shared" si="211"/>
        <v>0</v>
      </c>
      <c r="AK393" s="9">
        <f t="shared" si="212"/>
        <v>0</v>
      </c>
      <c r="AL393" s="9">
        <f t="shared" si="213"/>
        <v>0</v>
      </c>
      <c r="AN393" s="9">
        <v>21</v>
      </c>
      <c r="AO393" s="9">
        <f>H393*0</f>
        <v>0</v>
      </c>
      <c r="AP393" s="9">
        <f>H393*(1-0)</f>
        <v>0</v>
      </c>
      <c r="AQ393" s="60" t="s">
        <v>1231</v>
      </c>
      <c r="AV393" s="9">
        <f t="shared" si="216"/>
        <v>0</v>
      </c>
      <c r="AW393" s="9">
        <f t="shared" si="217"/>
        <v>0</v>
      </c>
      <c r="AX393" s="9">
        <f t="shared" si="218"/>
        <v>0</v>
      </c>
      <c r="AY393" s="60" t="s">
        <v>1294</v>
      </c>
      <c r="AZ393" s="60" t="s">
        <v>1348</v>
      </c>
      <c r="BA393" s="11" t="s">
        <v>1092</v>
      </c>
      <c r="BC393" s="9">
        <f t="shared" si="219"/>
        <v>0</v>
      </c>
      <c r="BD393" s="9">
        <f t="shared" si="220"/>
        <v>0</v>
      </c>
      <c r="BE393" s="9">
        <v>0</v>
      </c>
      <c r="BF393" s="9">
        <f>393</f>
        <v>393</v>
      </c>
      <c r="BH393" s="9">
        <f t="shared" si="221"/>
        <v>0</v>
      </c>
      <c r="BI393" s="9">
        <f t="shared" si="222"/>
        <v>0</v>
      </c>
      <c r="BJ393" s="9">
        <f t="shared" si="223"/>
        <v>0</v>
      </c>
      <c r="BK393" s="9"/>
      <c r="BL393" s="9"/>
      <c r="BW393" s="9">
        <v>21</v>
      </c>
    </row>
    <row r="394" spans="1:75" ht="13.5" customHeight="1">
      <c r="A394" s="16" t="s">
        <v>210</v>
      </c>
      <c r="B394" s="32" t="s">
        <v>5</v>
      </c>
      <c r="C394" s="32" t="s">
        <v>114</v>
      </c>
      <c r="D394" s="69" t="s">
        <v>1143</v>
      </c>
      <c r="E394" s="70"/>
      <c r="F394" s="32" t="s">
        <v>317</v>
      </c>
      <c r="G394" s="9">
        <v>69</v>
      </c>
      <c r="H394" s="68">
        <v>0</v>
      </c>
      <c r="I394" s="9">
        <f t="shared" si="202"/>
        <v>0</v>
      </c>
      <c r="K394" s="23"/>
      <c r="Z394" s="9">
        <f t="shared" si="203"/>
        <v>0</v>
      </c>
      <c r="AB394" s="9">
        <f t="shared" si="204"/>
        <v>0</v>
      </c>
      <c r="AC394" s="9">
        <f t="shared" si="205"/>
        <v>0</v>
      </c>
      <c r="AD394" s="9">
        <f t="shared" si="206"/>
        <v>0</v>
      </c>
      <c r="AE394" s="9">
        <f t="shared" si="207"/>
        <v>0</v>
      </c>
      <c r="AF394" s="9">
        <f t="shared" si="208"/>
        <v>0</v>
      </c>
      <c r="AG394" s="9">
        <f t="shared" si="209"/>
        <v>0</v>
      </c>
      <c r="AH394" s="9">
        <f t="shared" si="210"/>
        <v>0</v>
      </c>
      <c r="AI394" s="11" t="s">
        <v>5</v>
      </c>
      <c r="AJ394" s="9">
        <f t="shared" si="211"/>
        <v>0</v>
      </c>
      <c r="AK394" s="9">
        <f t="shared" si="212"/>
        <v>0</v>
      </c>
      <c r="AL394" s="9">
        <f t="shared" si="213"/>
        <v>0</v>
      </c>
      <c r="AN394" s="9">
        <v>21</v>
      </c>
      <c r="AO394" s="9">
        <f>H394*1</f>
        <v>0</v>
      </c>
      <c r="AP394" s="9">
        <f>H394*(1-1)</f>
        <v>0</v>
      </c>
      <c r="AQ394" s="60" t="s">
        <v>1231</v>
      </c>
      <c r="AV394" s="9">
        <f t="shared" si="216"/>
        <v>0</v>
      </c>
      <c r="AW394" s="9">
        <f t="shared" si="217"/>
        <v>0</v>
      </c>
      <c r="AX394" s="9">
        <f t="shared" si="218"/>
        <v>0</v>
      </c>
      <c r="AY394" s="60" t="s">
        <v>1294</v>
      </c>
      <c r="AZ394" s="60" t="s">
        <v>1348</v>
      </c>
      <c r="BA394" s="11" t="s">
        <v>1092</v>
      </c>
      <c r="BC394" s="9">
        <f t="shared" si="219"/>
        <v>0</v>
      </c>
      <c r="BD394" s="9">
        <f t="shared" si="220"/>
        <v>0</v>
      </c>
      <c r="BE394" s="9">
        <v>0</v>
      </c>
      <c r="BF394" s="9">
        <f>394</f>
        <v>394</v>
      </c>
      <c r="BH394" s="9">
        <f t="shared" si="221"/>
        <v>0</v>
      </c>
      <c r="BI394" s="9">
        <f t="shared" si="222"/>
        <v>0</v>
      </c>
      <c r="BJ394" s="9">
        <f t="shared" si="223"/>
        <v>0</v>
      </c>
      <c r="BK394" s="9"/>
      <c r="BL394" s="9"/>
      <c r="BW394" s="9">
        <v>21</v>
      </c>
    </row>
    <row r="395" spans="1:75" ht="13.5" customHeight="1">
      <c r="A395" s="16" t="s">
        <v>1075</v>
      </c>
      <c r="B395" s="32" t="s">
        <v>5</v>
      </c>
      <c r="C395" s="32" t="s">
        <v>982</v>
      </c>
      <c r="D395" s="69" t="s">
        <v>1303</v>
      </c>
      <c r="E395" s="70"/>
      <c r="F395" s="32" t="s">
        <v>317</v>
      </c>
      <c r="G395" s="9">
        <v>28</v>
      </c>
      <c r="H395" s="68">
        <v>0</v>
      </c>
      <c r="I395" s="9">
        <f t="shared" si="202"/>
        <v>0</v>
      </c>
      <c r="K395" s="23"/>
      <c r="Z395" s="9">
        <f t="shared" si="203"/>
        <v>0</v>
      </c>
      <c r="AB395" s="9">
        <f t="shared" si="204"/>
        <v>0</v>
      </c>
      <c r="AC395" s="9">
        <f t="shared" si="205"/>
        <v>0</v>
      </c>
      <c r="AD395" s="9">
        <f t="shared" si="206"/>
        <v>0</v>
      </c>
      <c r="AE395" s="9">
        <f t="shared" si="207"/>
        <v>0</v>
      </c>
      <c r="AF395" s="9">
        <f t="shared" si="208"/>
        <v>0</v>
      </c>
      <c r="AG395" s="9">
        <f t="shared" si="209"/>
        <v>0</v>
      </c>
      <c r="AH395" s="9">
        <f t="shared" si="210"/>
        <v>0</v>
      </c>
      <c r="AI395" s="11" t="s">
        <v>5</v>
      </c>
      <c r="AJ395" s="9">
        <f t="shared" si="211"/>
        <v>0</v>
      </c>
      <c r="AK395" s="9">
        <f t="shared" si="212"/>
        <v>0</v>
      </c>
      <c r="AL395" s="9">
        <f t="shared" si="213"/>
        <v>0</v>
      </c>
      <c r="AN395" s="9">
        <v>21</v>
      </c>
      <c r="AO395" s="9">
        <f>H395*1</f>
        <v>0</v>
      </c>
      <c r="AP395" s="9">
        <f>H395*(1-1)</f>
        <v>0</v>
      </c>
      <c r="AQ395" s="60" t="s">
        <v>1231</v>
      </c>
      <c r="AV395" s="9">
        <f t="shared" si="216"/>
        <v>0</v>
      </c>
      <c r="AW395" s="9">
        <f t="shared" si="217"/>
        <v>0</v>
      </c>
      <c r="AX395" s="9">
        <f t="shared" si="218"/>
        <v>0</v>
      </c>
      <c r="AY395" s="60" t="s">
        <v>1294</v>
      </c>
      <c r="AZ395" s="60" t="s">
        <v>1348</v>
      </c>
      <c r="BA395" s="11" t="s">
        <v>1092</v>
      </c>
      <c r="BC395" s="9">
        <f t="shared" si="219"/>
        <v>0</v>
      </c>
      <c r="BD395" s="9">
        <f t="shared" si="220"/>
        <v>0</v>
      </c>
      <c r="BE395" s="9">
        <v>0</v>
      </c>
      <c r="BF395" s="9">
        <f>395</f>
        <v>395</v>
      </c>
      <c r="BH395" s="9">
        <f t="shared" si="221"/>
        <v>0</v>
      </c>
      <c r="BI395" s="9">
        <f t="shared" si="222"/>
        <v>0</v>
      </c>
      <c r="BJ395" s="9">
        <f t="shared" si="223"/>
        <v>0</v>
      </c>
      <c r="BK395" s="9"/>
      <c r="BL395" s="9"/>
      <c r="BW395" s="9">
        <v>21</v>
      </c>
    </row>
    <row r="396" spans="1:75" ht="13.5" customHeight="1">
      <c r="A396" s="16" t="s">
        <v>857</v>
      </c>
      <c r="B396" s="32" t="s">
        <v>5</v>
      </c>
      <c r="C396" s="32" t="s">
        <v>168</v>
      </c>
      <c r="D396" s="69" t="s">
        <v>292</v>
      </c>
      <c r="E396" s="70"/>
      <c r="F396" s="32" t="s">
        <v>317</v>
      </c>
      <c r="G396" s="9">
        <v>3</v>
      </c>
      <c r="H396" s="68">
        <v>0</v>
      </c>
      <c r="I396" s="9">
        <f t="shared" si="202"/>
        <v>0</v>
      </c>
      <c r="K396" s="23"/>
      <c r="Z396" s="9">
        <f t="shared" si="203"/>
        <v>0</v>
      </c>
      <c r="AB396" s="9">
        <f t="shared" si="204"/>
        <v>0</v>
      </c>
      <c r="AC396" s="9">
        <f t="shared" si="205"/>
        <v>0</v>
      </c>
      <c r="AD396" s="9">
        <f t="shared" si="206"/>
        <v>0</v>
      </c>
      <c r="AE396" s="9">
        <f t="shared" si="207"/>
        <v>0</v>
      </c>
      <c r="AF396" s="9">
        <f t="shared" si="208"/>
        <v>0</v>
      </c>
      <c r="AG396" s="9">
        <f t="shared" si="209"/>
        <v>0</v>
      </c>
      <c r="AH396" s="9">
        <f t="shared" si="210"/>
        <v>0</v>
      </c>
      <c r="AI396" s="11" t="s">
        <v>5</v>
      </c>
      <c r="AJ396" s="9">
        <f t="shared" si="211"/>
        <v>0</v>
      </c>
      <c r="AK396" s="9">
        <f t="shared" si="212"/>
        <v>0</v>
      </c>
      <c r="AL396" s="9">
        <f t="shared" si="213"/>
        <v>0</v>
      </c>
      <c r="AN396" s="9">
        <v>21</v>
      </c>
      <c r="AO396" s="9">
        <f>H396*1</f>
        <v>0</v>
      </c>
      <c r="AP396" s="9">
        <f>H396*(1-1)</f>
        <v>0</v>
      </c>
      <c r="AQ396" s="60" t="s">
        <v>1231</v>
      </c>
      <c r="AV396" s="9">
        <f t="shared" si="216"/>
        <v>0</v>
      </c>
      <c r="AW396" s="9">
        <f t="shared" si="217"/>
        <v>0</v>
      </c>
      <c r="AX396" s="9">
        <f t="shared" si="218"/>
        <v>0</v>
      </c>
      <c r="AY396" s="60" t="s">
        <v>1294</v>
      </c>
      <c r="AZ396" s="60" t="s">
        <v>1348</v>
      </c>
      <c r="BA396" s="11" t="s">
        <v>1092</v>
      </c>
      <c r="BC396" s="9">
        <f t="shared" si="219"/>
        <v>0</v>
      </c>
      <c r="BD396" s="9">
        <f t="shared" si="220"/>
        <v>0</v>
      </c>
      <c r="BE396" s="9">
        <v>0</v>
      </c>
      <c r="BF396" s="9">
        <f>396</f>
        <v>396</v>
      </c>
      <c r="BH396" s="9">
        <f t="shared" si="221"/>
        <v>0</v>
      </c>
      <c r="BI396" s="9">
        <f t="shared" si="222"/>
        <v>0</v>
      </c>
      <c r="BJ396" s="9">
        <f t="shared" si="223"/>
        <v>0</v>
      </c>
      <c r="BK396" s="9"/>
      <c r="BL396" s="9"/>
      <c r="BW396" s="9">
        <v>21</v>
      </c>
    </row>
    <row r="397" spans="1:75" ht="13.5" customHeight="1">
      <c r="A397" s="16" t="s">
        <v>350</v>
      </c>
      <c r="B397" s="32" t="s">
        <v>5</v>
      </c>
      <c r="C397" s="32" t="s">
        <v>869</v>
      </c>
      <c r="D397" s="69" t="s">
        <v>832</v>
      </c>
      <c r="E397" s="70"/>
      <c r="F397" s="32" t="s">
        <v>317</v>
      </c>
      <c r="G397" s="9">
        <v>3</v>
      </c>
      <c r="H397" s="68">
        <v>0</v>
      </c>
      <c r="I397" s="9">
        <f t="shared" si="202"/>
        <v>0</v>
      </c>
      <c r="K397" s="23"/>
      <c r="Z397" s="9">
        <f t="shared" si="203"/>
        <v>0</v>
      </c>
      <c r="AB397" s="9">
        <f t="shared" si="204"/>
        <v>0</v>
      </c>
      <c r="AC397" s="9">
        <f t="shared" si="205"/>
        <v>0</v>
      </c>
      <c r="AD397" s="9">
        <f t="shared" si="206"/>
        <v>0</v>
      </c>
      <c r="AE397" s="9">
        <f t="shared" si="207"/>
        <v>0</v>
      </c>
      <c r="AF397" s="9">
        <f t="shared" si="208"/>
        <v>0</v>
      </c>
      <c r="AG397" s="9">
        <f t="shared" si="209"/>
        <v>0</v>
      </c>
      <c r="AH397" s="9">
        <f t="shared" si="210"/>
        <v>0</v>
      </c>
      <c r="AI397" s="11" t="s">
        <v>5</v>
      </c>
      <c r="AJ397" s="9">
        <f t="shared" si="211"/>
        <v>0</v>
      </c>
      <c r="AK397" s="9">
        <f t="shared" si="212"/>
        <v>0</v>
      </c>
      <c r="AL397" s="9">
        <f t="shared" si="213"/>
        <v>0</v>
      </c>
      <c r="AN397" s="9">
        <v>21</v>
      </c>
      <c r="AO397" s="9">
        <f>H397*1</f>
        <v>0</v>
      </c>
      <c r="AP397" s="9">
        <f>H397*(1-1)</f>
        <v>0</v>
      </c>
      <c r="AQ397" s="60" t="s">
        <v>1231</v>
      </c>
      <c r="AV397" s="9">
        <f t="shared" si="216"/>
        <v>0</v>
      </c>
      <c r="AW397" s="9">
        <f t="shared" si="217"/>
        <v>0</v>
      </c>
      <c r="AX397" s="9">
        <f t="shared" si="218"/>
        <v>0</v>
      </c>
      <c r="AY397" s="60" t="s">
        <v>1294</v>
      </c>
      <c r="AZ397" s="60" t="s">
        <v>1348</v>
      </c>
      <c r="BA397" s="11" t="s">
        <v>1092</v>
      </c>
      <c r="BC397" s="9">
        <f t="shared" si="219"/>
        <v>0</v>
      </c>
      <c r="BD397" s="9">
        <f t="shared" si="220"/>
        <v>0</v>
      </c>
      <c r="BE397" s="9">
        <v>0</v>
      </c>
      <c r="BF397" s="9">
        <f>397</f>
        <v>397</v>
      </c>
      <c r="BH397" s="9">
        <f t="shared" si="221"/>
        <v>0</v>
      </c>
      <c r="BI397" s="9">
        <f t="shared" si="222"/>
        <v>0</v>
      </c>
      <c r="BJ397" s="9">
        <f t="shared" si="223"/>
        <v>0</v>
      </c>
      <c r="BK397" s="9"/>
      <c r="BL397" s="9"/>
      <c r="BW397" s="9">
        <v>21</v>
      </c>
    </row>
    <row r="398" spans="1:75" ht="13.5" customHeight="1">
      <c r="A398" s="16" t="s">
        <v>1133</v>
      </c>
      <c r="B398" s="32" t="s">
        <v>5</v>
      </c>
      <c r="C398" s="32" t="s">
        <v>818</v>
      </c>
      <c r="D398" s="69" t="s">
        <v>183</v>
      </c>
      <c r="E398" s="70"/>
      <c r="F398" s="32" t="s">
        <v>317</v>
      </c>
      <c r="G398" s="9">
        <v>3</v>
      </c>
      <c r="H398" s="68">
        <v>0</v>
      </c>
      <c r="I398" s="9">
        <f t="shared" si="202"/>
        <v>0</v>
      </c>
      <c r="K398" s="23"/>
      <c r="Z398" s="9">
        <f t="shared" si="203"/>
        <v>0</v>
      </c>
      <c r="AB398" s="9">
        <f t="shared" si="204"/>
        <v>0</v>
      </c>
      <c r="AC398" s="9">
        <f t="shared" si="205"/>
        <v>0</v>
      </c>
      <c r="AD398" s="9">
        <f t="shared" si="206"/>
        <v>0</v>
      </c>
      <c r="AE398" s="9">
        <f t="shared" si="207"/>
        <v>0</v>
      </c>
      <c r="AF398" s="9">
        <f t="shared" si="208"/>
        <v>0</v>
      </c>
      <c r="AG398" s="9">
        <f t="shared" si="209"/>
        <v>0</v>
      </c>
      <c r="AH398" s="9">
        <f t="shared" si="210"/>
        <v>0</v>
      </c>
      <c r="AI398" s="11" t="s">
        <v>5</v>
      </c>
      <c r="AJ398" s="9">
        <f t="shared" si="211"/>
        <v>0</v>
      </c>
      <c r="AK398" s="9">
        <f t="shared" si="212"/>
        <v>0</v>
      </c>
      <c r="AL398" s="9">
        <f t="shared" si="213"/>
        <v>0</v>
      </c>
      <c r="AN398" s="9">
        <v>21</v>
      </c>
      <c r="AO398" s="9">
        <f>H398*0</f>
        <v>0</v>
      </c>
      <c r="AP398" s="9">
        <f>H398*(1-0)</f>
        <v>0</v>
      </c>
      <c r="AQ398" s="60" t="s">
        <v>1231</v>
      </c>
      <c r="AV398" s="9">
        <f t="shared" si="216"/>
        <v>0</v>
      </c>
      <c r="AW398" s="9">
        <f t="shared" si="217"/>
        <v>0</v>
      </c>
      <c r="AX398" s="9">
        <f t="shared" si="218"/>
        <v>0</v>
      </c>
      <c r="AY398" s="60" t="s">
        <v>1294</v>
      </c>
      <c r="AZ398" s="60" t="s">
        <v>1348</v>
      </c>
      <c r="BA398" s="11" t="s">
        <v>1092</v>
      </c>
      <c r="BC398" s="9">
        <f t="shared" si="219"/>
        <v>0</v>
      </c>
      <c r="BD398" s="9">
        <f t="shared" si="220"/>
        <v>0</v>
      </c>
      <c r="BE398" s="9">
        <v>0</v>
      </c>
      <c r="BF398" s="9">
        <f>398</f>
        <v>398</v>
      </c>
      <c r="BH398" s="9">
        <f t="shared" si="221"/>
        <v>0</v>
      </c>
      <c r="BI398" s="9">
        <f t="shared" si="222"/>
        <v>0</v>
      </c>
      <c r="BJ398" s="9">
        <f t="shared" si="223"/>
        <v>0</v>
      </c>
      <c r="BK398" s="9"/>
      <c r="BL398" s="9"/>
      <c r="BW398" s="9">
        <v>21</v>
      </c>
    </row>
    <row r="399" spans="1:75" ht="13.5" customHeight="1">
      <c r="A399" s="16" t="s">
        <v>1368</v>
      </c>
      <c r="B399" s="32" t="s">
        <v>5</v>
      </c>
      <c r="C399" s="32" t="s">
        <v>284</v>
      </c>
      <c r="D399" s="69" t="s">
        <v>1244</v>
      </c>
      <c r="E399" s="70"/>
      <c r="F399" s="32" t="s">
        <v>317</v>
      </c>
      <c r="G399" s="9">
        <v>3</v>
      </c>
      <c r="H399" s="68">
        <v>0</v>
      </c>
      <c r="I399" s="9">
        <f t="shared" si="202"/>
        <v>0</v>
      </c>
      <c r="K399" s="23"/>
      <c r="Z399" s="9">
        <f t="shared" si="203"/>
        <v>0</v>
      </c>
      <c r="AB399" s="9">
        <f t="shared" si="204"/>
        <v>0</v>
      </c>
      <c r="AC399" s="9">
        <f t="shared" si="205"/>
        <v>0</v>
      </c>
      <c r="AD399" s="9">
        <f t="shared" si="206"/>
        <v>0</v>
      </c>
      <c r="AE399" s="9">
        <f t="shared" si="207"/>
        <v>0</v>
      </c>
      <c r="AF399" s="9">
        <f t="shared" si="208"/>
        <v>0</v>
      </c>
      <c r="AG399" s="9">
        <f t="shared" si="209"/>
        <v>0</v>
      </c>
      <c r="AH399" s="9">
        <f t="shared" si="210"/>
        <v>0</v>
      </c>
      <c r="AI399" s="11" t="s">
        <v>5</v>
      </c>
      <c r="AJ399" s="9">
        <f t="shared" si="211"/>
        <v>0</v>
      </c>
      <c r="AK399" s="9">
        <f t="shared" si="212"/>
        <v>0</v>
      </c>
      <c r="AL399" s="9">
        <f t="shared" si="213"/>
        <v>0</v>
      </c>
      <c r="AN399" s="9">
        <v>21</v>
      </c>
      <c r="AO399" s="9">
        <f>H399*1</f>
        <v>0</v>
      </c>
      <c r="AP399" s="9">
        <f>H399*(1-1)</f>
        <v>0</v>
      </c>
      <c r="AQ399" s="60" t="s">
        <v>1231</v>
      </c>
      <c r="AV399" s="9">
        <f t="shared" si="216"/>
        <v>0</v>
      </c>
      <c r="AW399" s="9">
        <f t="shared" si="217"/>
        <v>0</v>
      </c>
      <c r="AX399" s="9">
        <f t="shared" si="218"/>
        <v>0</v>
      </c>
      <c r="AY399" s="60" t="s">
        <v>1294</v>
      </c>
      <c r="AZ399" s="60" t="s">
        <v>1348</v>
      </c>
      <c r="BA399" s="11" t="s">
        <v>1092</v>
      </c>
      <c r="BC399" s="9">
        <f t="shared" si="219"/>
        <v>0</v>
      </c>
      <c r="BD399" s="9">
        <f t="shared" si="220"/>
        <v>0</v>
      </c>
      <c r="BE399" s="9">
        <v>0</v>
      </c>
      <c r="BF399" s="9">
        <f>399</f>
        <v>399</v>
      </c>
      <c r="BH399" s="9">
        <f t="shared" si="221"/>
        <v>0</v>
      </c>
      <c r="BI399" s="9">
        <f t="shared" si="222"/>
        <v>0</v>
      </c>
      <c r="BJ399" s="9">
        <f t="shared" si="223"/>
        <v>0</v>
      </c>
      <c r="BK399" s="9"/>
      <c r="BL399" s="9"/>
      <c r="BW399" s="9">
        <v>21</v>
      </c>
    </row>
    <row r="400" spans="1:75" ht="13.5" customHeight="1">
      <c r="A400" s="16" t="s">
        <v>885</v>
      </c>
      <c r="B400" s="32" t="s">
        <v>5</v>
      </c>
      <c r="C400" s="32" t="s">
        <v>1101</v>
      </c>
      <c r="D400" s="69" t="s">
        <v>1009</v>
      </c>
      <c r="E400" s="70"/>
      <c r="F400" s="32" t="s">
        <v>798</v>
      </c>
      <c r="G400" s="9">
        <v>29</v>
      </c>
      <c r="H400" s="68">
        <v>0</v>
      </c>
      <c r="I400" s="9">
        <f t="shared" si="202"/>
        <v>0</v>
      </c>
      <c r="K400" s="23"/>
      <c r="Z400" s="9">
        <f t="shared" si="203"/>
        <v>0</v>
      </c>
      <c r="AB400" s="9">
        <f t="shared" si="204"/>
        <v>0</v>
      </c>
      <c r="AC400" s="9">
        <f t="shared" si="205"/>
        <v>0</v>
      </c>
      <c r="AD400" s="9">
        <f t="shared" si="206"/>
        <v>0</v>
      </c>
      <c r="AE400" s="9">
        <f t="shared" si="207"/>
        <v>0</v>
      </c>
      <c r="AF400" s="9">
        <f t="shared" si="208"/>
        <v>0</v>
      </c>
      <c r="AG400" s="9">
        <f t="shared" si="209"/>
        <v>0</v>
      </c>
      <c r="AH400" s="9">
        <f t="shared" si="210"/>
        <v>0</v>
      </c>
      <c r="AI400" s="11" t="s">
        <v>5</v>
      </c>
      <c r="AJ400" s="9">
        <f t="shared" si="211"/>
        <v>0</v>
      </c>
      <c r="AK400" s="9">
        <f t="shared" si="212"/>
        <v>0</v>
      </c>
      <c r="AL400" s="9">
        <f t="shared" si="213"/>
        <v>0</v>
      </c>
      <c r="AN400" s="9">
        <v>21</v>
      </c>
      <c r="AO400" s="9">
        <f>H400*0</f>
        <v>0</v>
      </c>
      <c r="AP400" s="9">
        <f>H400*(1-0)</f>
        <v>0</v>
      </c>
      <c r="AQ400" s="60" t="s">
        <v>1231</v>
      </c>
      <c r="AV400" s="9">
        <f t="shared" si="216"/>
        <v>0</v>
      </c>
      <c r="AW400" s="9">
        <f t="shared" si="217"/>
        <v>0</v>
      </c>
      <c r="AX400" s="9">
        <f t="shared" si="218"/>
        <v>0</v>
      </c>
      <c r="AY400" s="60" t="s">
        <v>1294</v>
      </c>
      <c r="AZ400" s="60" t="s">
        <v>1348</v>
      </c>
      <c r="BA400" s="11" t="s">
        <v>1092</v>
      </c>
      <c r="BC400" s="9">
        <f t="shared" si="219"/>
        <v>0</v>
      </c>
      <c r="BD400" s="9">
        <f t="shared" si="220"/>
        <v>0</v>
      </c>
      <c r="BE400" s="9">
        <v>0</v>
      </c>
      <c r="BF400" s="9">
        <f>400</f>
        <v>400</v>
      </c>
      <c r="BH400" s="9">
        <f t="shared" si="221"/>
        <v>0</v>
      </c>
      <c r="BI400" s="9">
        <f t="shared" si="222"/>
        <v>0</v>
      </c>
      <c r="BJ400" s="9">
        <f t="shared" si="223"/>
        <v>0</v>
      </c>
      <c r="BK400" s="9"/>
      <c r="BL400" s="9"/>
      <c r="BW400" s="9">
        <v>21</v>
      </c>
    </row>
    <row r="401" spans="1:75" ht="13.5" customHeight="1">
      <c r="A401" s="16" t="s">
        <v>1024</v>
      </c>
      <c r="B401" s="32" t="s">
        <v>5</v>
      </c>
      <c r="C401" s="32" t="s">
        <v>822</v>
      </c>
      <c r="D401" s="69" t="s">
        <v>334</v>
      </c>
      <c r="E401" s="70"/>
      <c r="F401" s="32" t="s">
        <v>1026</v>
      </c>
      <c r="G401" s="9">
        <v>180</v>
      </c>
      <c r="H401" s="68">
        <v>0</v>
      </c>
      <c r="I401" s="9">
        <f t="shared" si="202"/>
        <v>0</v>
      </c>
      <c r="K401" s="23"/>
      <c r="Z401" s="9">
        <f t="shared" si="203"/>
        <v>0</v>
      </c>
      <c r="AB401" s="9">
        <f t="shared" si="204"/>
        <v>0</v>
      </c>
      <c r="AC401" s="9">
        <f t="shared" si="205"/>
        <v>0</v>
      </c>
      <c r="AD401" s="9">
        <f t="shared" si="206"/>
        <v>0</v>
      </c>
      <c r="AE401" s="9">
        <f t="shared" si="207"/>
        <v>0</v>
      </c>
      <c r="AF401" s="9">
        <f t="shared" si="208"/>
        <v>0</v>
      </c>
      <c r="AG401" s="9">
        <f t="shared" si="209"/>
        <v>0</v>
      </c>
      <c r="AH401" s="9">
        <f t="shared" si="210"/>
        <v>0</v>
      </c>
      <c r="AI401" s="11" t="s">
        <v>5</v>
      </c>
      <c r="AJ401" s="9">
        <f t="shared" si="211"/>
        <v>0</v>
      </c>
      <c r="AK401" s="9">
        <f t="shared" si="212"/>
        <v>0</v>
      </c>
      <c r="AL401" s="9">
        <f t="shared" si="213"/>
        <v>0</v>
      </c>
      <c r="AN401" s="9">
        <v>21</v>
      </c>
      <c r="AO401" s="9">
        <f>H401*0</f>
        <v>0</v>
      </c>
      <c r="AP401" s="9">
        <f>H401*(1-0)</f>
        <v>0</v>
      </c>
      <c r="AQ401" s="60" t="s">
        <v>1231</v>
      </c>
      <c r="AV401" s="9">
        <f t="shared" si="216"/>
        <v>0</v>
      </c>
      <c r="AW401" s="9">
        <f t="shared" si="217"/>
        <v>0</v>
      </c>
      <c r="AX401" s="9">
        <f t="shared" si="218"/>
        <v>0</v>
      </c>
      <c r="AY401" s="60" t="s">
        <v>1294</v>
      </c>
      <c r="AZ401" s="60" t="s">
        <v>1348</v>
      </c>
      <c r="BA401" s="11" t="s">
        <v>1092</v>
      </c>
      <c r="BC401" s="9">
        <f t="shared" si="219"/>
        <v>0</v>
      </c>
      <c r="BD401" s="9">
        <f t="shared" si="220"/>
        <v>0</v>
      </c>
      <c r="BE401" s="9">
        <v>0</v>
      </c>
      <c r="BF401" s="9">
        <f>401</f>
        <v>401</v>
      </c>
      <c r="BH401" s="9">
        <f t="shared" si="221"/>
        <v>0</v>
      </c>
      <c r="BI401" s="9">
        <f t="shared" si="222"/>
        <v>0</v>
      </c>
      <c r="BJ401" s="9">
        <f t="shared" si="223"/>
        <v>0</v>
      </c>
      <c r="BK401" s="9"/>
      <c r="BL401" s="9"/>
      <c r="BW401" s="9">
        <v>21</v>
      </c>
    </row>
    <row r="402" spans="1:75" ht="13.5" customHeight="1">
      <c r="A402" s="16" t="s">
        <v>831</v>
      </c>
      <c r="B402" s="32" t="s">
        <v>5</v>
      </c>
      <c r="C402" s="32" t="s">
        <v>820</v>
      </c>
      <c r="D402" s="69" t="s">
        <v>761</v>
      </c>
      <c r="E402" s="70"/>
      <c r="F402" s="32" t="s">
        <v>1026</v>
      </c>
      <c r="G402" s="9">
        <v>120</v>
      </c>
      <c r="H402" s="68">
        <v>0</v>
      </c>
      <c r="I402" s="9">
        <f t="shared" si="202"/>
        <v>0</v>
      </c>
      <c r="K402" s="23"/>
      <c r="Z402" s="9">
        <f t="shared" si="203"/>
        <v>0</v>
      </c>
      <c r="AB402" s="9">
        <f t="shared" si="204"/>
        <v>0</v>
      </c>
      <c r="AC402" s="9">
        <f t="shared" si="205"/>
        <v>0</v>
      </c>
      <c r="AD402" s="9">
        <f t="shared" si="206"/>
        <v>0</v>
      </c>
      <c r="AE402" s="9">
        <f t="shared" si="207"/>
        <v>0</v>
      </c>
      <c r="AF402" s="9">
        <f t="shared" si="208"/>
        <v>0</v>
      </c>
      <c r="AG402" s="9">
        <f t="shared" si="209"/>
        <v>0</v>
      </c>
      <c r="AH402" s="9">
        <f t="shared" si="210"/>
        <v>0</v>
      </c>
      <c r="AI402" s="11" t="s">
        <v>5</v>
      </c>
      <c r="AJ402" s="9">
        <f t="shared" si="211"/>
        <v>0</v>
      </c>
      <c r="AK402" s="9">
        <f t="shared" si="212"/>
        <v>0</v>
      </c>
      <c r="AL402" s="9">
        <f t="shared" si="213"/>
        <v>0</v>
      </c>
      <c r="AN402" s="9">
        <v>21</v>
      </c>
      <c r="AO402" s="9">
        <f>H402*1</f>
        <v>0</v>
      </c>
      <c r="AP402" s="9">
        <f>H402*(1-1)</f>
        <v>0</v>
      </c>
      <c r="AQ402" s="60" t="s">
        <v>1231</v>
      </c>
      <c r="AV402" s="9">
        <f t="shared" si="216"/>
        <v>0</v>
      </c>
      <c r="AW402" s="9">
        <f t="shared" si="217"/>
        <v>0</v>
      </c>
      <c r="AX402" s="9">
        <f t="shared" si="218"/>
        <v>0</v>
      </c>
      <c r="AY402" s="60" t="s">
        <v>1294</v>
      </c>
      <c r="AZ402" s="60" t="s">
        <v>1348</v>
      </c>
      <c r="BA402" s="11" t="s">
        <v>1092</v>
      </c>
      <c r="BC402" s="9">
        <f t="shared" si="219"/>
        <v>0</v>
      </c>
      <c r="BD402" s="9">
        <f t="shared" si="220"/>
        <v>0</v>
      </c>
      <c r="BE402" s="9">
        <v>0</v>
      </c>
      <c r="BF402" s="9">
        <f>402</f>
        <v>402</v>
      </c>
      <c r="BH402" s="9">
        <f t="shared" si="221"/>
        <v>0</v>
      </c>
      <c r="BI402" s="9">
        <f t="shared" si="222"/>
        <v>0</v>
      </c>
      <c r="BJ402" s="9">
        <f t="shared" si="223"/>
        <v>0</v>
      </c>
      <c r="BK402" s="9"/>
      <c r="BL402" s="9"/>
      <c r="BW402" s="9">
        <v>21</v>
      </c>
    </row>
    <row r="403" spans="1:75" ht="13.5" customHeight="1">
      <c r="A403" s="16" t="s">
        <v>687</v>
      </c>
      <c r="B403" s="32" t="s">
        <v>5</v>
      </c>
      <c r="C403" s="32" t="s">
        <v>1069</v>
      </c>
      <c r="D403" s="69" t="s">
        <v>459</v>
      </c>
      <c r="E403" s="70"/>
      <c r="F403" s="32" t="s">
        <v>1026</v>
      </c>
      <c r="G403" s="9">
        <v>60</v>
      </c>
      <c r="H403" s="68">
        <v>0</v>
      </c>
      <c r="I403" s="9">
        <f t="shared" si="202"/>
        <v>0</v>
      </c>
      <c r="K403" s="23"/>
      <c r="Z403" s="9">
        <f t="shared" si="203"/>
        <v>0</v>
      </c>
      <c r="AB403" s="9">
        <f t="shared" si="204"/>
        <v>0</v>
      </c>
      <c r="AC403" s="9">
        <f t="shared" si="205"/>
        <v>0</v>
      </c>
      <c r="AD403" s="9">
        <f t="shared" si="206"/>
        <v>0</v>
      </c>
      <c r="AE403" s="9">
        <f t="shared" si="207"/>
        <v>0</v>
      </c>
      <c r="AF403" s="9">
        <f t="shared" si="208"/>
        <v>0</v>
      </c>
      <c r="AG403" s="9">
        <f t="shared" si="209"/>
        <v>0</v>
      </c>
      <c r="AH403" s="9">
        <f t="shared" si="210"/>
        <v>0</v>
      </c>
      <c r="AI403" s="11" t="s">
        <v>5</v>
      </c>
      <c r="AJ403" s="9">
        <f t="shared" si="211"/>
        <v>0</v>
      </c>
      <c r="AK403" s="9">
        <f t="shared" si="212"/>
        <v>0</v>
      </c>
      <c r="AL403" s="9">
        <f t="shared" si="213"/>
        <v>0</v>
      </c>
      <c r="AN403" s="9">
        <v>21</v>
      </c>
      <c r="AO403" s="9">
        <f>H403*1</f>
        <v>0</v>
      </c>
      <c r="AP403" s="9">
        <f>H403*(1-1)</f>
        <v>0</v>
      </c>
      <c r="AQ403" s="60" t="s">
        <v>1231</v>
      </c>
      <c r="AV403" s="9">
        <f t="shared" si="216"/>
        <v>0</v>
      </c>
      <c r="AW403" s="9">
        <f t="shared" si="217"/>
        <v>0</v>
      </c>
      <c r="AX403" s="9">
        <f t="shared" si="218"/>
        <v>0</v>
      </c>
      <c r="AY403" s="60" t="s">
        <v>1294</v>
      </c>
      <c r="AZ403" s="60" t="s">
        <v>1348</v>
      </c>
      <c r="BA403" s="11" t="s">
        <v>1092</v>
      </c>
      <c r="BC403" s="9">
        <f t="shared" si="219"/>
        <v>0</v>
      </c>
      <c r="BD403" s="9">
        <f t="shared" si="220"/>
        <v>0</v>
      </c>
      <c r="BE403" s="9">
        <v>0</v>
      </c>
      <c r="BF403" s="9">
        <f>403</f>
        <v>403</v>
      </c>
      <c r="BH403" s="9">
        <f t="shared" si="221"/>
        <v>0</v>
      </c>
      <c r="BI403" s="9">
        <f t="shared" si="222"/>
        <v>0</v>
      </c>
      <c r="BJ403" s="9">
        <f t="shared" si="223"/>
        <v>0</v>
      </c>
      <c r="BK403" s="9"/>
      <c r="BL403" s="9"/>
      <c r="BW403" s="9">
        <v>21</v>
      </c>
    </row>
    <row r="404" spans="1:75" ht="13.5" customHeight="1">
      <c r="A404" s="16" t="s">
        <v>953</v>
      </c>
      <c r="B404" s="32" t="s">
        <v>5</v>
      </c>
      <c r="C404" s="32" t="s">
        <v>1361</v>
      </c>
      <c r="D404" s="69" t="s">
        <v>1042</v>
      </c>
      <c r="E404" s="70"/>
      <c r="F404" s="32" t="s">
        <v>1026</v>
      </c>
      <c r="G404" s="9">
        <v>1250</v>
      </c>
      <c r="H404" s="68">
        <v>0</v>
      </c>
      <c r="I404" s="9">
        <f t="shared" si="202"/>
        <v>0</v>
      </c>
      <c r="K404" s="23"/>
      <c r="Z404" s="9">
        <f t="shared" si="203"/>
        <v>0</v>
      </c>
      <c r="AB404" s="9">
        <f t="shared" si="204"/>
        <v>0</v>
      </c>
      <c r="AC404" s="9">
        <f t="shared" si="205"/>
        <v>0</v>
      </c>
      <c r="AD404" s="9">
        <f t="shared" si="206"/>
        <v>0</v>
      </c>
      <c r="AE404" s="9">
        <f t="shared" si="207"/>
        <v>0</v>
      </c>
      <c r="AF404" s="9">
        <f t="shared" si="208"/>
        <v>0</v>
      </c>
      <c r="AG404" s="9">
        <f t="shared" si="209"/>
        <v>0</v>
      </c>
      <c r="AH404" s="9">
        <f t="shared" si="210"/>
        <v>0</v>
      </c>
      <c r="AI404" s="11" t="s">
        <v>5</v>
      </c>
      <c r="AJ404" s="9">
        <f t="shared" si="211"/>
        <v>0</v>
      </c>
      <c r="AK404" s="9">
        <f t="shared" si="212"/>
        <v>0</v>
      </c>
      <c r="AL404" s="9">
        <f t="shared" si="213"/>
        <v>0</v>
      </c>
      <c r="AN404" s="9">
        <v>21</v>
      </c>
      <c r="AO404" s="9">
        <f>H404*0</f>
        <v>0</v>
      </c>
      <c r="AP404" s="9">
        <f>H404*(1-0)</f>
        <v>0</v>
      </c>
      <c r="AQ404" s="60" t="s">
        <v>1231</v>
      </c>
      <c r="AV404" s="9">
        <f t="shared" si="216"/>
        <v>0</v>
      </c>
      <c r="AW404" s="9">
        <f t="shared" si="217"/>
        <v>0</v>
      </c>
      <c r="AX404" s="9">
        <f t="shared" si="218"/>
        <v>0</v>
      </c>
      <c r="AY404" s="60" t="s">
        <v>1294</v>
      </c>
      <c r="AZ404" s="60" t="s">
        <v>1348</v>
      </c>
      <c r="BA404" s="11" t="s">
        <v>1092</v>
      </c>
      <c r="BC404" s="9">
        <f t="shared" si="219"/>
        <v>0</v>
      </c>
      <c r="BD404" s="9">
        <f t="shared" si="220"/>
        <v>0</v>
      </c>
      <c r="BE404" s="9">
        <v>0</v>
      </c>
      <c r="BF404" s="9">
        <f>404</f>
        <v>404</v>
      </c>
      <c r="BH404" s="9">
        <f t="shared" si="221"/>
        <v>0</v>
      </c>
      <c r="BI404" s="9">
        <f t="shared" si="222"/>
        <v>0</v>
      </c>
      <c r="BJ404" s="9">
        <f t="shared" si="223"/>
        <v>0</v>
      </c>
      <c r="BK404" s="9"/>
      <c r="BL404" s="9"/>
      <c r="BW404" s="9">
        <v>21</v>
      </c>
    </row>
    <row r="405" spans="1:75" ht="13.5" customHeight="1">
      <c r="A405" s="16" t="s">
        <v>939</v>
      </c>
      <c r="B405" s="32" t="s">
        <v>5</v>
      </c>
      <c r="C405" s="32" t="s">
        <v>850</v>
      </c>
      <c r="D405" s="69" t="s">
        <v>611</v>
      </c>
      <c r="E405" s="70"/>
      <c r="F405" s="32" t="s">
        <v>1026</v>
      </c>
      <c r="G405" s="9">
        <v>810</v>
      </c>
      <c r="H405" s="68">
        <v>0</v>
      </c>
      <c r="I405" s="9">
        <f t="shared" si="202"/>
        <v>0</v>
      </c>
      <c r="K405" s="23"/>
      <c r="Z405" s="9">
        <f t="shared" si="203"/>
        <v>0</v>
      </c>
      <c r="AB405" s="9">
        <f t="shared" si="204"/>
        <v>0</v>
      </c>
      <c r="AC405" s="9">
        <f t="shared" si="205"/>
        <v>0</v>
      </c>
      <c r="AD405" s="9">
        <f t="shared" si="206"/>
        <v>0</v>
      </c>
      <c r="AE405" s="9">
        <f t="shared" si="207"/>
        <v>0</v>
      </c>
      <c r="AF405" s="9">
        <f t="shared" si="208"/>
        <v>0</v>
      </c>
      <c r="AG405" s="9">
        <f t="shared" si="209"/>
        <v>0</v>
      </c>
      <c r="AH405" s="9">
        <f t="shared" si="210"/>
        <v>0</v>
      </c>
      <c r="AI405" s="11" t="s">
        <v>5</v>
      </c>
      <c r="AJ405" s="9">
        <f t="shared" si="211"/>
        <v>0</v>
      </c>
      <c r="AK405" s="9">
        <f t="shared" si="212"/>
        <v>0</v>
      </c>
      <c r="AL405" s="9">
        <f t="shared" si="213"/>
        <v>0</v>
      </c>
      <c r="AN405" s="9">
        <v>21</v>
      </c>
      <c r="AO405" s="9">
        <f>H405*1</f>
        <v>0</v>
      </c>
      <c r="AP405" s="9">
        <f>H405*(1-1)</f>
        <v>0</v>
      </c>
      <c r="AQ405" s="60" t="s">
        <v>1231</v>
      </c>
      <c r="AV405" s="9">
        <f t="shared" si="216"/>
        <v>0</v>
      </c>
      <c r="AW405" s="9">
        <f t="shared" si="217"/>
        <v>0</v>
      </c>
      <c r="AX405" s="9">
        <f t="shared" si="218"/>
        <v>0</v>
      </c>
      <c r="AY405" s="60" t="s">
        <v>1294</v>
      </c>
      <c r="AZ405" s="60" t="s">
        <v>1348</v>
      </c>
      <c r="BA405" s="11" t="s">
        <v>1092</v>
      </c>
      <c r="BC405" s="9">
        <f t="shared" si="219"/>
        <v>0</v>
      </c>
      <c r="BD405" s="9">
        <f t="shared" si="220"/>
        <v>0</v>
      </c>
      <c r="BE405" s="9">
        <v>0</v>
      </c>
      <c r="BF405" s="9">
        <f>405</f>
        <v>405</v>
      </c>
      <c r="BH405" s="9">
        <f t="shared" si="221"/>
        <v>0</v>
      </c>
      <c r="BI405" s="9">
        <f t="shared" si="222"/>
        <v>0</v>
      </c>
      <c r="BJ405" s="9">
        <f t="shared" si="223"/>
        <v>0</v>
      </c>
      <c r="BK405" s="9"/>
      <c r="BL405" s="9"/>
      <c r="BW405" s="9">
        <v>21</v>
      </c>
    </row>
    <row r="406" spans="1:75" ht="13.5" customHeight="1">
      <c r="A406" s="16" t="s">
        <v>465</v>
      </c>
      <c r="B406" s="32" t="s">
        <v>5</v>
      </c>
      <c r="C406" s="32" t="s">
        <v>1164</v>
      </c>
      <c r="D406" s="69" t="s">
        <v>841</v>
      </c>
      <c r="E406" s="70"/>
      <c r="F406" s="32" t="s">
        <v>1026</v>
      </c>
      <c r="G406" s="9">
        <v>360</v>
      </c>
      <c r="H406" s="68">
        <v>0</v>
      </c>
      <c r="I406" s="9">
        <f t="shared" si="202"/>
        <v>0</v>
      </c>
      <c r="K406" s="23"/>
      <c r="Z406" s="9">
        <f t="shared" si="203"/>
        <v>0</v>
      </c>
      <c r="AB406" s="9">
        <f t="shared" si="204"/>
        <v>0</v>
      </c>
      <c r="AC406" s="9">
        <f t="shared" si="205"/>
        <v>0</v>
      </c>
      <c r="AD406" s="9">
        <f t="shared" si="206"/>
        <v>0</v>
      </c>
      <c r="AE406" s="9">
        <f t="shared" si="207"/>
        <v>0</v>
      </c>
      <c r="AF406" s="9">
        <f t="shared" si="208"/>
        <v>0</v>
      </c>
      <c r="AG406" s="9">
        <f t="shared" si="209"/>
        <v>0</v>
      </c>
      <c r="AH406" s="9">
        <f t="shared" si="210"/>
        <v>0</v>
      </c>
      <c r="AI406" s="11" t="s">
        <v>5</v>
      </c>
      <c r="AJ406" s="9">
        <f t="shared" si="211"/>
        <v>0</v>
      </c>
      <c r="AK406" s="9">
        <f t="shared" si="212"/>
        <v>0</v>
      </c>
      <c r="AL406" s="9">
        <f t="shared" si="213"/>
        <v>0</v>
      </c>
      <c r="AN406" s="9">
        <v>21</v>
      </c>
      <c r="AO406" s="9">
        <f>H406*1</f>
        <v>0</v>
      </c>
      <c r="AP406" s="9">
        <f>H406*(1-1)</f>
        <v>0</v>
      </c>
      <c r="AQ406" s="60" t="s">
        <v>1231</v>
      </c>
      <c r="AV406" s="9">
        <f t="shared" si="216"/>
        <v>0</v>
      </c>
      <c r="AW406" s="9">
        <f t="shared" si="217"/>
        <v>0</v>
      </c>
      <c r="AX406" s="9">
        <f t="shared" si="218"/>
        <v>0</v>
      </c>
      <c r="AY406" s="60" t="s">
        <v>1294</v>
      </c>
      <c r="AZ406" s="60" t="s">
        <v>1348</v>
      </c>
      <c r="BA406" s="11" t="s">
        <v>1092</v>
      </c>
      <c r="BC406" s="9">
        <f t="shared" si="219"/>
        <v>0</v>
      </c>
      <c r="BD406" s="9">
        <f t="shared" si="220"/>
        <v>0</v>
      </c>
      <c r="BE406" s="9">
        <v>0</v>
      </c>
      <c r="BF406" s="9">
        <f>406</f>
        <v>406</v>
      </c>
      <c r="BH406" s="9">
        <f t="shared" si="221"/>
        <v>0</v>
      </c>
      <c r="BI406" s="9">
        <f t="shared" si="222"/>
        <v>0</v>
      </c>
      <c r="BJ406" s="9">
        <f t="shared" si="223"/>
        <v>0</v>
      </c>
      <c r="BK406" s="9"/>
      <c r="BL406" s="9"/>
      <c r="BW406" s="9">
        <v>21</v>
      </c>
    </row>
    <row r="407" spans="1:75" ht="13.5" customHeight="1">
      <c r="A407" s="16" t="s">
        <v>504</v>
      </c>
      <c r="B407" s="32" t="s">
        <v>5</v>
      </c>
      <c r="C407" s="32" t="s">
        <v>1192</v>
      </c>
      <c r="D407" s="69" t="s">
        <v>172</v>
      </c>
      <c r="E407" s="70"/>
      <c r="F407" s="32" t="s">
        <v>1026</v>
      </c>
      <c r="G407" s="9">
        <v>80</v>
      </c>
      <c r="H407" s="68">
        <v>0</v>
      </c>
      <c r="I407" s="9">
        <f t="shared" si="202"/>
        <v>0</v>
      </c>
      <c r="K407" s="23"/>
      <c r="Z407" s="9">
        <f t="shared" si="203"/>
        <v>0</v>
      </c>
      <c r="AB407" s="9">
        <f t="shared" si="204"/>
        <v>0</v>
      </c>
      <c r="AC407" s="9">
        <f t="shared" si="205"/>
        <v>0</v>
      </c>
      <c r="AD407" s="9">
        <f t="shared" si="206"/>
        <v>0</v>
      </c>
      <c r="AE407" s="9">
        <f t="shared" si="207"/>
        <v>0</v>
      </c>
      <c r="AF407" s="9">
        <f t="shared" si="208"/>
        <v>0</v>
      </c>
      <c r="AG407" s="9">
        <f t="shared" si="209"/>
        <v>0</v>
      </c>
      <c r="AH407" s="9">
        <f t="shared" si="210"/>
        <v>0</v>
      </c>
      <c r="AI407" s="11" t="s">
        <v>5</v>
      </c>
      <c r="AJ407" s="9">
        <f t="shared" si="211"/>
        <v>0</v>
      </c>
      <c r="AK407" s="9">
        <f t="shared" si="212"/>
        <v>0</v>
      </c>
      <c r="AL407" s="9">
        <f t="shared" si="213"/>
        <v>0</v>
      </c>
      <c r="AN407" s="9">
        <v>21</v>
      </c>
      <c r="AO407" s="9">
        <f>H407*1</f>
        <v>0</v>
      </c>
      <c r="AP407" s="9">
        <f>H407*(1-1)</f>
        <v>0</v>
      </c>
      <c r="AQ407" s="60" t="s">
        <v>1231</v>
      </c>
      <c r="AV407" s="9">
        <f t="shared" si="216"/>
        <v>0</v>
      </c>
      <c r="AW407" s="9">
        <f t="shared" si="217"/>
        <v>0</v>
      </c>
      <c r="AX407" s="9">
        <f t="shared" si="218"/>
        <v>0</v>
      </c>
      <c r="AY407" s="60" t="s">
        <v>1294</v>
      </c>
      <c r="AZ407" s="60" t="s">
        <v>1348</v>
      </c>
      <c r="BA407" s="11" t="s">
        <v>1092</v>
      </c>
      <c r="BC407" s="9">
        <f t="shared" si="219"/>
        <v>0</v>
      </c>
      <c r="BD407" s="9">
        <f t="shared" si="220"/>
        <v>0</v>
      </c>
      <c r="BE407" s="9">
        <v>0</v>
      </c>
      <c r="BF407" s="9">
        <f>407</f>
        <v>407</v>
      </c>
      <c r="BH407" s="9">
        <f t="shared" si="221"/>
        <v>0</v>
      </c>
      <c r="BI407" s="9">
        <f t="shared" si="222"/>
        <v>0</v>
      </c>
      <c r="BJ407" s="9">
        <f t="shared" si="223"/>
        <v>0</v>
      </c>
      <c r="BK407" s="9"/>
      <c r="BL407" s="9"/>
      <c r="BW407" s="9">
        <v>21</v>
      </c>
    </row>
    <row r="408" spans="1:75" ht="13.5" customHeight="1">
      <c r="A408" s="16" t="s">
        <v>1242</v>
      </c>
      <c r="B408" s="32" t="s">
        <v>5</v>
      </c>
      <c r="C408" s="32" t="s">
        <v>1352</v>
      </c>
      <c r="D408" s="69" t="s">
        <v>909</v>
      </c>
      <c r="E408" s="70"/>
      <c r="F408" s="32" t="s">
        <v>1026</v>
      </c>
      <c r="G408" s="9">
        <v>252</v>
      </c>
      <c r="H408" s="68">
        <v>0</v>
      </c>
      <c r="I408" s="9">
        <f t="shared" si="202"/>
        <v>0</v>
      </c>
      <c r="K408" s="23"/>
      <c r="Z408" s="9">
        <f t="shared" si="203"/>
        <v>0</v>
      </c>
      <c r="AB408" s="9">
        <f t="shared" si="204"/>
        <v>0</v>
      </c>
      <c r="AC408" s="9">
        <f t="shared" si="205"/>
        <v>0</v>
      </c>
      <c r="AD408" s="9">
        <f t="shared" si="206"/>
        <v>0</v>
      </c>
      <c r="AE408" s="9">
        <f t="shared" si="207"/>
        <v>0</v>
      </c>
      <c r="AF408" s="9">
        <f t="shared" si="208"/>
        <v>0</v>
      </c>
      <c r="AG408" s="9">
        <f t="shared" si="209"/>
        <v>0</v>
      </c>
      <c r="AH408" s="9">
        <f t="shared" si="210"/>
        <v>0</v>
      </c>
      <c r="AI408" s="11" t="s">
        <v>5</v>
      </c>
      <c r="AJ408" s="9">
        <f t="shared" si="211"/>
        <v>0</v>
      </c>
      <c r="AK408" s="9">
        <f t="shared" si="212"/>
        <v>0</v>
      </c>
      <c r="AL408" s="9">
        <f t="shared" si="213"/>
        <v>0</v>
      </c>
      <c r="AN408" s="9">
        <v>21</v>
      </c>
      <c r="AO408" s="9">
        <f>H408*0</f>
        <v>0</v>
      </c>
      <c r="AP408" s="9">
        <f>H408*(1-0)</f>
        <v>0</v>
      </c>
      <c r="AQ408" s="60" t="s">
        <v>1231</v>
      </c>
      <c r="AV408" s="9">
        <f t="shared" si="216"/>
        <v>0</v>
      </c>
      <c r="AW408" s="9">
        <f t="shared" si="217"/>
        <v>0</v>
      </c>
      <c r="AX408" s="9">
        <f t="shared" si="218"/>
        <v>0</v>
      </c>
      <c r="AY408" s="60" t="s">
        <v>1294</v>
      </c>
      <c r="AZ408" s="60" t="s">
        <v>1348</v>
      </c>
      <c r="BA408" s="11" t="s">
        <v>1092</v>
      </c>
      <c r="BC408" s="9">
        <f t="shared" si="219"/>
        <v>0</v>
      </c>
      <c r="BD408" s="9">
        <f t="shared" si="220"/>
        <v>0</v>
      </c>
      <c r="BE408" s="9">
        <v>0</v>
      </c>
      <c r="BF408" s="9">
        <f>408</f>
        <v>408</v>
      </c>
      <c r="BH408" s="9">
        <f t="shared" si="221"/>
        <v>0</v>
      </c>
      <c r="BI408" s="9">
        <f t="shared" si="222"/>
        <v>0</v>
      </c>
      <c r="BJ408" s="9">
        <f t="shared" si="223"/>
        <v>0</v>
      </c>
      <c r="BK408" s="9"/>
      <c r="BL408" s="9"/>
      <c r="BW408" s="9">
        <v>21</v>
      </c>
    </row>
    <row r="409" spans="1:75" ht="13.5" customHeight="1">
      <c r="A409" s="16" t="s">
        <v>304</v>
      </c>
      <c r="B409" s="32" t="s">
        <v>5</v>
      </c>
      <c r="C409" s="32" t="s">
        <v>68</v>
      </c>
      <c r="D409" s="69" t="s">
        <v>1425</v>
      </c>
      <c r="E409" s="70"/>
      <c r="F409" s="32" t="s">
        <v>1026</v>
      </c>
      <c r="G409" s="9">
        <v>150</v>
      </c>
      <c r="H409" s="68">
        <v>0</v>
      </c>
      <c r="I409" s="9">
        <f t="shared" si="202"/>
        <v>0</v>
      </c>
      <c r="K409" s="23"/>
      <c r="Z409" s="9">
        <f t="shared" si="203"/>
        <v>0</v>
      </c>
      <c r="AB409" s="9">
        <f t="shared" si="204"/>
        <v>0</v>
      </c>
      <c r="AC409" s="9">
        <f t="shared" si="205"/>
        <v>0</v>
      </c>
      <c r="AD409" s="9">
        <f t="shared" si="206"/>
        <v>0</v>
      </c>
      <c r="AE409" s="9">
        <f t="shared" si="207"/>
        <v>0</v>
      </c>
      <c r="AF409" s="9">
        <f t="shared" si="208"/>
        <v>0</v>
      </c>
      <c r="AG409" s="9">
        <f t="shared" si="209"/>
        <v>0</v>
      </c>
      <c r="AH409" s="9">
        <f t="shared" si="210"/>
        <v>0</v>
      </c>
      <c r="AI409" s="11" t="s">
        <v>5</v>
      </c>
      <c r="AJ409" s="9">
        <f t="shared" si="211"/>
        <v>0</v>
      </c>
      <c r="AK409" s="9">
        <f t="shared" si="212"/>
        <v>0</v>
      </c>
      <c r="AL409" s="9">
        <f t="shared" si="213"/>
        <v>0</v>
      </c>
      <c r="AN409" s="9">
        <v>21</v>
      </c>
      <c r="AO409" s="9">
        <f>H409*1</f>
        <v>0</v>
      </c>
      <c r="AP409" s="9">
        <f>H409*(1-1)</f>
        <v>0</v>
      </c>
      <c r="AQ409" s="60" t="s">
        <v>1231</v>
      </c>
      <c r="AV409" s="9">
        <f t="shared" si="216"/>
        <v>0</v>
      </c>
      <c r="AW409" s="9">
        <f t="shared" si="217"/>
        <v>0</v>
      </c>
      <c r="AX409" s="9">
        <f t="shared" si="218"/>
        <v>0</v>
      </c>
      <c r="AY409" s="60" t="s">
        <v>1294</v>
      </c>
      <c r="AZ409" s="60" t="s">
        <v>1348</v>
      </c>
      <c r="BA409" s="11" t="s">
        <v>1092</v>
      </c>
      <c r="BC409" s="9">
        <f t="shared" si="219"/>
        <v>0</v>
      </c>
      <c r="BD409" s="9">
        <f t="shared" si="220"/>
        <v>0</v>
      </c>
      <c r="BE409" s="9">
        <v>0</v>
      </c>
      <c r="BF409" s="9">
        <f>409</f>
        <v>409</v>
      </c>
      <c r="BH409" s="9">
        <f t="shared" si="221"/>
        <v>0</v>
      </c>
      <c r="BI409" s="9">
        <f t="shared" si="222"/>
        <v>0</v>
      </c>
      <c r="BJ409" s="9">
        <f t="shared" si="223"/>
        <v>0</v>
      </c>
      <c r="BK409" s="9"/>
      <c r="BL409" s="9"/>
      <c r="BW409" s="9">
        <v>21</v>
      </c>
    </row>
    <row r="410" spans="1:75" ht="13.5" customHeight="1">
      <c r="A410" s="16" t="s">
        <v>20</v>
      </c>
      <c r="B410" s="32" t="s">
        <v>5</v>
      </c>
      <c r="C410" s="32" t="s">
        <v>758</v>
      </c>
      <c r="D410" s="69" t="s">
        <v>1216</v>
      </c>
      <c r="E410" s="70"/>
      <c r="F410" s="32" t="s">
        <v>1026</v>
      </c>
      <c r="G410" s="9">
        <v>102</v>
      </c>
      <c r="H410" s="68">
        <v>0</v>
      </c>
      <c r="I410" s="9">
        <f t="shared" si="202"/>
        <v>0</v>
      </c>
      <c r="K410" s="23"/>
      <c r="Z410" s="9">
        <f t="shared" si="203"/>
        <v>0</v>
      </c>
      <c r="AB410" s="9">
        <f t="shared" si="204"/>
        <v>0</v>
      </c>
      <c r="AC410" s="9">
        <f t="shared" si="205"/>
        <v>0</v>
      </c>
      <c r="AD410" s="9">
        <f t="shared" si="206"/>
        <v>0</v>
      </c>
      <c r="AE410" s="9">
        <f t="shared" si="207"/>
        <v>0</v>
      </c>
      <c r="AF410" s="9">
        <f t="shared" si="208"/>
        <v>0</v>
      </c>
      <c r="AG410" s="9">
        <f t="shared" si="209"/>
        <v>0</v>
      </c>
      <c r="AH410" s="9">
        <f t="shared" si="210"/>
        <v>0</v>
      </c>
      <c r="AI410" s="11" t="s">
        <v>5</v>
      </c>
      <c r="AJ410" s="9">
        <f t="shared" si="211"/>
        <v>0</v>
      </c>
      <c r="AK410" s="9">
        <f t="shared" si="212"/>
        <v>0</v>
      </c>
      <c r="AL410" s="9">
        <f t="shared" si="213"/>
        <v>0</v>
      </c>
      <c r="AN410" s="9">
        <v>21</v>
      </c>
      <c r="AO410" s="9">
        <f>H410*1</f>
        <v>0</v>
      </c>
      <c r="AP410" s="9">
        <f>H410*(1-1)</f>
        <v>0</v>
      </c>
      <c r="AQ410" s="60" t="s">
        <v>1231</v>
      </c>
      <c r="AV410" s="9">
        <f t="shared" si="216"/>
        <v>0</v>
      </c>
      <c r="AW410" s="9">
        <f t="shared" si="217"/>
        <v>0</v>
      </c>
      <c r="AX410" s="9">
        <f t="shared" si="218"/>
        <v>0</v>
      </c>
      <c r="AY410" s="60" t="s">
        <v>1294</v>
      </c>
      <c r="AZ410" s="60" t="s">
        <v>1348</v>
      </c>
      <c r="BA410" s="11" t="s">
        <v>1092</v>
      </c>
      <c r="BC410" s="9">
        <f t="shared" si="219"/>
        <v>0</v>
      </c>
      <c r="BD410" s="9">
        <f t="shared" si="220"/>
        <v>0</v>
      </c>
      <c r="BE410" s="9">
        <v>0</v>
      </c>
      <c r="BF410" s="9">
        <f>410</f>
        <v>410</v>
      </c>
      <c r="BH410" s="9">
        <f t="shared" si="221"/>
        <v>0</v>
      </c>
      <c r="BI410" s="9">
        <f t="shared" si="222"/>
        <v>0</v>
      </c>
      <c r="BJ410" s="9">
        <f t="shared" si="223"/>
        <v>0</v>
      </c>
      <c r="BK410" s="9"/>
      <c r="BL410" s="9"/>
      <c r="BW410" s="9">
        <v>21</v>
      </c>
    </row>
    <row r="411" spans="1:75" ht="13.5" customHeight="1">
      <c r="A411" s="16" t="s">
        <v>310</v>
      </c>
      <c r="B411" s="32" t="s">
        <v>5</v>
      </c>
      <c r="C411" s="32" t="s">
        <v>525</v>
      </c>
      <c r="D411" s="69" t="s">
        <v>703</v>
      </c>
      <c r="E411" s="70"/>
      <c r="F411" s="32" t="s">
        <v>317</v>
      </c>
      <c r="G411" s="9">
        <v>152</v>
      </c>
      <c r="H411" s="68">
        <v>0</v>
      </c>
      <c r="I411" s="9">
        <f aca="true" t="shared" si="224" ref="I411:I437">G411*H411</f>
        <v>0</v>
      </c>
      <c r="K411" s="23"/>
      <c r="Z411" s="9">
        <f aca="true" t="shared" si="225" ref="Z411:Z437">IF(AQ411="5",BJ411,0)</f>
        <v>0</v>
      </c>
      <c r="AB411" s="9">
        <f aca="true" t="shared" si="226" ref="AB411:AB437">IF(AQ411="1",BH411,0)</f>
        <v>0</v>
      </c>
      <c r="AC411" s="9">
        <f aca="true" t="shared" si="227" ref="AC411:AC437">IF(AQ411="1",BI411,0)</f>
        <v>0</v>
      </c>
      <c r="AD411" s="9">
        <f aca="true" t="shared" si="228" ref="AD411:AD437">IF(AQ411="7",BH411,0)</f>
        <v>0</v>
      </c>
      <c r="AE411" s="9">
        <f aca="true" t="shared" si="229" ref="AE411:AE437">IF(AQ411="7",BI411,0)</f>
        <v>0</v>
      </c>
      <c r="AF411" s="9">
        <f aca="true" t="shared" si="230" ref="AF411:AF437">IF(AQ411="2",BH411,0)</f>
        <v>0</v>
      </c>
      <c r="AG411" s="9">
        <f aca="true" t="shared" si="231" ref="AG411:AG437">IF(AQ411="2",BI411,0)</f>
        <v>0</v>
      </c>
      <c r="AH411" s="9">
        <f aca="true" t="shared" si="232" ref="AH411:AH437">IF(AQ411="0",BJ411,0)</f>
        <v>0</v>
      </c>
      <c r="AI411" s="11" t="s">
        <v>5</v>
      </c>
      <c r="AJ411" s="9">
        <f aca="true" t="shared" si="233" ref="AJ411:AJ437">IF(AN411=0,I411,0)</f>
        <v>0</v>
      </c>
      <c r="AK411" s="9">
        <f aca="true" t="shared" si="234" ref="AK411:AK437">IF(AN411=12,I411,0)</f>
        <v>0</v>
      </c>
      <c r="AL411" s="9">
        <f aca="true" t="shared" si="235" ref="AL411:AL437">IF(AN411=21,I411,0)</f>
        <v>0</v>
      </c>
      <c r="AN411" s="9">
        <v>21</v>
      </c>
      <c r="AO411" s="9">
        <f>H411*0</f>
        <v>0</v>
      </c>
      <c r="AP411" s="9">
        <f>H411*(1-0)</f>
        <v>0</v>
      </c>
      <c r="AQ411" s="60" t="s">
        <v>1231</v>
      </c>
      <c r="AV411" s="9">
        <f aca="true" t="shared" si="236" ref="AV411:AV437">AW411+AX411</f>
        <v>0</v>
      </c>
      <c r="AW411" s="9">
        <f aca="true" t="shared" si="237" ref="AW411:AW437">G411*AO411</f>
        <v>0</v>
      </c>
      <c r="AX411" s="9">
        <f aca="true" t="shared" si="238" ref="AX411:AX437">G411*AP411</f>
        <v>0</v>
      </c>
      <c r="AY411" s="60" t="s">
        <v>1294</v>
      </c>
      <c r="AZ411" s="60" t="s">
        <v>1348</v>
      </c>
      <c r="BA411" s="11" t="s">
        <v>1092</v>
      </c>
      <c r="BC411" s="9">
        <f aca="true" t="shared" si="239" ref="BC411:BC437">AW411+AX411</f>
        <v>0</v>
      </c>
      <c r="BD411" s="9">
        <f aca="true" t="shared" si="240" ref="BD411:BD437">H411/(100-BE411)*100</f>
        <v>0</v>
      </c>
      <c r="BE411" s="9">
        <v>0</v>
      </c>
      <c r="BF411" s="9">
        <f>411</f>
        <v>411</v>
      </c>
      <c r="BH411" s="9">
        <f aca="true" t="shared" si="241" ref="BH411:BH437">G411*AO411</f>
        <v>0</v>
      </c>
      <c r="BI411" s="9">
        <f aca="true" t="shared" si="242" ref="BI411:BI437">G411*AP411</f>
        <v>0</v>
      </c>
      <c r="BJ411" s="9">
        <f aca="true" t="shared" si="243" ref="BJ411:BJ437">G411*H411</f>
        <v>0</v>
      </c>
      <c r="BK411" s="9"/>
      <c r="BL411" s="9"/>
      <c r="BW411" s="9">
        <v>21</v>
      </c>
    </row>
    <row r="412" spans="1:75" ht="13.5" customHeight="1">
      <c r="A412" s="16" t="s">
        <v>389</v>
      </c>
      <c r="B412" s="32" t="s">
        <v>5</v>
      </c>
      <c r="C412" s="32" t="s">
        <v>791</v>
      </c>
      <c r="D412" s="69" t="s">
        <v>388</v>
      </c>
      <c r="E412" s="70"/>
      <c r="F412" s="32" t="s">
        <v>861</v>
      </c>
      <c r="G412" s="9">
        <v>39</v>
      </c>
      <c r="H412" s="68">
        <v>0</v>
      </c>
      <c r="I412" s="9">
        <f t="shared" si="224"/>
        <v>0</v>
      </c>
      <c r="K412" s="23"/>
      <c r="Z412" s="9">
        <f t="shared" si="225"/>
        <v>0</v>
      </c>
      <c r="AB412" s="9">
        <f t="shared" si="226"/>
        <v>0</v>
      </c>
      <c r="AC412" s="9">
        <f t="shared" si="227"/>
        <v>0</v>
      </c>
      <c r="AD412" s="9">
        <f t="shared" si="228"/>
        <v>0</v>
      </c>
      <c r="AE412" s="9">
        <f t="shared" si="229"/>
        <v>0</v>
      </c>
      <c r="AF412" s="9">
        <f t="shared" si="230"/>
        <v>0</v>
      </c>
      <c r="AG412" s="9">
        <f t="shared" si="231"/>
        <v>0</v>
      </c>
      <c r="AH412" s="9">
        <f t="shared" si="232"/>
        <v>0</v>
      </c>
      <c r="AI412" s="11" t="s">
        <v>5</v>
      </c>
      <c r="AJ412" s="9">
        <f t="shared" si="233"/>
        <v>0</v>
      </c>
      <c r="AK412" s="9">
        <f t="shared" si="234"/>
        <v>0</v>
      </c>
      <c r="AL412" s="9">
        <f t="shared" si="235"/>
        <v>0</v>
      </c>
      <c r="AN412" s="9">
        <v>21</v>
      </c>
      <c r="AO412" s="9">
        <f>H412*1</f>
        <v>0</v>
      </c>
      <c r="AP412" s="9">
        <f>H412*(1-1)</f>
        <v>0</v>
      </c>
      <c r="AQ412" s="60" t="s">
        <v>1231</v>
      </c>
      <c r="AV412" s="9">
        <f t="shared" si="236"/>
        <v>0</v>
      </c>
      <c r="AW412" s="9">
        <f t="shared" si="237"/>
        <v>0</v>
      </c>
      <c r="AX412" s="9">
        <f t="shared" si="238"/>
        <v>0</v>
      </c>
      <c r="AY412" s="60" t="s">
        <v>1294</v>
      </c>
      <c r="AZ412" s="60" t="s">
        <v>1348</v>
      </c>
      <c r="BA412" s="11" t="s">
        <v>1092</v>
      </c>
      <c r="BC412" s="9">
        <f t="shared" si="239"/>
        <v>0</v>
      </c>
      <c r="BD412" s="9">
        <f t="shared" si="240"/>
        <v>0</v>
      </c>
      <c r="BE412" s="9">
        <v>0</v>
      </c>
      <c r="BF412" s="9">
        <f>412</f>
        <v>412</v>
      </c>
      <c r="BH412" s="9">
        <f t="shared" si="241"/>
        <v>0</v>
      </c>
      <c r="BI412" s="9">
        <f t="shared" si="242"/>
        <v>0</v>
      </c>
      <c r="BJ412" s="9">
        <f t="shared" si="243"/>
        <v>0</v>
      </c>
      <c r="BK412" s="9"/>
      <c r="BL412" s="9"/>
      <c r="BW412" s="9">
        <v>21</v>
      </c>
    </row>
    <row r="413" spans="1:75" ht="13.5" customHeight="1">
      <c r="A413" s="16" t="s">
        <v>1354</v>
      </c>
      <c r="B413" s="32" t="s">
        <v>5</v>
      </c>
      <c r="C413" s="32" t="s">
        <v>1188</v>
      </c>
      <c r="D413" s="69" t="s">
        <v>325</v>
      </c>
      <c r="E413" s="70"/>
      <c r="F413" s="32" t="s">
        <v>861</v>
      </c>
      <c r="G413" s="9">
        <v>4</v>
      </c>
      <c r="H413" s="68">
        <v>0</v>
      </c>
      <c r="I413" s="9">
        <f t="shared" si="224"/>
        <v>0</v>
      </c>
      <c r="K413" s="23"/>
      <c r="Z413" s="9">
        <f t="shared" si="225"/>
        <v>0</v>
      </c>
      <c r="AB413" s="9">
        <f t="shared" si="226"/>
        <v>0</v>
      </c>
      <c r="AC413" s="9">
        <f t="shared" si="227"/>
        <v>0</v>
      </c>
      <c r="AD413" s="9">
        <f t="shared" si="228"/>
        <v>0</v>
      </c>
      <c r="AE413" s="9">
        <f t="shared" si="229"/>
        <v>0</v>
      </c>
      <c r="AF413" s="9">
        <f t="shared" si="230"/>
        <v>0</v>
      </c>
      <c r="AG413" s="9">
        <f t="shared" si="231"/>
        <v>0</v>
      </c>
      <c r="AH413" s="9">
        <f t="shared" si="232"/>
        <v>0</v>
      </c>
      <c r="AI413" s="11" t="s">
        <v>5</v>
      </c>
      <c r="AJ413" s="9">
        <f t="shared" si="233"/>
        <v>0</v>
      </c>
      <c r="AK413" s="9">
        <f t="shared" si="234"/>
        <v>0</v>
      </c>
      <c r="AL413" s="9">
        <f t="shared" si="235"/>
        <v>0</v>
      </c>
      <c r="AN413" s="9">
        <v>21</v>
      </c>
      <c r="AO413" s="9">
        <f>H413*1</f>
        <v>0</v>
      </c>
      <c r="AP413" s="9">
        <f>H413*(1-1)</f>
        <v>0</v>
      </c>
      <c r="AQ413" s="60" t="s">
        <v>1231</v>
      </c>
      <c r="AV413" s="9">
        <f t="shared" si="236"/>
        <v>0</v>
      </c>
      <c r="AW413" s="9">
        <f t="shared" si="237"/>
        <v>0</v>
      </c>
      <c r="AX413" s="9">
        <f t="shared" si="238"/>
        <v>0</v>
      </c>
      <c r="AY413" s="60" t="s">
        <v>1294</v>
      </c>
      <c r="AZ413" s="60" t="s">
        <v>1348</v>
      </c>
      <c r="BA413" s="11" t="s">
        <v>1092</v>
      </c>
      <c r="BC413" s="9">
        <f t="shared" si="239"/>
        <v>0</v>
      </c>
      <c r="BD413" s="9">
        <f t="shared" si="240"/>
        <v>0</v>
      </c>
      <c r="BE413" s="9">
        <v>0</v>
      </c>
      <c r="BF413" s="9">
        <f>413</f>
        <v>413</v>
      </c>
      <c r="BH413" s="9">
        <f t="shared" si="241"/>
        <v>0</v>
      </c>
      <c r="BI413" s="9">
        <f t="shared" si="242"/>
        <v>0</v>
      </c>
      <c r="BJ413" s="9">
        <f t="shared" si="243"/>
        <v>0</v>
      </c>
      <c r="BK413" s="9"/>
      <c r="BL413" s="9"/>
      <c r="BW413" s="9">
        <v>21</v>
      </c>
    </row>
    <row r="414" spans="1:75" ht="13.5" customHeight="1">
      <c r="A414" s="16" t="s">
        <v>122</v>
      </c>
      <c r="B414" s="32" t="s">
        <v>5</v>
      </c>
      <c r="C414" s="32" t="s">
        <v>926</v>
      </c>
      <c r="D414" s="69" t="s">
        <v>211</v>
      </c>
      <c r="E414" s="70"/>
      <c r="F414" s="32" t="s">
        <v>861</v>
      </c>
      <c r="G414" s="9">
        <v>39</v>
      </c>
      <c r="H414" s="68">
        <v>0</v>
      </c>
      <c r="I414" s="9">
        <f t="shared" si="224"/>
        <v>0</v>
      </c>
      <c r="K414" s="23"/>
      <c r="Z414" s="9">
        <f t="shared" si="225"/>
        <v>0</v>
      </c>
      <c r="AB414" s="9">
        <f t="shared" si="226"/>
        <v>0</v>
      </c>
      <c r="AC414" s="9">
        <f t="shared" si="227"/>
        <v>0</v>
      </c>
      <c r="AD414" s="9">
        <f t="shared" si="228"/>
        <v>0</v>
      </c>
      <c r="AE414" s="9">
        <f t="shared" si="229"/>
        <v>0</v>
      </c>
      <c r="AF414" s="9">
        <f t="shared" si="230"/>
        <v>0</v>
      </c>
      <c r="AG414" s="9">
        <f t="shared" si="231"/>
        <v>0</v>
      </c>
      <c r="AH414" s="9">
        <f t="shared" si="232"/>
        <v>0</v>
      </c>
      <c r="AI414" s="11" t="s">
        <v>5</v>
      </c>
      <c r="AJ414" s="9">
        <f t="shared" si="233"/>
        <v>0</v>
      </c>
      <c r="AK414" s="9">
        <f t="shared" si="234"/>
        <v>0</v>
      </c>
      <c r="AL414" s="9">
        <f t="shared" si="235"/>
        <v>0</v>
      </c>
      <c r="AN414" s="9">
        <v>21</v>
      </c>
      <c r="AO414" s="9">
        <f>H414*1</f>
        <v>0</v>
      </c>
      <c r="AP414" s="9">
        <f>H414*(1-1)</f>
        <v>0</v>
      </c>
      <c r="AQ414" s="60" t="s">
        <v>1231</v>
      </c>
      <c r="AV414" s="9">
        <f t="shared" si="236"/>
        <v>0</v>
      </c>
      <c r="AW414" s="9">
        <f t="shared" si="237"/>
        <v>0</v>
      </c>
      <c r="AX414" s="9">
        <f t="shared" si="238"/>
        <v>0</v>
      </c>
      <c r="AY414" s="60" t="s">
        <v>1294</v>
      </c>
      <c r="AZ414" s="60" t="s">
        <v>1348</v>
      </c>
      <c r="BA414" s="11" t="s">
        <v>1092</v>
      </c>
      <c r="BC414" s="9">
        <f t="shared" si="239"/>
        <v>0</v>
      </c>
      <c r="BD414" s="9">
        <f t="shared" si="240"/>
        <v>0</v>
      </c>
      <c r="BE414" s="9">
        <v>0</v>
      </c>
      <c r="BF414" s="9">
        <f>414</f>
        <v>414</v>
      </c>
      <c r="BH414" s="9">
        <f t="shared" si="241"/>
        <v>0</v>
      </c>
      <c r="BI414" s="9">
        <f t="shared" si="242"/>
        <v>0</v>
      </c>
      <c r="BJ414" s="9">
        <f t="shared" si="243"/>
        <v>0</v>
      </c>
      <c r="BK414" s="9"/>
      <c r="BL414" s="9"/>
      <c r="BW414" s="9">
        <v>21</v>
      </c>
    </row>
    <row r="415" spans="1:75" ht="13.5" customHeight="1">
      <c r="A415" s="16" t="s">
        <v>502</v>
      </c>
      <c r="B415" s="32" t="s">
        <v>5</v>
      </c>
      <c r="C415" s="32" t="s">
        <v>904</v>
      </c>
      <c r="D415" s="69" t="s">
        <v>555</v>
      </c>
      <c r="E415" s="70"/>
      <c r="F415" s="32" t="s">
        <v>1052</v>
      </c>
      <c r="G415" s="9">
        <v>11</v>
      </c>
      <c r="H415" s="68">
        <v>0</v>
      </c>
      <c r="I415" s="9">
        <f t="shared" si="224"/>
        <v>0</v>
      </c>
      <c r="K415" s="23"/>
      <c r="Z415" s="9">
        <f t="shared" si="225"/>
        <v>0</v>
      </c>
      <c r="AB415" s="9">
        <f t="shared" si="226"/>
        <v>0</v>
      </c>
      <c r="AC415" s="9">
        <f t="shared" si="227"/>
        <v>0</v>
      </c>
      <c r="AD415" s="9">
        <f t="shared" si="228"/>
        <v>0</v>
      </c>
      <c r="AE415" s="9">
        <f t="shared" si="229"/>
        <v>0</v>
      </c>
      <c r="AF415" s="9">
        <f t="shared" si="230"/>
        <v>0</v>
      </c>
      <c r="AG415" s="9">
        <f t="shared" si="231"/>
        <v>0</v>
      </c>
      <c r="AH415" s="9">
        <f t="shared" si="232"/>
        <v>0</v>
      </c>
      <c r="AI415" s="11" t="s">
        <v>5</v>
      </c>
      <c r="AJ415" s="9">
        <f t="shared" si="233"/>
        <v>0</v>
      </c>
      <c r="AK415" s="9">
        <f t="shared" si="234"/>
        <v>0</v>
      </c>
      <c r="AL415" s="9">
        <f t="shared" si="235"/>
        <v>0</v>
      </c>
      <c r="AN415" s="9">
        <v>21</v>
      </c>
      <c r="AO415" s="9">
        <f>H415*1</f>
        <v>0</v>
      </c>
      <c r="AP415" s="9">
        <f>H415*(1-1)</f>
        <v>0</v>
      </c>
      <c r="AQ415" s="60" t="s">
        <v>1231</v>
      </c>
      <c r="AV415" s="9">
        <f t="shared" si="236"/>
        <v>0</v>
      </c>
      <c r="AW415" s="9">
        <f t="shared" si="237"/>
        <v>0</v>
      </c>
      <c r="AX415" s="9">
        <f t="shared" si="238"/>
        <v>0</v>
      </c>
      <c r="AY415" s="60" t="s">
        <v>1294</v>
      </c>
      <c r="AZ415" s="60" t="s">
        <v>1348</v>
      </c>
      <c r="BA415" s="11" t="s">
        <v>1092</v>
      </c>
      <c r="BC415" s="9">
        <f t="shared" si="239"/>
        <v>0</v>
      </c>
      <c r="BD415" s="9">
        <f t="shared" si="240"/>
        <v>0</v>
      </c>
      <c r="BE415" s="9">
        <v>0</v>
      </c>
      <c r="BF415" s="9">
        <f>415</f>
        <v>415</v>
      </c>
      <c r="BH415" s="9">
        <f t="shared" si="241"/>
        <v>0</v>
      </c>
      <c r="BI415" s="9">
        <f t="shared" si="242"/>
        <v>0</v>
      </c>
      <c r="BJ415" s="9">
        <f t="shared" si="243"/>
        <v>0</v>
      </c>
      <c r="BK415" s="9"/>
      <c r="BL415" s="9"/>
      <c r="BW415" s="9">
        <v>21</v>
      </c>
    </row>
    <row r="416" spans="1:75" ht="13.5" customHeight="1">
      <c r="A416" s="16" t="s">
        <v>638</v>
      </c>
      <c r="B416" s="32" t="s">
        <v>5</v>
      </c>
      <c r="C416" s="32" t="s">
        <v>326</v>
      </c>
      <c r="D416" s="69" t="s">
        <v>69</v>
      </c>
      <c r="E416" s="70"/>
      <c r="F416" s="32" t="s">
        <v>317</v>
      </c>
      <c r="G416" s="9">
        <v>8</v>
      </c>
      <c r="H416" s="68">
        <v>0</v>
      </c>
      <c r="I416" s="9">
        <f t="shared" si="224"/>
        <v>0</v>
      </c>
      <c r="K416" s="23"/>
      <c r="Z416" s="9">
        <f t="shared" si="225"/>
        <v>0</v>
      </c>
      <c r="AB416" s="9">
        <f t="shared" si="226"/>
        <v>0</v>
      </c>
      <c r="AC416" s="9">
        <f t="shared" si="227"/>
        <v>0</v>
      </c>
      <c r="AD416" s="9">
        <f t="shared" si="228"/>
        <v>0</v>
      </c>
      <c r="AE416" s="9">
        <f t="shared" si="229"/>
        <v>0</v>
      </c>
      <c r="AF416" s="9">
        <f t="shared" si="230"/>
        <v>0</v>
      </c>
      <c r="AG416" s="9">
        <f t="shared" si="231"/>
        <v>0</v>
      </c>
      <c r="AH416" s="9">
        <f t="shared" si="232"/>
        <v>0</v>
      </c>
      <c r="AI416" s="11" t="s">
        <v>5</v>
      </c>
      <c r="AJ416" s="9">
        <f t="shared" si="233"/>
        <v>0</v>
      </c>
      <c r="AK416" s="9">
        <f t="shared" si="234"/>
        <v>0</v>
      </c>
      <c r="AL416" s="9">
        <f t="shared" si="235"/>
        <v>0</v>
      </c>
      <c r="AN416" s="9">
        <v>21</v>
      </c>
      <c r="AO416" s="9">
        <f>H416*0</f>
        <v>0</v>
      </c>
      <c r="AP416" s="9">
        <f>H416*(1-0)</f>
        <v>0</v>
      </c>
      <c r="AQ416" s="60" t="s">
        <v>1231</v>
      </c>
      <c r="AV416" s="9">
        <f t="shared" si="236"/>
        <v>0</v>
      </c>
      <c r="AW416" s="9">
        <f t="shared" si="237"/>
        <v>0</v>
      </c>
      <c r="AX416" s="9">
        <f t="shared" si="238"/>
        <v>0</v>
      </c>
      <c r="AY416" s="60" t="s">
        <v>1294</v>
      </c>
      <c r="AZ416" s="60" t="s">
        <v>1348</v>
      </c>
      <c r="BA416" s="11" t="s">
        <v>1092</v>
      </c>
      <c r="BC416" s="9">
        <f t="shared" si="239"/>
        <v>0</v>
      </c>
      <c r="BD416" s="9">
        <f t="shared" si="240"/>
        <v>0</v>
      </c>
      <c r="BE416" s="9">
        <v>0</v>
      </c>
      <c r="BF416" s="9">
        <f>416</f>
        <v>416</v>
      </c>
      <c r="BH416" s="9">
        <f t="shared" si="241"/>
        <v>0</v>
      </c>
      <c r="BI416" s="9">
        <f t="shared" si="242"/>
        <v>0</v>
      </c>
      <c r="BJ416" s="9">
        <f t="shared" si="243"/>
        <v>0</v>
      </c>
      <c r="BK416" s="9"/>
      <c r="BL416" s="9"/>
      <c r="BW416" s="9">
        <v>21</v>
      </c>
    </row>
    <row r="417" spans="1:75" ht="13.5" customHeight="1">
      <c r="A417" s="16" t="s">
        <v>404</v>
      </c>
      <c r="B417" s="32" t="s">
        <v>5</v>
      </c>
      <c r="C417" s="32" t="s">
        <v>1416</v>
      </c>
      <c r="D417" s="69" t="s">
        <v>146</v>
      </c>
      <c r="E417" s="70"/>
      <c r="F417" s="32" t="s">
        <v>317</v>
      </c>
      <c r="G417" s="9">
        <v>3</v>
      </c>
      <c r="H417" s="68">
        <v>0</v>
      </c>
      <c r="I417" s="9">
        <f t="shared" si="224"/>
        <v>0</v>
      </c>
      <c r="K417" s="23"/>
      <c r="Z417" s="9">
        <f t="shared" si="225"/>
        <v>0</v>
      </c>
      <c r="AB417" s="9">
        <f t="shared" si="226"/>
        <v>0</v>
      </c>
      <c r="AC417" s="9">
        <f t="shared" si="227"/>
        <v>0</v>
      </c>
      <c r="AD417" s="9">
        <f t="shared" si="228"/>
        <v>0</v>
      </c>
      <c r="AE417" s="9">
        <f t="shared" si="229"/>
        <v>0</v>
      </c>
      <c r="AF417" s="9">
        <f t="shared" si="230"/>
        <v>0</v>
      </c>
      <c r="AG417" s="9">
        <f t="shared" si="231"/>
        <v>0</v>
      </c>
      <c r="AH417" s="9">
        <f t="shared" si="232"/>
        <v>0</v>
      </c>
      <c r="AI417" s="11" t="s">
        <v>5</v>
      </c>
      <c r="AJ417" s="9">
        <f t="shared" si="233"/>
        <v>0</v>
      </c>
      <c r="AK417" s="9">
        <f t="shared" si="234"/>
        <v>0</v>
      </c>
      <c r="AL417" s="9">
        <f t="shared" si="235"/>
        <v>0</v>
      </c>
      <c r="AN417" s="9">
        <v>21</v>
      </c>
      <c r="AO417" s="9">
        <f>H417*0</f>
        <v>0</v>
      </c>
      <c r="AP417" s="9">
        <f>H417*(1-0)</f>
        <v>0</v>
      </c>
      <c r="AQ417" s="60" t="s">
        <v>1231</v>
      </c>
      <c r="AV417" s="9">
        <f t="shared" si="236"/>
        <v>0</v>
      </c>
      <c r="AW417" s="9">
        <f t="shared" si="237"/>
        <v>0</v>
      </c>
      <c r="AX417" s="9">
        <f t="shared" si="238"/>
        <v>0</v>
      </c>
      <c r="AY417" s="60" t="s">
        <v>1294</v>
      </c>
      <c r="AZ417" s="60" t="s">
        <v>1348</v>
      </c>
      <c r="BA417" s="11" t="s">
        <v>1092</v>
      </c>
      <c r="BC417" s="9">
        <f t="shared" si="239"/>
        <v>0</v>
      </c>
      <c r="BD417" s="9">
        <f t="shared" si="240"/>
        <v>0</v>
      </c>
      <c r="BE417" s="9">
        <v>0</v>
      </c>
      <c r="BF417" s="9">
        <f>417</f>
        <v>417</v>
      </c>
      <c r="BH417" s="9">
        <f t="shared" si="241"/>
        <v>0</v>
      </c>
      <c r="BI417" s="9">
        <f t="shared" si="242"/>
        <v>0</v>
      </c>
      <c r="BJ417" s="9">
        <f t="shared" si="243"/>
        <v>0</v>
      </c>
      <c r="BK417" s="9"/>
      <c r="BL417" s="9"/>
      <c r="BW417" s="9">
        <v>21</v>
      </c>
    </row>
    <row r="418" spans="1:75" ht="13.5" customHeight="1">
      <c r="A418" s="16" t="s">
        <v>285</v>
      </c>
      <c r="B418" s="32" t="s">
        <v>5</v>
      </c>
      <c r="C418" s="32" t="s">
        <v>369</v>
      </c>
      <c r="D418" s="69" t="s">
        <v>1091</v>
      </c>
      <c r="E418" s="70"/>
      <c r="F418" s="32" t="s">
        <v>408</v>
      </c>
      <c r="G418" s="9">
        <v>3</v>
      </c>
      <c r="H418" s="68">
        <v>0</v>
      </c>
      <c r="I418" s="9">
        <f t="shared" si="224"/>
        <v>0</v>
      </c>
      <c r="K418" s="23"/>
      <c r="Z418" s="9">
        <f t="shared" si="225"/>
        <v>0</v>
      </c>
      <c r="AB418" s="9">
        <f t="shared" si="226"/>
        <v>0</v>
      </c>
      <c r="AC418" s="9">
        <f t="shared" si="227"/>
        <v>0</v>
      </c>
      <c r="AD418" s="9">
        <f t="shared" si="228"/>
        <v>0</v>
      </c>
      <c r="AE418" s="9">
        <f t="shared" si="229"/>
        <v>0</v>
      </c>
      <c r="AF418" s="9">
        <f t="shared" si="230"/>
        <v>0</v>
      </c>
      <c r="AG418" s="9">
        <f t="shared" si="231"/>
        <v>0</v>
      </c>
      <c r="AH418" s="9">
        <f t="shared" si="232"/>
        <v>0</v>
      </c>
      <c r="AI418" s="11" t="s">
        <v>5</v>
      </c>
      <c r="AJ418" s="9">
        <f t="shared" si="233"/>
        <v>0</v>
      </c>
      <c r="AK418" s="9">
        <f t="shared" si="234"/>
        <v>0</v>
      </c>
      <c r="AL418" s="9">
        <f t="shared" si="235"/>
        <v>0</v>
      </c>
      <c r="AN418" s="9">
        <v>21</v>
      </c>
      <c r="AO418" s="9">
        <f>H418*1</f>
        <v>0</v>
      </c>
      <c r="AP418" s="9">
        <f>H418*(1-1)</f>
        <v>0</v>
      </c>
      <c r="AQ418" s="60" t="s">
        <v>1231</v>
      </c>
      <c r="AV418" s="9">
        <f t="shared" si="236"/>
        <v>0</v>
      </c>
      <c r="AW418" s="9">
        <f t="shared" si="237"/>
        <v>0</v>
      </c>
      <c r="AX418" s="9">
        <f t="shared" si="238"/>
        <v>0</v>
      </c>
      <c r="AY418" s="60" t="s">
        <v>1294</v>
      </c>
      <c r="AZ418" s="60" t="s">
        <v>1348</v>
      </c>
      <c r="BA418" s="11" t="s">
        <v>1092</v>
      </c>
      <c r="BC418" s="9">
        <f t="shared" si="239"/>
        <v>0</v>
      </c>
      <c r="BD418" s="9">
        <f t="shared" si="240"/>
        <v>0</v>
      </c>
      <c r="BE418" s="9">
        <v>0</v>
      </c>
      <c r="BF418" s="9">
        <f>418</f>
        <v>418</v>
      </c>
      <c r="BH418" s="9">
        <f t="shared" si="241"/>
        <v>0</v>
      </c>
      <c r="BI418" s="9">
        <f t="shared" si="242"/>
        <v>0</v>
      </c>
      <c r="BJ418" s="9">
        <f t="shared" si="243"/>
        <v>0</v>
      </c>
      <c r="BK418" s="9"/>
      <c r="BL418" s="9"/>
      <c r="BW418" s="9">
        <v>21</v>
      </c>
    </row>
    <row r="419" spans="1:75" ht="13.5" customHeight="1">
      <c r="A419" s="16" t="s">
        <v>160</v>
      </c>
      <c r="B419" s="32" t="s">
        <v>5</v>
      </c>
      <c r="C419" s="32" t="s">
        <v>1235</v>
      </c>
      <c r="D419" s="69" t="s">
        <v>256</v>
      </c>
      <c r="E419" s="70"/>
      <c r="F419" s="32" t="s">
        <v>317</v>
      </c>
      <c r="G419" s="9">
        <v>14</v>
      </c>
      <c r="H419" s="68">
        <v>0</v>
      </c>
      <c r="I419" s="9">
        <f t="shared" si="224"/>
        <v>0</v>
      </c>
      <c r="K419" s="23"/>
      <c r="Z419" s="9">
        <f t="shared" si="225"/>
        <v>0</v>
      </c>
      <c r="AB419" s="9">
        <f t="shared" si="226"/>
        <v>0</v>
      </c>
      <c r="AC419" s="9">
        <f t="shared" si="227"/>
        <v>0</v>
      </c>
      <c r="AD419" s="9">
        <f t="shared" si="228"/>
        <v>0</v>
      </c>
      <c r="AE419" s="9">
        <f t="shared" si="229"/>
        <v>0</v>
      </c>
      <c r="AF419" s="9">
        <f t="shared" si="230"/>
        <v>0</v>
      </c>
      <c r="AG419" s="9">
        <f t="shared" si="231"/>
        <v>0</v>
      </c>
      <c r="AH419" s="9">
        <f t="shared" si="232"/>
        <v>0</v>
      </c>
      <c r="AI419" s="11" t="s">
        <v>5</v>
      </c>
      <c r="AJ419" s="9">
        <f t="shared" si="233"/>
        <v>0</v>
      </c>
      <c r="AK419" s="9">
        <f t="shared" si="234"/>
        <v>0</v>
      </c>
      <c r="AL419" s="9">
        <f t="shared" si="235"/>
        <v>0</v>
      </c>
      <c r="AN419" s="9">
        <v>21</v>
      </c>
      <c r="AO419" s="9">
        <f>H419*0</f>
        <v>0</v>
      </c>
      <c r="AP419" s="9">
        <f>H419*(1-0)</f>
        <v>0</v>
      </c>
      <c r="AQ419" s="60" t="s">
        <v>1231</v>
      </c>
      <c r="AV419" s="9">
        <f t="shared" si="236"/>
        <v>0</v>
      </c>
      <c r="AW419" s="9">
        <f t="shared" si="237"/>
        <v>0</v>
      </c>
      <c r="AX419" s="9">
        <f t="shared" si="238"/>
        <v>0</v>
      </c>
      <c r="AY419" s="60" t="s">
        <v>1294</v>
      </c>
      <c r="AZ419" s="60" t="s">
        <v>1348</v>
      </c>
      <c r="BA419" s="11" t="s">
        <v>1092</v>
      </c>
      <c r="BC419" s="9">
        <f t="shared" si="239"/>
        <v>0</v>
      </c>
      <c r="BD419" s="9">
        <f t="shared" si="240"/>
        <v>0</v>
      </c>
      <c r="BE419" s="9">
        <v>0</v>
      </c>
      <c r="BF419" s="9">
        <f>419</f>
        <v>419</v>
      </c>
      <c r="BH419" s="9">
        <f t="shared" si="241"/>
        <v>0</v>
      </c>
      <c r="BI419" s="9">
        <f t="shared" si="242"/>
        <v>0</v>
      </c>
      <c r="BJ419" s="9">
        <f t="shared" si="243"/>
        <v>0</v>
      </c>
      <c r="BK419" s="9"/>
      <c r="BL419" s="9"/>
      <c r="BW419" s="9">
        <v>21</v>
      </c>
    </row>
    <row r="420" spans="1:75" ht="13.5" customHeight="1">
      <c r="A420" s="16" t="s">
        <v>689</v>
      </c>
      <c r="B420" s="32" t="s">
        <v>5</v>
      </c>
      <c r="C420" s="32" t="s">
        <v>1327</v>
      </c>
      <c r="D420" s="69" t="s">
        <v>291</v>
      </c>
      <c r="E420" s="70"/>
      <c r="F420" s="32" t="s">
        <v>317</v>
      </c>
      <c r="G420" s="9">
        <v>14</v>
      </c>
      <c r="H420" s="68">
        <v>0</v>
      </c>
      <c r="I420" s="9">
        <f t="shared" si="224"/>
        <v>0</v>
      </c>
      <c r="K420" s="23"/>
      <c r="Z420" s="9">
        <f t="shared" si="225"/>
        <v>0</v>
      </c>
      <c r="AB420" s="9">
        <f t="shared" si="226"/>
        <v>0</v>
      </c>
      <c r="AC420" s="9">
        <f t="shared" si="227"/>
        <v>0</v>
      </c>
      <c r="AD420" s="9">
        <f t="shared" si="228"/>
        <v>0</v>
      </c>
      <c r="AE420" s="9">
        <f t="shared" si="229"/>
        <v>0</v>
      </c>
      <c r="AF420" s="9">
        <f t="shared" si="230"/>
        <v>0</v>
      </c>
      <c r="AG420" s="9">
        <f t="shared" si="231"/>
        <v>0</v>
      </c>
      <c r="AH420" s="9">
        <f t="shared" si="232"/>
        <v>0</v>
      </c>
      <c r="AI420" s="11" t="s">
        <v>5</v>
      </c>
      <c r="AJ420" s="9">
        <f t="shared" si="233"/>
        <v>0</v>
      </c>
      <c r="AK420" s="9">
        <f t="shared" si="234"/>
        <v>0</v>
      </c>
      <c r="AL420" s="9">
        <f t="shared" si="235"/>
        <v>0</v>
      </c>
      <c r="AN420" s="9">
        <v>21</v>
      </c>
      <c r="AO420" s="9">
        <f>H420*1</f>
        <v>0</v>
      </c>
      <c r="AP420" s="9">
        <f>H420*(1-1)</f>
        <v>0</v>
      </c>
      <c r="AQ420" s="60" t="s">
        <v>1231</v>
      </c>
      <c r="AV420" s="9">
        <f t="shared" si="236"/>
        <v>0</v>
      </c>
      <c r="AW420" s="9">
        <f t="shared" si="237"/>
        <v>0</v>
      </c>
      <c r="AX420" s="9">
        <f t="shared" si="238"/>
        <v>0</v>
      </c>
      <c r="AY420" s="60" t="s">
        <v>1294</v>
      </c>
      <c r="AZ420" s="60" t="s">
        <v>1348</v>
      </c>
      <c r="BA420" s="11" t="s">
        <v>1092</v>
      </c>
      <c r="BC420" s="9">
        <f t="shared" si="239"/>
        <v>0</v>
      </c>
      <c r="BD420" s="9">
        <f t="shared" si="240"/>
        <v>0</v>
      </c>
      <c r="BE420" s="9">
        <v>0</v>
      </c>
      <c r="BF420" s="9">
        <f>420</f>
        <v>420</v>
      </c>
      <c r="BH420" s="9">
        <f t="shared" si="241"/>
        <v>0</v>
      </c>
      <c r="BI420" s="9">
        <f t="shared" si="242"/>
        <v>0</v>
      </c>
      <c r="BJ420" s="9">
        <f t="shared" si="243"/>
        <v>0</v>
      </c>
      <c r="BK420" s="9"/>
      <c r="BL420" s="9"/>
      <c r="BW420" s="9">
        <v>21</v>
      </c>
    </row>
    <row r="421" spans="1:75" ht="13.5" customHeight="1">
      <c r="A421" s="16" t="s">
        <v>1151</v>
      </c>
      <c r="B421" s="32" t="s">
        <v>5</v>
      </c>
      <c r="C421" s="32" t="s">
        <v>747</v>
      </c>
      <c r="D421" s="69" t="s">
        <v>188</v>
      </c>
      <c r="E421" s="70"/>
      <c r="F421" s="32" t="s">
        <v>317</v>
      </c>
      <c r="G421" s="9">
        <v>6</v>
      </c>
      <c r="H421" s="68">
        <v>0</v>
      </c>
      <c r="I421" s="9">
        <f t="shared" si="224"/>
        <v>0</v>
      </c>
      <c r="K421" s="23"/>
      <c r="Z421" s="9">
        <f t="shared" si="225"/>
        <v>0</v>
      </c>
      <c r="AB421" s="9">
        <f t="shared" si="226"/>
        <v>0</v>
      </c>
      <c r="AC421" s="9">
        <f t="shared" si="227"/>
        <v>0</v>
      </c>
      <c r="AD421" s="9">
        <f t="shared" si="228"/>
        <v>0</v>
      </c>
      <c r="AE421" s="9">
        <f t="shared" si="229"/>
        <v>0</v>
      </c>
      <c r="AF421" s="9">
        <f t="shared" si="230"/>
        <v>0</v>
      </c>
      <c r="AG421" s="9">
        <f t="shared" si="231"/>
        <v>0</v>
      </c>
      <c r="AH421" s="9">
        <f t="shared" si="232"/>
        <v>0</v>
      </c>
      <c r="AI421" s="11" t="s">
        <v>5</v>
      </c>
      <c r="AJ421" s="9">
        <f t="shared" si="233"/>
        <v>0</v>
      </c>
      <c r="AK421" s="9">
        <f t="shared" si="234"/>
        <v>0</v>
      </c>
      <c r="AL421" s="9">
        <f t="shared" si="235"/>
        <v>0</v>
      </c>
      <c r="AN421" s="9">
        <v>21</v>
      </c>
      <c r="AO421" s="9">
        <f>H421*0</f>
        <v>0</v>
      </c>
      <c r="AP421" s="9">
        <f>H421*(1-0)</f>
        <v>0</v>
      </c>
      <c r="AQ421" s="60" t="s">
        <v>1231</v>
      </c>
      <c r="AV421" s="9">
        <f t="shared" si="236"/>
        <v>0</v>
      </c>
      <c r="AW421" s="9">
        <f t="shared" si="237"/>
        <v>0</v>
      </c>
      <c r="AX421" s="9">
        <f t="shared" si="238"/>
        <v>0</v>
      </c>
      <c r="AY421" s="60" t="s">
        <v>1294</v>
      </c>
      <c r="AZ421" s="60" t="s">
        <v>1348</v>
      </c>
      <c r="BA421" s="11" t="s">
        <v>1092</v>
      </c>
      <c r="BC421" s="9">
        <f t="shared" si="239"/>
        <v>0</v>
      </c>
      <c r="BD421" s="9">
        <f t="shared" si="240"/>
        <v>0</v>
      </c>
      <c r="BE421" s="9">
        <v>0</v>
      </c>
      <c r="BF421" s="9">
        <f>421</f>
        <v>421</v>
      </c>
      <c r="BH421" s="9">
        <f t="shared" si="241"/>
        <v>0</v>
      </c>
      <c r="BI421" s="9">
        <f t="shared" si="242"/>
        <v>0</v>
      </c>
      <c r="BJ421" s="9">
        <f t="shared" si="243"/>
        <v>0</v>
      </c>
      <c r="BK421" s="9"/>
      <c r="BL421" s="9"/>
      <c r="BW421" s="9">
        <v>21</v>
      </c>
    </row>
    <row r="422" spans="1:75" ht="13.5" customHeight="1">
      <c r="A422" s="16" t="s">
        <v>1408</v>
      </c>
      <c r="B422" s="32" t="s">
        <v>5</v>
      </c>
      <c r="C422" s="32" t="s">
        <v>970</v>
      </c>
      <c r="D422" s="69" t="s">
        <v>786</v>
      </c>
      <c r="E422" s="70"/>
      <c r="F422" s="32" t="s">
        <v>317</v>
      </c>
      <c r="G422" s="9">
        <v>6</v>
      </c>
      <c r="H422" s="68">
        <v>0</v>
      </c>
      <c r="I422" s="9">
        <f t="shared" si="224"/>
        <v>0</v>
      </c>
      <c r="K422" s="23"/>
      <c r="Z422" s="9">
        <f t="shared" si="225"/>
        <v>0</v>
      </c>
      <c r="AB422" s="9">
        <f t="shared" si="226"/>
        <v>0</v>
      </c>
      <c r="AC422" s="9">
        <f t="shared" si="227"/>
        <v>0</v>
      </c>
      <c r="AD422" s="9">
        <f t="shared" si="228"/>
        <v>0</v>
      </c>
      <c r="AE422" s="9">
        <f t="shared" si="229"/>
        <v>0</v>
      </c>
      <c r="AF422" s="9">
        <f t="shared" si="230"/>
        <v>0</v>
      </c>
      <c r="AG422" s="9">
        <f t="shared" si="231"/>
        <v>0</v>
      </c>
      <c r="AH422" s="9">
        <f t="shared" si="232"/>
        <v>0</v>
      </c>
      <c r="AI422" s="11" t="s">
        <v>5</v>
      </c>
      <c r="AJ422" s="9">
        <f t="shared" si="233"/>
        <v>0</v>
      </c>
      <c r="AK422" s="9">
        <f t="shared" si="234"/>
        <v>0</v>
      </c>
      <c r="AL422" s="9">
        <f t="shared" si="235"/>
        <v>0</v>
      </c>
      <c r="AN422" s="9">
        <v>21</v>
      </c>
      <c r="AO422" s="9">
        <f>H422*1</f>
        <v>0</v>
      </c>
      <c r="AP422" s="9">
        <f>H422*(1-1)</f>
        <v>0</v>
      </c>
      <c r="AQ422" s="60" t="s">
        <v>1231</v>
      </c>
      <c r="AV422" s="9">
        <f t="shared" si="236"/>
        <v>0</v>
      </c>
      <c r="AW422" s="9">
        <f t="shared" si="237"/>
        <v>0</v>
      </c>
      <c r="AX422" s="9">
        <f t="shared" si="238"/>
        <v>0</v>
      </c>
      <c r="AY422" s="60" t="s">
        <v>1294</v>
      </c>
      <c r="AZ422" s="60" t="s">
        <v>1348</v>
      </c>
      <c r="BA422" s="11" t="s">
        <v>1092</v>
      </c>
      <c r="BC422" s="9">
        <f t="shared" si="239"/>
        <v>0</v>
      </c>
      <c r="BD422" s="9">
        <f t="shared" si="240"/>
        <v>0</v>
      </c>
      <c r="BE422" s="9">
        <v>0</v>
      </c>
      <c r="BF422" s="9">
        <f>422</f>
        <v>422</v>
      </c>
      <c r="BH422" s="9">
        <f t="shared" si="241"/>
        <v>0</v>
      </c>
      <c r="BI422" s="9">
        <f t="shared" si="242"/>
        <v>0</v>
      </c>
      <c r="BJ422" s="9">
        <f t="shared" si="243"/>
        <v>0</v>
      </c>
      <c r="BK422" s="9"/>
      <c r="BL422" s="9"/>
      <c r="BW422" s="9">
        <v>21</v>
      </c>
    </row>
    <row r="423" spans="1:75" ht="13.5" customHeight="1">
      <c r="A423" s="16" t="s">
        <v>71</v>
      </c>
      <c r="B423" s="32" t="s">
        <v>5</v>
      </c>
      <c r="C423" s="32" t="s">
        <v>754</v>
      </c>
      <c r="D423" s="69" t="s">
        <v>1258</v>
      </c>
      <c r="E423" s="70"/>
      <c r="F423" s="32" t="s">
        <v>317</v>
      </c>
      <c r="G423" s="9">
        <v>4</v>
      </c>
      <c r="H423" s="68">
        <v>0</v>
      </c>
      <c r="I423" s="9">
        <f t="shared" si="224"/>
        <v>0</v>
      </c>
      <c r="K423" s="23"/>
      <c r="Z423" s="9">
        <f t="shared" si="225"/>
        <v>0</v>
      </c>
      <c r="AB423" s="9">
        <f t="shared" si="226"/>
        <v>0</v>
      </c>
      <c r="AC423" s="9">
        <f t="shared" si="227"/>
        <v>0</v>
      </c>
      <c r="AD423" s="9">
        <f t="shared" si="228"/>
        <v>0</v>
      </c>
      <c r="AE423" s="9">
        <f t="shared" si="229"/>
        <v>0</v>
      </c>
      <c r="AF423" s="9">
        <f t="shared" si="230"/>
        <v>0</v>
      </c>
      <c r="AG423" s="9">
        <f t="shared" si="231"/>
        <v>0</v>
      </c>
      <c r="AH423" s="9">
        <f t="shared" si="232"/>
        <v>0</v>
      </c>
      <c r="AI423" s="11" t="s">
        <v>5</v>
      </c>
      <c r="AJ423" s="9">
        <f t="shared" si="233"/>
        <v>0</v>
      </c>
      <c r="AK423" s="9">
        <f t="shared" si="234"/>
        <v>0</v>
      </c>
      <c r="AL423" s="9">
        <f t="shared" si="235"/>
        <v>0</v>
      </c>
      <c r="AN423" s="9">
        <v>21</v>
      </c>
      <c r="AO423" s="9">
        <f>H423*0</f>
        <v>0</v>
      </c>
      <c r="AP423" s="9">
        <f>H423*(1-0)</f>
        <v>0</v>
      </c>
      <c r="AQ423" s="60" t="s">
        <v>1231</v>
      </c>
      <c r="AV423" s="9">
        <f t="shared" si="236"/>
        <v>0</v>
      </c>
      <c r="AW423" s="9">
        <f t="shared" si="237"/>
        <v>0</v>
      </c>
      <c r="AX423" s="9">
        <f t="shared" si="238"/>
        <v>0</v>
      </c>
      <c r="AY423" s="60" t="s">
        <v>1294</v>
      </c>
      <c r="AZ423" s="60" t="s">
        <v>1348</v>
      </c>
      <c r="BA423" s="11" t="s">
        <v>1092</v>
      </c>
      <c r="BC423" s="9">
        <f t="shared" si="239"/>
        <v>0</v>
      </c>
      <c r="BD423" s="9">
        <f t="shared" si="240"/>
        <v>0</v>
      </c>
      <c r="BE423" s="9">
        <v>0</v>
      </c>
      <c r="BF423" s="9">
        <f>423</f>
        <v>423</v>
      </c>
      <c r="BH423" s="9">
        <f t="shared" si="241"/>
        <v>0</v>
      </c>
      <c r="BI423" s="9">
        <f t="shared" si="242"/>
        <v>0</v>
      </c>
      <c r="BJ423" s="9">
        <f t="shared" si="243"/>
        <v>0</v>
      </c>
      <c r="BK423" s="9"/>
      <c r="BL423" s="9"/>
      <c r="BW423" s="9">
        <v>21</v>
      </c>
    </row>
    <row r="424" spans="1:75" ht="13.5" customHeight="1">
      <c r="A424" s="16" t="s">
        <v>1215</v>
      </c>
      <c r="B424" s="32" t="s">
        <v>5</v>
      </c>
      <c r="C424" s="32" t="s">
        <v>719</v>
      </c>
      <c r="D424" s="69" t="s">
        <v>1258</v>
      </c>
      <c r="E424" s="70"/>
      <c r="F424" s="32" t="s">
        <v>317</v>
      </c>
      <c r="G424" s="9">
        <v>4</v>
      </c>
      <c r="H424" s="68">
        <v>0</v>
      </c>
      <c r="I424" s="9">
        <f t="shared" si="224"/>
        <v>0</v>
      </c>
      <c r="K424" s="23"/>
      <c r="Z424" s="9">
        <f t="shared" si="225"/>
        <v>0</v>
      </c>
      <c r="AB424" s="9">
        <f t="shared" si="226"/>
        <v>0</v>
      </c>
      <c r="AC424" s="9">
        <f t="shared" si="227"/>
        <v>0</v>
      </c>
      <c r="AD424" s="9">
        <f t="shared" si="228"/>
        <v>0</v>
      </c>
      <c r="AE424" s="9">
        <f t="shared" si="229"/>
        <v>0</v>
      </c>
      <c r="AF424" s="9">
        <f t="shared" si="230"/>
        <v>0</v>
      </c>
      <c r="AG424" s="9">
        <f t="shared" si="231"/>
        <v>0</v>
      </c>
      <c r="AH424" s="9">
        <f t="shared" si="232"/>
        <v>0</v>
      </c>
      <c r="AI424" s="11" t="s">
        <v>5</v>
      </c>
      <c r="AJ424" s="9">
        <f t="shared" si="233"/>
        <v>0</v>
      </c>
      <c r="AK424" s="9">
        <f t="shared" si="234"/>
        <v>0</v>
      </c>
      <c r="AL424" s="9">
        <f t="shared" si="235"/>
        <v>0</v>
      </c>
      <c r="AN424" s="9">
        <v>21</v>
      </c>
      <c r="AO424" s="9">
        <f>H424*1</f>
        <v>0</v>
      </c>
      <c r="AP424" s="9">
        <f>H424*(1-1)</f>
        <v>0</v>
      </c>
      <c r="AQ424" s="60" t="s">
        <v>1231</v>
      </c>
      <c r="AV424" s="9">
        <f t="shared" si="236"/>
        <v>0</v>
      </c>
      <c r="AW424" s="9">
        <f t="shared" si="237"/>
        <v>0</v>
      </c>
      <c r="AX424" s="9">
        <f t="shared" si="238"/>
        <v>0</v>
      </c>
      <c r="AY424" s="60" t="s">
        <v>1294</v>
      </c>
      <c r="AZ424" s="60" t="s">
        <v>1348</v>
      </c>
      <c r="BA424" s="11" t="s">
        <v>1092</v>
      </c>
      <c r="BC424" s="9">
        <f t="shared" si="239"/>
        <v>0</v>
      </c>
      <c r="BD424" s="9">
        <f t="shared" si="240"/>
        <v>0</v>
      </c>
      <c r="BE424" s="9">
        <v>0</v>
      </c>
      <c r="BF424" s="9">
        <f>424</f>
        <v>424</v>
      </c>
      <c r="BH424" s="9">
        <f t="shared" si="241"/>
        <v>0</v>
      </c>
      <c r="BI424" s="9">
        <f t="shared" si="242"/>
        <v>0</v>
      </c>
      <c r="BJ424" s="9">
        <f t="shared" si="243"/>
        <v>0</v>
      </c>
      <c r="BK424" s="9"/>
      <c r="BL424" s="9"/>
      <c r="BW424" s="9">
        <v>21</v>
      </c>
    </row>
    <row r="425" spans="1:75" ht="13.5" customHeight="1">
      <c r="A425" s="16" t="s">
        <v>81</v>
      </c>
      <c r="B425" s="32" t="s">
        <v>5</v>
      </c>
      <c r="C425" s="32" t="s">
        <v>872</v>
      </c>
      <c r="D425" s="69" t="s">
        <v>301</v>
      </c>
      <c r="E425" s="70"/>
      <c r="F425" s="32" t="s">
        <v>317</v>
      </c>
      <c r="G425" s="9">
        <v>16</v>
      </c>
      <c r="H425" s="68">
        <v>0</v>
      </c>
      <c r="I425" s="9">
        <f t="shared" si="224"/>
        <v>0</v>
      </c>
      <c r="K425" s="23"/>
      <c r="Z425" s="9">
        <f t="shared" si="225"/>
        <v>0</v>
      </c>
      <c r="AB425" s="9">
        <f t="shared" si="226"/>
        <v>0</v>
      </c>
      <c r="AC425" s="9">
        <f t="shared" si="227"/>
        <v>0</v>
      </c>
      <c r="AD425" s="9">
        <f t="shared" si="228"/>
        <v>0</v>
      </c>
      <c r="AE425" s="9">
        <f t="shared" si="229"/>
        <v>0</v>
      </c>
      <c r="AF425" s="9">
        <f t="shared" si="230"/>
        <v>0</v>
      </c>
      <c r="AG425" s="9">
        <f t="shared" si="231"/>
        <v>0</v>
      </c>
      <c r="AH425" s="9">
        <f t="shared" si="232"/>
        <v>0</v>
      </c>
      <c r="AI425" s="11" t="s">
        <v>5</v>
      </c>
      <c r="AJ425" s="9">
        <f t="shared" si="233"/>
        <v>0</v>
      </c>
      <c r="AK425" s="9">
        <f t="shared" si="234"/>
        <v>0</v>
      </c>
      <c r="AL425" s="9">
        <f t="shared" si="235"/>
        <v>0</v>
      </c>
      <c r="AN425" s="9">
        <v>21</v>
      </c>
      <c r="AO425" s="9">
        <f>H425*0</f>
        <v>0</v>
      </c>
      <c r="AP425" s="9">
        <f>H425*(1-0)</f>
        <v>0</v>
      </c>
      <c r="AQ425" s="60" t="s">
        <v>1231</v>
      </c>
      <c r="AV425" s="9">
        <f t="shared" si="236"/>
        <v>0</v>
      </c>
      <c r="AW425" s="9">
        <f t="shared" si="237"/>
        <v>0</v>
      </c>
      <c r="AX425" s="9">
        <f t="shared" si="238"/>
        <v>0</v>
      </c>
      <c r="AY425" s="60" t="s">
        <v>1294</v>
      </c>
      <c r="AZ425" s="60" t="s">
        <v>1348</v>
      </c>
      <c r="BA425" s="11" t="s">
        <v>1092</v>
      </c>
      <c r="BC425" s="9">
        <f t="shared" si="239"/>
        <v>0</v>
      </c>
      <c r="BD425" s="9">
        <f t="shared" si="240"/>
        <v>0</v>
      </c>
      <c r="BE425" s="9">
        <v>0</v>
      </c>
      <c r="BF425" s="9">
        <f>425</f>
        <v>425</v>
      </c>
      <c r="BH425" s="9">
        <f t="shared" si="241"/>
        <v>0</v>
      </c>
      <c r="BI425" s="9">
        <f t="shared" si="242"/>
        <v>0</v>
      </c>
      <c r="BJ425" s="9">
        <f t="shared" si="243"/>
        <v>0</v>
      </c>
      <c r="BK425" s="9"/>
      <c r="BL425" s="9"/>
      <c r="BW425" s="9">
        <v>21</v>
      </c>
    </row>
    <row r="426" spans="1:75" ht="13.5" customHeight="1">
      <c r="A426" s="16" t="s">
        <v>1392</v>
      </c>
      <c r="B426" s="32" t="s">
        <v>5</v>
      </c>
      <c r="C426" s="32" t="s">
        <v>1089</v>
      </c>
      <c r="D426" s="69" t="s">
        <v>737</v>
      </c>
      <c r="E426" s="70"/>
      <c r="F426" s="32" t="s">
        <v>861</v>
      </c>
      <c r="G426" s="9">
        <v>10</v>
      </c>
      <c r="H426" s="68">
        <v>0</v>
      </c>
      <c r="I426" s="9">
        <f t="shared" si="224"/>
        <v>0</v>
      </c>
      <c r="K426" s="23"/>
      <c r="Z426" s="9">
        <f t="shared" si="225"/>
        <v>0</v>
      </c>
      <c r="AB426" s="9">
        <f t="shared" si="226"/>
        <v>0</v>
      </c>
      <c r="AC426" s="9">
        <f t="shared" si="227"/>
        <v>0</v>
      </c>
      <c r="AD426" s="9">
        <f t="shared" si="228"/>
        <v>0</v>
      </c>
      <c r="AE426" s="9">
        <f t="shared" si="229"/>
        <v>0</v>
      </c>
      <c r="AF426" s="9">
        <f t="shared" si="230"/>
        <v>0</v>
      </c>
      <c r="AG426" s="9">
        <f t="shared" si="231"/>
        <v>0</v>
      </c>
      <c r="AH426" s="9">
        <f t="shared" si="232"/>
        <v>0</v>
      </c>
      <c r="AI426" s="11" t="s">
        <v>5</v>
      </c>
      <c r="AJ426" s="9">
        <f t="shared" si="233"/>
        <v>0</v>
      </c>
      <c r="AK426" s="9">
        <f t="shared" si="234"/>
        <v>0</v>
      </c>
      <c r="AL426" s="9">
        <f t="shared" si="235"/>
        <v>0</v>
      </c>
      <c r="AN426" s="9">
        <v>21</v>
      </c>
      <c r="AO426" s="9">
        <f>H426*1</f>
        <v>0</v>
      </c>
      <c r="AP426" s="9">
        <f>H426*(1-1)</f>
        <v>0</v>
      </c>
      <c r="AQ426" s="60" t="s">
        <v>1231</v>
      </c>
      <c r="AV426" s="9">
        <f t="shared" si="236"/>
        <v>0</v>
      </c>
      <c r="AW426" s="9">
        <f t="shared" si="237"/>
        <v>0</v>
      </c>
      <c r="AX426" s="9">
        <f t="shared" si="238"/>
        <v>0</v>
      </c>
      <c r="AY426" s="60" t="s">
        <v>1294</v>
      </c>
      <c r="AZ426" s="60" t="s">
        <v>1348</v>
      </c>
      <c r="BA426" s="11" t="s">
        <v>1092</v>
      </c>
      <c r="BC426" s="9">
        <f t="shared" si="239"/>
        <v>0</v>
      </c>
      <c r="BD426" s="9">
        <f t="shared" si="240"/>
        <v>0</v>
      </c>
      <c r="BE426" s="9">
        <v>0</v>
      </c>
      <c r="BF426" s="9">
        <f>426</f>
        <v>426</v>
      </c>
      <c r="BH426" s="9">
        <f t="shared" si="241"/>
        <v>0</v>
      </c>
      <c r="BI426" s="9">
        <f t="shared" si="242"/>
        <v>0</v>
      </c>
      <c r="BJ426" s="9">
        <f t="shared" si="243"/>
        <v>0</v>
      </c>
      <c r="BK426" s="9"/>
      <c r="BL426" s="9"/>
      <c r="BW426" s="9">
        <v>21</v>
      </c>
    </row>
    <row r="427" spans="1:75" ht="13.5" customHeight="1">
      <c r="A427" s="16" t="s">
        <v>1019</v>
      </c>
      <c r="B427" s="32" t="s">
        <v>5</v>
      </c>
      <c r="C427" s="32" t="s">
        <v>97</v>
      </c>
      <c r="D427" s="69" t="s">
        <v>1154</v>
      </c>
      <c r="E427" s="70"/>
      <c r="F427" s="32" t="s">
        <v>861</v>
      </c>
      <c r="G427" s="9">
        <v>6</v>
      </c>
      <c r="H427" s="68">
        <v>0</v>
      </c>
      <c r="I427" s="9">
        <f t="shared" si="224"/>
        <v>0</v>
      </c>
      <c r="K427" s="23"/>
      <c r="Z427" s="9">
        <f t="shared" si="225"/>
        <v>0</v>
      </c>
      <c r="AB427" s="9">
        <f t="shared" si="226"/>
        <v>0</v>
      </c>
      <c r="AC427" s="9">
        <f t="shared" si="227"/>
        <v>0</v>
      </c>
      <c r="AD427" s="9">
        <f t="shared" si="228"/>
        <v>0</v>
      </c>
      <c r="AE427" s="9">
        <f t="shared" si="229"/>
        <v>0</v>
      </c>
      <c r="AF427" s="9">
        <f t="shared" si="230"/>
        <v>0</v>
      </c>
      <c r="AG427" s="9">
        <f t="shared" si="231"/>
        <v>0</v>
      </c>
      <c r="AH427" s="9">
        <f t="shared" si="232"/>
        <v>0</v>
      </c>
      <c r="AI427" s="11" t="s">
        <v>5</v>
      </c>
      <c r="AJ427" s="9">
        <f t="shared" si="233"/>
        <v>0</v>
      </c>
      <c r="AK427" s="9">
        <f t="shared" si="234"/>
        <v>0</v>
      </c>
      <c r="AL427" s="9">
        <f t="shared" si="235"/>
        <v>0</v>
      </c>
      <c r="AN427" s="9">
        <v>21</v>
      </c>
      <c r="AO427" s="9">
        <f>H427*1</f>
        <v>0</v>
      </c>
      <c r="AP427" s="9">
        <f>H427*(1-1)</f>
        <v>0</v>
      </c>
      <c r="AQ427" s="60" t="s">
        <v>1231</v>
      </c>
      <c r="AV427" s="9">
        <f t="shared" si="236"/>
        <v>0</v>
      </c>
      <c r="AW427" s="9">
        <f t="shared" si="237"/>
        <v>0</v>
      </c>
      <c r="AX427" s="9">
        <f t="shared" si="238"/>
        <v>0</v>
      </c>
      <c r="AY427" s="60" t="s">
        <v>1294</v>
      </c>
      <c r="AZ427" s="60" t="s">
        <v>1348</v>
      </c>
      <c r="BA427" s="11" t="s">
        <v>1092</v>
      </c>
      <c r="BC427" s="9">
        <f t="shared" si="239"/>
        <v>0</v>
      </c>
      <c r="BD427" s="9">
        <f t="shared" si="240"/>
        <v>0</v>
      </c>
      <c r="BE427" s="9">
        <v>0</v>
      </c>
      <c r="BF427" s="9">
        <f>427</f>
        <v>427</v>
      </c>
      <c r="BH427" s="9">
        <f t="shared" si="241"/>
        <v>0</v>
      </c>
      <c r="BI427" s="9">
        <f t="shared" si="242"/>
        <v>0</v>
      </c>
      <c r="BJ427" s="9">
        <f t="shared" si="243"/>
        <v>0</v>
      </c>
      <c r="BK427" s="9"/>
      <c r="BL427" s="9"/>
      <c r="BW427" s="9">
        <v>21</v>
      </c>
    </row>
    <row r="428" spans="1:75" ht="27" customHeight="1">
      <c r="A428" s="16" t="s">
        <v>1417</v>
      </c>
      <c r="B428" s="32" t="s">
        <v>5</v>
      </c>
      <c r="C428" s="32" t="s">
        <v>754</v>
      </c>
      <c r="D428" s="69" t="s">
        <v>826</v>
      </c>
      <c r="E428" s="70"/>
      <c r="F428" s="32" t="s">
        <v>317</v>
      </c>
      <c r="G428" s="9">
        <v>2</v>
      </c>
      <c r="H428" s="68">
        <v>0</v>
      </c>
      <c r="I428" s="9">
        <f t="shared" si="224"/>
        <v>0</v>
      </c>
      <c r="K428" s="23"/>
      <c r="Z428" s="9">
        <f t="shared" si="225"/>
        <v>0</v>
      </c>
      <c r="AB428" s="9">
        <f t="shared" si="226"/>
        <v>0</v>
      </c>
      <c r="AC428" s="9">
        <f t="shared" si="227"/>
        <v>0</v>
      </c>
      <c r="AD428" s="9">
        <f t="shared" si="228"/>
        <v>0</v>
      </c>
      <c r="AE428" s="9">
        <f t="shared" si="229"/>
        <v>0</v>
      </c>
      <c r="AF428" s="9">
        <f t="shared" si="230"/>
        <v>0</v>
      </c>
      <c r="AG428" s="9">
        <f t="shared" si="231"/>
        <v>0</v>
      </c>
      <c r="AH428" s="9">
        <f t="shared" si="232"/>
        <v>0</v>
      </c>
      <c r="AI428" s="11" t="s">
        <v>5</v>
      </c>
      <c r="AJ428" s="9">
        <f t="shared" si="233"/>
        <v>0</v>
      </c>
      <c r="AK428" s="9">
        <f t="shared" si="234"/>
        <v>0</v>
      </c>
      <c r="AL428" s="9">
        <f t="shared" si="235"/>
        <v>0</v>
      </c>
      <c r="AN428" s="9">
        <v>21</v>
      </c>
      <c r="AO428" s="9">
        <f>H428*1</f>
        <v>0</v>
      </c>
      <c r="AP428" s="9">
        <f>H428*(1-1)</f>
        <v>0</v>
      </c>
      <c r="AQ428" s="60" t="s">
        <v>1231</v>
      </c>
      <c r="AV428" s="9">
        <f t="shared" si="236"/>
        <v>0</v>
      </c>
      <c r="AW428" s="9">
        <f t="shared" si="237"/>
        <v>0</v>
      </c>
      <c r="AX428" s="9">
        <f t="shared" si="238"/>
        <v>0</v>
      </c>
      <c r="AY428" s="60" t="s">
        <v>1294</v>
      </c>
      <c r="AZ428" s="60" t="s">
        <v>1348</v>
      </c>
      <c r="BA428" s="11" t="s">
        <v>1092</v>
      </c>
      <c r="BC428" s="9">
        <f t="shared" si="239"/>
        <v>0</v>
      </c>
      <c r="BD428" s="9">
        <f t="shared" si="240"/>
        <v>0</v>
      </c>
      <c r="BE428" s="9">
        <v>0</v>
      </c>
      <c r="BF428" s="9">
        <f>428</f>
        <v>428</v>
      </c>
      <c r="BH428" s="9">
        <f t="shared" si="241"/>
        <v>0</v>
      </c>
      <c r="BI428" s="9">
        <f t="shared" si="242"/>
        <v>0</v>
      </c>
      <c r="BJ428" s="9">
        <f t="shared" si="243"/>
        <v>0</v>
      </c>
      <c r="BK428" s="9"/>
      <c r="BL428" s="9"/>
      <c r="BW428" s="9">
        <v>21</v>
      </c>
    </row>
    <row r="429" spans="1:75" ht="27" customHeight="1">
      <c r="A429" s="16" t="s">
        <v>503</v>
      </c>
      <c r="B429" s="32" t="s">
        <v>5</v>
      </c>
      <c r="C429" s="32" t="s">
        <v>394</v>
      </c>
      <c r="D429" s="69" t="s">
        <v>826</v>
      </c>
      <c r="E429" s="70"/>
      <c r="F429" s="32" t="s">
        <v>317</v>
      </c>
      <c r="G429" s="9">
        <v>2</v>
      </c>
      <c r="H429" s="68">
        <v>0</v>
      </c>
      <c r="I429" s="9">
        <f t="shared" si="224"/>
        <v>0</v>
      </c>
      <c r="K429" s="23"/>
      <c r="Z429" s="9">
        <f t="shared" si="225"/>
        <v>0</v>
      </c>
      <c r="AB429" s="9">
        <f t="shared" si="226"/>
        <v>0</v>
      </c>
      <c r="AC429" s="9">
        <f t="shared" si="227"/>
        <v>0</v>
      </c>
      <c r="AD429" s="9">
        <f t="shared" si="228"/>
        <v>0</v>
      </c>
      <c r="AE429" s="9">
        <f t="shared" si="229"/>
        <v>0</v>
      </c>
      <c r="AF429" s="9">
        <f t="shared" si="230"/>
        <v>0</v>
      </c>
      <c r="AG429" s="9">
        <f t="shared" si="231"/>
        <v>0</v>
      </c>
      <c r="AH429" s="9">
        <f t="shared" si="232"/>
        <v>0</v>
      </c>
      <c r="AI429" s="11" t="s">
        <v>5</v>
      </c>
      <c r="AJ429" s="9">
        <f t="shared" si="233"/>
        <v>0</v>
      </c>
      <c r="AK429" s="9">
        <f t="shared" si="234"/>
        <v>0</v>
      </c>
      <c r="AL429" s="9">
        <f t="shared" si="235"/>
        <v>0</v>
      </c>
      <c r="AN429" s="9">
        <v>21</v>
      </c>
      <c r="AO429" s="9">
        <f>H429*1</f>
        <v>0</v>
      </c>
      <c r="AP429" s="9">
        <f>H429*(1-1)</f>
        <v>0</v>
      </c>
      <c r="AQ429" s="60" t="s">
        <v>1231</v>
      </c>
      <c r="AV429" s="9">
        <f t="shared" si="236"/>
        <v>0</v>
      </c>
      <c r="AW429" s="9">
        <f t="shared" si="237"/>
        <v>0</v>
      </c>
      <c r="AX429" s="9">
        <f t="shared" si="238"/>
        <v>0</v>
      </c>
      <c r="AY429" s="60" t="s">
        <v>1294</v>
      </c>
      <c r="AZ429" s="60" t="s">
        <v>1348</v>
      </c>
      <c r="BA429" s="11" t="s">
        <v>1092</v>
      </c>
      <c r="BC429" s="9">
        <f t="shared" si="239"/>
        <v>0</v>
      </c>
      <c r="BD429" s="9">
        <f t="shared" si="240"/>
        <v>0</v>
      </c>
      <c r="BE429" s="9">
        <v>0</v>
      </c>
      <c r="BF429" s="9">
        <f>429</f>
        <v>429</v>
      </c>
      <c r="BH429" s="9">
        <f t="shared" si="241"/>
        <v>0</v>
      </c>
      <c r="BI429" s="9">
        <f t="shared" si="242"/>
        <v>0</v>
      </c>
      <c r="BJ429" s="9">
        <f t="shared" si="243"/>
        <v>0</v>
      </c>
      <c r="BK429" s="9"/>
      <c r="BL429" s="9"/>
      <c r="BW429" s="9">
        <v>21</v>
      </c>
    </row>
    <row r="430" spans="1:75" ht="13.5" customHeight="1">
      <c r="A430" s="16" t="s">
        <v>227</v>
      </c>
      <c r="B430" s="32" t="s">
        <v>5</v>
      </c>
      <c r="C430" s="32" t="s">
        <v>1230</v>
      </c>
      <c r="D430" s="69" t="s">
        <v>1418</v>
      </c>
      <c r="E430" s="70"/>
      <c r="F430" s="32" t="s">
        <v>317</v>
      </c>
      <c r="G430" s="9">
        <v>2</v>
      </c>
      <c r="H430" s="68">
        <v>0</v>
      </c>
      <c r="I430" s="9">
        <f t="shared" si="224"/>
        <v>0</v>
      </c>
      <c r="K430" s="23"/>
      <c r="Z430" s="9">
        <f t="shared" si="225"/>
        <v>0</v>
      </c>
      <c r="AB430" s="9">
        <f t="shared" si="226"/>
        <v>0</v>
      </c>
      <c r="AC430" s="9">
        <f t="shared" si="227"/>
        <v>0</v>
      </c>
      <c r="AD430" s="9">
        <f t="shared" si="228"/>
        <v>0</v>
      </c>
      <c r="AE430" s="9">
        <f t="shared" si="229"/>
        <v>0</v>
      </c>
      <c r="AF430" s="9">
        <f t="shared" si="230"/>
        <v>0</v>
      </c>
      <c r="AG430" s="9">
        <f t="shared" si="231"/>
        <v>0</v>
      </c>
      <c r="AH430" s="9">
        <f t="shared" si="232"/>
        <v>0</v>
      </c>
      <c r="AI430" s="11" t="s">
        <v>5</v>
      </c>
      <c r="AJ430" s="9">
        <f t="shared" si="233"/>
        <v>0</v>
      </c>
      <c r="AK430" s="9">
        <f t="shared" si="234"/>
        <v>0</v>
      </c>
      <c r="AL430" s="9">
        <f t="shared" si="235"/>
        <v>0</v>
      </c>
      <c r="AN430" s="9">
        <v>21</v>
      </c>
      <c r="AO430" s="9">
        <f>H430*1</f>
        <v>0</v>
      </c>
      <c r="AP430" s="9">
        <f>H430*(1-1)</f>
        <v>0</v>
      </c>
      <c r="AQ430" s="60" t="s">
        <v>1231</v>
      </c>
      <c r="AV430" s="9">
        <f t="shared" si="236"/>
        <v>0</v>
      </c>
      <c r="AW430" s="9">
        <f t="shared" si="237"/>
        <v>0</v>
      </c>
      <c r="AX430" s="9">
        <f t="shared" si="238"/>
        <v>0</v>
      </c>
      <c r="AY430" s="60" t="s">
        <v>1294</v>
      </c>
      <c r="AZ430" s="60" t="s">
        <v>1348</v>
      </c>
      <c r="BA430" s="11" t="s">
        <v>1092</v>
      </c>
      <c r="BC430" s="9">
        <f t="shared" si="239"/>
        <v>0</v>
      </c>
      <c r="BD430" s="9">
        <f t="shared" si="240"/>
        <v>0</v>
      </c>
      <c r="BE430" s="9">
        <v>0</v>
      </c>
      <c r="BF430" s="9">
        <f>430</f>
        <v>430</v>
      </c>
      <c r="BH430" s="9">
        <f t="shared" si="241"/>
        <v>0</v>
      </c>
      <c r="BI430" s="9">
        <f t="shared" si="242"/>
        <v>0</v>
      </c>
      <c r="BJ430" s="9">
        <f t="shared" si="243"/>
        <v>0</v>
      </c>
      <c r="BK430" s="9"/>
      <c r="BL430" s="9"/>
      <c r="BW430" s="9">
        <v>21</v>
      </c>
    </row>
    <row r="431" spans="1:75" ht="13.5" customHeight="1">
      <c r="A431" s="16" t="s">
        <v>1353</v>
      </c>
      <c r="B431" s="32" t="s">
        <v>5</v>
      </c>
      <c r="C431" s="32" t="s">
        <v>485</v>
      </c>
      <c r="D431" s="69" t="s">
        <v>985</v>
      </c>
      <c r="E431" s="70"/>
      <c r="F431" s="32" t="s">
        <v>317</v>
      </c>
      <c r="G431" s="9">
        <v>36</v>
      </c>
      <c r="H431" s="68">
        <v>0</v>
      </c>
      <c r="I431" s="9">
        <f t="shared" si="224"/>
        <v>0</v>
      </c>
      <c r="K431" s="23"/>
      <c r="Z431" s="9">
        <f t="shared" si="225"/>
        <v>0</v>
      </c>
      <c r="AB431" s="9">
        <f t="shared" si="226"/>
        <v>0</v>
      </c>
      <c r="AC431" s="9">
        <f t="shared" si="227"/>
        <v>0</v>
      </c>
      <c r="AD431" s="9">
        <f t="shared" si="228"/>
        <v>0</v>
      </c>
      <c r="AE431" s="9">
        <f t="shared" si="229"/>
        <v>0</v>
      </c>
      <c r="AF431" s="9">
        <f t="shared" si="230"/>
        <v>0</v>
      </c>
      <c r="AG431" s="9">
        <f t="shared" si="231"/>
        <v>0</v>
      </c>
      <c r="AH431" s="9">
        <f t="shared" si="232"/>
        <v>0</v>
      </c>
      <c r="AI431" s="11" t="s">
        <v>5</v>
      </c>
      <c r="AJ431" s="9">
        <f t="shared" si="233"/>
        <v>0</v>
      </c>
      <c r="AK431" s="9">
        <f t="shared" si="234"/>
        <v>0</v>
      </c>
      <c r="AL431" s="9">
        <f t="shared" si="235"/>
        <v>0</v>
      </c>
      <c r="AN431" s="9">
        <v>21</v>
      </c>
      <c r="AO431" s="9">
        <f>H431*0</f>
        <v>0</v>
      </c>
      <c r="AP431" s="9">
        <f>H431*(1-0)</f>
        <v>0</v>
      </c>
      <c r="AQ431" s="60" t="s">
        <v>1231</v>
      </c>
      <c r="AV431" s="9">
        <f t="shared" si="236"/>
        <v>0</v>
      </c>
      <c r="AW431" s="9">
        <f t="shared" si="237"/>
        <v>0</v>
      </c>
      <c r="AX431" s="9">
        <f t="shared" si="238"/>
        <v>0</v>
      </c>
      <c r="AY431" s="60" t="s">
        <v>1294</v>
      </c>
      <c r="AZ431" s="60" t="s">
        <v>1348</v>
      </c>
      <c r="BA431" s="11" t="s">
        <v>1092</v>
      </c>
      <c r="BC431" s="9">
        <f t="shared" si="239"/>
        <v>0</v>
      </c>
      <c r="BD431" s="9">
        <f t="shared" si="240"/>
        <v>0</v>
      </c>
      <c r="BE431" s="9">
        <v>0</v>
      </c>
      <c r="BF431" s="9">
        <f>431</f>
        <v>431</v>
      </c>
      <c r="BH431" s="9">
        <f t="shared" si="241"/>
        <v>0</v>
      </c>
      <c r="BI431" s="9">
        <f t="shared" si="242"/>
        <v>0</v>
      </c>
      <c r="BJ431" s="9">
        <f t="shared" si="243"/>
        <v>0</v>
      </c>
      <c r="BK431" s="9"/>
      <c r="BL431" s="9"/>
      <c r="BW431" s="9">
        <v>21</v>
      </c>
    </row>
    <row r="432" spans="1:75" ht="13.5" customHeight="1">
      <c r="A432" s="16" t="s">
        <v>884</v>
      </c>
      <c r="B432" s="32" t="s">
        <v>5</v>
      </c>
      <c r="C432" s="32" t="s">
        <v>240</v>
      </c>
      <c r="D432" s="69" t="s">
        <v>1105</v>
      </c>
      <c r="E432" s="70"/>
      <c r="F432" s="32" t="s">
        <v>317</v>
      </c>
      <c r="G432" s="9">
        <v>12</v>
      </c>
      <c r="H432" s="68">
        <v>0</v>
      </c>
      <c r="I432" s="9">
        <f t="shared" si="224"/>
        <v>0</v>
      </c>
      <c r="K432" s="23"/>
      <c r="Z432" s="9">
        <f t="shared" si="225"/>
        <v>0</v>
      </c>
      <c r="AB432" s="9">
        <f t="shared" si="226"/>
        <v>0</v>
      </c>
      <c r="AC432" s="9">
        <f t="shared" si="227"/>
        <v>0</v>
      </c>
      <c r="AD432" s="9">
        <f t="shared" si="228"/>
        <v>0</v>
      </c>
      <c r="AE432" s="9">
        <f t="shared" si="229"/>
        <v>0</v>
      </c>
      <c r="AF432" s="9">
        <f t="shared" si="230"/>
        <v>0</v>
      </c>
      <c r="AG432" s="9">
        <f t="shared" si="231"/>
        <v>0</v>
      </c>
      <c r="AH432" s="9">
        <f t="shared" si="232"/>
        <v>0</v>
      </c>
      <c r="AI432" s="11" t="s">
        <v>5</v>
      </c>
      <c r="AJ432" s="9">
        <f t="shared" si="233"/>
        <v>0</v>
      </c>
      <c r="AK432" s="9">
        <f t="shared" si="234"/>
        <v>0</v>
      </c>
      <c r="AL432" s="9">
        <f t="shared" si="235"/>
        <v>0</v>
      </c>
      <c r="AN432" s="9">
        <v>21</v>
      </c>
      <c r="AO432" s="9">
        <f>H432*1</f>
        <v>0</v>
      </c>
      <c r="AP432" s="9">
        <f>H432*(1-1)</f>
        <v>0</v>
      </c>
      <c r="AQ432" s="60" t="s">
        <v>1231</v>
      </c>
      <c r="AV432" s="9">
        <f t="shared" si="236"/>
        <v>0</v>
      </c>
      <c r="AW432" s="9">
        <f t="shared" si="237"/>
        <v>0</v>
      </c>
      <c r="AX432" s="9">
        <f t="shared" si="238"/>
        <v>0</v>
      </c>
      <c r="AY432" s="60" t="s">
        <v>1294</v>
      </c>
      <c r="AZ432" s="60" t="s">
        <v>1348</v>
      </c>
      <c r="BA432" s="11" t="s">
        <v>1092</v>
      </c>
      <c r="BC432" s="9">
        <f t="shared" si="239"/>
        <v>0</v>
      </c>
      <c r="BD432" s="9">
        <f t="shared" si="240"/>
        <v>0</v>
      </c>
      <c r="BE432" s="9">
        <v>0</v>
      </c>
      <c r="BF432" s="9">
        <f>432</f>
        <v>432</v>
      </c>
      <c r="BH432" s="9">
        <f t="shared" si="241"/>
        <v>0</v>
      </c>
      <c r="BI432" s="9">
        <f t="shared" si="242"/>
        <v>0</v>
      </c>
      <c r="BJ432" s="9">
        <f t="shared" si="243"/>
        <v>0</v>
      </c>
      <c r="BK432" s="9"/>
      <c r="BL432" s="9"/>
      <c r="BW432" s="9">
        <v>21</v>
      </c>
    </row>
    <row r="433" spans="1:75" ht="13.5" customHeight="1">
      <c r="A433" s="16" t="s">
        <v>829</v>
      </c>
      <c r="B433" s="32" t="s">
        <v>5</v>
      </c>
      <c r="C433" s="32" t="s">
        <v>1317</v>
      </c>
      <c r="D433" s="69" t="s">
        <v>1</v>
      </c>
      <c r="E433" s="70"/>
      <c r="F433" s="32" t="s">
        <v>317</v>
      </c>
      <c r="G433" s="9">
        <v>16</v>
      </c>
      <c r="H433" s="68">
        <v>0</v>
      </c>
      <c r="I433" s="9">
        <f t="shared" si="224"/>
        <v>0</v>
      </c>
      <c r="K433" s="23"/>
      <c r="Z433" s="9">
        <f t="shared" si="225"/>
        <v>0</v>
      </c>
      <c r="AB433" s="9">
        <f t="shared" si="226"/>
        <v>0</v>
      </c>
      <c r="AC433" s="9">
        <f t="shared" si="227"/>
        <v>0</v>
      </c>
      <c r="AD433" s="9">
        <f t="shared" si="228"/>
        <v>0</v>
      </c>
      <c r="AE433" s="9">
        <f t="shared" si="229"/>
        <v>0</v>
      </c>
      <c r="AF433" s="9">
        <f t="shared" si="230"/>
        <v>0</v>
      </c>
      <c r="AG433" s="9">
        <f t="shared" si="231"/>
        <v>0</v>
      </c>
      <c r="AH433" s="9">
        <f t="shared" si="232"/>
        <v>0</v>
      </c>
      <c r="AI433" s="11" t="s">
        <v>5</v>
      </c>
      <c r="AJ433" s="9">
        <f t="shared" si="233"/>
        <v>0</v>
      </c>
      <c r="AK433" s="9">
        <f t="shared" si="234"/>
        <v>0</v>
      </c>
      <c r="AL433" s="9">
        <f t="shared" si="235"/>
        <v>0</v>
      </c>
      <c r="AN433" s="9">
        <v>21</v>
      </c>
      <c r="AO433" s="9">
        <f>H433*1</f>
        <v>0</v>
      </c>
      <c r="AP433" s="9">
        <f>H433*(1-1)</f>
        <v>0</v>
      </c>
      <c r="AQ433" s="60" t="s">
        <v>1231</v>
      </c>
      <c r="AV433" s="9">
        <f t="shared" si="236"/>
        <v>0</v>
      </c>
      <c r="AW433" s="9">
        <f t="shared" si="237"/>
        <v>0</v>
      </c>
      <c r="AX433" s="9">
        <f t="shared" si="238"/>
        <v>0</v>
      </c>
      <c r="AY433" s="60" t="s">
        <v>1294</v>
      </c>
      <c r="AZ433" s="60" t="s">
        <v>1348</v>
      </c>
      <c r="BA433" s="11" t="s">
        <v>1092</v>
      </c>
      <c r="BC433" s="9">
        <f t="shared" si="239"/>
        <v>0</v>
      </c>
      <c r="BD433" s="9">
        <f t="shared" si="240"/>
        <v>0</v>
      </c>
      <c r="BE433" s="9">
        <v>0</v>
      </c>
      <c r="BF433" s="9">
        <f>433</f>
        <v>433</v>
      </c>
      <c r="BH433" s="9">
        <f t="shared" si="241"/>
        <v>0</v>
      </c>
      <c r="BI433" s="9">
        <f t="shared" si="242"/>
        <v>0</v>
      </c>
      <c r="BJ433" s="9">
        <f t="shared" si="243"/>
        <v>0</v>
      </c>
      <c r="BK433" s="9"/>
      <c r="BL433" s="9"/>
      <c r="BW433" s="9">
        <v>21</v>
      </c>
    </row>
    <row r="434" spans="1:75" ht="13.5" customHeight="1">
      <c r="A434" s="16" t="s">
        <v>1323</v>
      </c>
      <c r="B434" s="32" t="s">
        <v>5</v>
      </c>
      <c r="C434" s="32" t="s">
        <v>1201</v>
      </c>
      <c r="D434" s="69" t="s">
        <v>455</v>
      </c>
      <c r="E434" s="70"/>
      <c r="F434" s="32" t="s">
        <v>317</v>
      </c>
      <c r="G434" s="9">
        <v>8</v>
      </c>
      <c r="H434" s="68">
        <v>0</v>
      </c>
      <c r="I434" s="9">
        <f t="shared" si="224"/>
        <v>0</v>
      </c>
      <c r="K434" s="23"/>
      <c r="Z434" s="9">
        <f t="shared" si="225"/>
        <v>0</v>
      </c>
      <c r="AB434" s="9">
        <f t="shared" si="226"/>
        <v>0</v>
      </c>
      <c r="AC434" s="9">
        <f t="shared" si="227"/>
        <v>0</v>
      </c>
      <c r="AD434" s="9">
        <f t="shared" si="228"/>
        <v>0</v>
      </c>
      <c r="AE434" s="9">
        <f t="shared" si="229"/>
        <v>0</v>
      </c>
      <c r="AF434" s="9">
        <f t="shared" si="230"/>
        <v>0</v>
      </c>
      <c r="AG434" s="9">
        <f t="shared" si="231"/>
        <v>0</v>
      </c>
      <c r="AH434" s="9">
        <f t="shared" si="232"/>
        <v>0</v>
      </c>
      <c r="AI434" s="11" t="s">
        <v>5</v>
      </c>
      <c r="AJ434" s="9">
        <f t="shared" si="233"/>
        <v>0</v>
      </c>
      <c r="AK434" s="9">
        <f t="shared" si="234"/>
        <v>0</v>
      </c>
      <c r="AL434" s="9">
        <f t="shared" si="235"/>
        <v>0</v>
      </c>
      <c r="AN434" s="9">
        <v>21</v>
      </c>
      <c r="AO434" s="9">
        <f>H434*1</f>
        <v>0</v>
      </c>
      <c r="AP434" s="9">
        <f>H434*(1-1)</f>
        <v>0</v>
      </c>
      <c r="AQ434" s="60" t="s">
        <v>1231</v>
      </c>
      <c r="AV434" s="9">
        <f t="shared" si="236"/>
        <v>0</v>
      </c>
      <c r="AW434" s="9">
        <f t="shared" si="237"/>
        <v>0</v>
      </c>
      <c r="AX434" s="9">
        <f t="shared" si="238"/>
        <v>0</v>
      </c>
      <c r="AY434" s="60" t="s">
        <v>1294</v>
      </c>
      <c r="AZ434" s="60" t="s">
        <v>1348</v>
      </c>
      <c r="BA434" s="11" t="s">
        <v>1092</v>
      </c>
      <c r="BC434" s="9">
        <f t="shared" si="239"/>
        <v>0</v>
      </c>
      <c r="BD434" s="9">
        <f t="shared" si="240"/>
        <v>0</v>
      </c>
      <c r="BE434" s="9">
        <v>0</v>
      </c>
      <c r="BF434" s="9">
        <f>434</f>
        <v>434</v>
      </c>
      <c r="BH434" s="9">
        <f t="shared" si="241"/>
        <v>0</v>
      </c>
      <c r="BI434" s="9">
        <f t="shared" si="242"/>
        <v>0</v>
      </c>
      <c r="BJ434" s="9">
        <f t="shared" si="243"/>
        <v>0</v>
      </c>
      <c r="BK434" s="9"/>
      <c r="BL434" s="9"/>
      <c r="BW434" s="9">
        <v>21</v>
      </c>
    </row>
    <row r="435" spans="1:75" ht="13.5" customHeight="1">
      <c r="A435" s="66" t="s">
        <v>1296</v>
      </c>
      <c r="B435" s="32" t="s">
        <v>5</v>
      </c>
      <c r="C435" s="32" t="s">
        <v>888</v>
      </c>
      <c r="D435" s="69" t="s">
        <v>277</v>
      </c>
      <c r="E435" s="70"/>
      <c r="F435" s="32" t="s">
        <v>317</v>
      </c>
      <c r="G435" s="67">
        <v>10</v>
      </c>
      <c r="H435" s="68">
        <v>0</v>
      </c>
      <c r="I435" s="9">
        <f t="shared" si="224"/>
        <v>0</v>
      </c>
      <c r="K435" s="23"/>
      <c r="Z435" s="9">
        <f t="shared" si="225"/>
        <v>0</v>
      </c>
      <c r="AB435" s="9">
        <f t="shared" si="226"/>
        <v>0</v>
      </c>
      <c r="AC435" s="9">
        <f t="shared" si="227"/>
        <v>0</v>
      </c>
      <c r="AD435" s="9">
        <f t="shared" si="228"/>
        <v>0</v>
      </c>
      <c r="AE435" s="9">
        <f t="shared" si="229"/>
        <v>0</v>
      </c>
      <c r="AF435" s="9">
        <f t="shared" si="230"/>
        <v>0</v>
      </c>
      <c r="AG435" s="9">
        <f t="shared" si="231"/>
        <v>0</v>
      </c>
      <c r="AH435" s="9">
        <f t="shared" si="232"/>
        <v>0</v>
      </c>
      <c r="AI435" s="11" t="s">
        <v>5</v>
      </c>
      <c r="AJ435" s="9">
        <f t="shared" si="233"/>
        <v>0</v>
      </c>
      <c r="AK435" s="9">
        <f t="shared" si="234"/>
        <v>0</v>
      </c>
      <c r="AL435" s="9">
        <f t="shared" si="235"/>
        <v>0</v>
      </c>
      <c r="AN435" s="9">
        <v>21</v>
      </c>
      <c r="AO435" s="9">
        <f>H435*0</f>
        <v>0</v>
      </c>
      <c r="AP435" s="9">
        <f>H435*(1-0)</f>
        <v>0</v>
      </c>
      <c r="AQ435" s="60" t="s">
        <v>1231</v>
      </c>
      <c r="AV435" s="9">
        <f t="shared" si="236"/>
        <v>0</v>
      </c>
      <c r="AW435" s="9">
        <f t="shared" si="237"/>
        <v>0</v>
      </c>
      <c r="AX435" s="9">
        <f t="shared" si="238"/>
        <v>0</v>
      </c>
      <c r="AY435" s="60" t="s">
        <v>1294</v>
      </c>
      <c r="AZ435" s="60" t="s">
        <v>1348</v>
      </c>
      <c r="BA435" s="11" t="s">
        <v>1092</v>
      </c>
      <c r="BC435" s="9">
        <f t="shared" si="239"/>
        <v>0</v>
      </c>
      <c r="BD435" s="9">
        <f t="shared" si="240"/>
        <v>0</v>
      </c>
      <c r="BE435" s="9">
        <v>0</v>
      </c>
      <c r="BF435" s="9">
        <f>435</f>
        <v>435</v>
      </c>
      <c r="BH435" s="9">
        <f t="shared" si="241"/>
        <v>0</v>
      </c>
      <c r="BI435" s="9">
        <f t="shared" si="242"/>
        <v>0</v>
      </c>
      <c r="BJ435" s="9">
        <f t="shared" si="243"/>
        <v>0</v>
      </c>
      <c r="BK435" s="9"/>
      <c r="BL435" s="9"/>
      <c r="BW435" s="9">
        <v>21</v>
      </c>
    </row>
    <row r="436" spans="1:75" ht="13.5" customHeight="1">
      <c r="A436" s="16" t="s">
        <v>287</v>
      </c>
      <c r="B436" s="32" t="s">
        <v>5</v>
      </c>
      <c r="C436" s="32" t="s">
        <v>413</v>
      </c>
      <c r="D436" s="69" t="s">
        <v>517</v>
      </c>
      <c r="E436" s="70"/>
      <c r="F436" s="32" t="s">
        <v>317</v>
      </c>
      <c r="G436" s="9">
        <v>10</v>
      </c>
      <c r="H436" s="68">
        <v>0</v>
      </c>
      <c r="I436" s="9">
        <f t="shared" si="224"/>
        <v>0</v>
      </c>
      <c r="K436" s="23"/>
      <c r="Z436" s="9">
        <f t="shared" si="225"/>
        <v>0</v>
      </c>
      <c r="AB436" s="9">
        <f t="shared" si="226"/>
        <v>0</v>
      </c>
      <c r="AC436" s="9">
        <f t="shared" si="227"/>
        <v>0</v>
      </c>
      <c r="AD436" s="9">
        <f t="shared" si="228"/>
        <v>0</v>
      </c>
      <c r="AE436" s="9">
        <f t="shared" si="229"/>
        <v>0</v>
      </c>
      <c r="AF436" s="9">
        <f t="shared" si="230"/>
        <v>0</v>
      </c>
      <c r="AG436" s="9">
        <f t="shared" si="231"/>
        <v>0</v>
      </c>
      <c r="AH436" s="9">
        <f t="shared" si="232"/>
        <v>0</v>
      </c>
      <c r="AI436" s="11" t="s">
        <v>5</v>
      </c>
      <c r="AJ436" s="9">
        <f t="shared" si="233"/>
        <v>0</v>
      </c>
      <c r="AK436" s="9">
        <f t="shared" si="234"/>
        <v>0</v>
      </c>
      <c r="AL436" s="9">
        <f t="shared" si="235"/>
        <v>0</v>
      </c>
      <c r="AN436" s="9">
        <v>21</v>
      </c>
      <c r="AO436" s="9">
        <f>H436*1</f>
        <v>0</v>
      </c>
      <c r="AP436" s="9">
        <f>H436*(1-1)</f>
        <v>0</v>
      </c>
      <c r="AQ436" s="60" t="s">
        <v>1231</v>
      </c>
      <c r="AV436" s="9">
        <f t="shared" si="236"/>
        <v>0</v>
      </c>
      <c r="AW436" s="9">
        <f t="shared" si="237"/>
        <v>0</v>
      </c>
      <c r="AX436" s="9">
        <f t="shared" si="238"/>
        <v>0</v>
      </c>
      <c r="AY436" s="60" t="s">
        <v>1294</v>
      </c>
      <c r="AZ436" s="60" t="s">
        <v>1348</v>
      </c>
      <c r="BA436" s="11" t="s">
        <v>1092</v>
      </c>
      <c r="BC436" s="9">
        <f t="shared" si="239"/>
        <v>0</v>
      </c>
      <c r="BD436" s="9">
        <f t="shared" si="240"/>
        <v>0</v>
      </c>
      <c r="BE436" s="9">
        <v>0</v>
      </c>
      <c r="BF436" s="9">
        <f>436</f>
        <v>436</v>
      </c>
      <c r="BH436" s="9">
        <f t="shared" si="241"/>
        <v>0</v>
      </c>
      <c r="BI436" s="9">
        <f t="shared" si="242"/>
        <v>0</v>
      </c>
      <c r="BJ436" s="9">
        <f t="shared" si="243"/>
        <v>0</v>
      </c>
      <c r="BK436" s="9"/>
      <c r="BL436" s="9"/>
      <c r="BW436" s="9">
        <v>21</v>
      </c>
    </row>
    <row r="437" spans="1:75" ht="13.5" customHeight="1">
      <c r="A437" s="16" t="s">
        <v>1246</v>
      </c>
      <c r="B437" s="32" t="s">
        <v>5</v>
      </c>
      <c r="C437" s="32" t="s">
        <v>79</v>
      </c>
      <c r="D437" s="69" t="s">
        <v>917</v>
      </c>
      <c r="E437" s="70"/>
      <c r="F437" s="32" t="s">
        <v>453</v>
      </c>
      <c r="G437" s="9">
        <v>2</v>
      </c>
      <c r="H437" s="68">
        <v>0</v>
      </c>
      <c r="I437" s="9">
        <f t="shared" si="224"/>
        <v>0</v>
      </c>
      <c r="K437" s="23"/>
      <c r="Z437" s="9">
        <f t="shared" si="225"/>
        <v>0</v>
      </c>
      <c r="AB437" s="9">
        <f t="shared" si="226"/>
        <v>0</v>
      </c>
      <c r="AC437" s="9">
        <f t="shared" si="227"/>
        <v>0</v>
      </c>
      <c r="AD437" s="9">
        <f t="shared" si="228"/>
        <v>0</v>
      </c>
      <c r="AE437" s="9">
        <f t="shared" si="229"/>
        <v>0</v>
      </c>
      <c r="AF437" s="9">
        <f t="shared" si="230"/>
        <v>0</v>
      </c>
      <c r="AG437" s="9">
        <f t="shared" si="231"/>
        <v>0</v>
      </c>
      <c r="AH437" s="9">
        <f t="shared" si="232"/>
        <v>0</v>
      </c>
      <c r="AI437" s="11" t="s">
        <v>5</v>
      </c>
      <c r="AJ437" s="9">
        <f t="shared" si="233"/>
        <v>0</v>
      </c>
      <c r="AK437" s="9">
        <f t="shared" si="234"/>
        <v>0</v>
      </c>
      <c r="AL437" s="9">
        <f t="shared" si="235"/>
        <v>0</v>
      </c>
      <c r="AN437" s="9">
        <v>21</v>
      </c>
      <c r="AO437" s="9">
        <f>H437*0</f>
        <v>0</v>
      </c>
      <c r="AP437" s="9">
        <f>H437*(1-0)</f>
        <v>0</v>
      </c>
      <c r="AQ437" s="60" t="s">
        <v>1231</v>
      </c>
      <c r="AV437" s="9">
        <f t="shared" si="236"/>
        <v>0</v>
      </c>
      <c r="AW437" s="9">
        <f t="shared" si="237"/>
        <v>0</v>
      </c>
      <c r="AX437" s="9">
        <f t="shared" si="238"/>
        <v>0</v>
      </c>
      <c r="AY437" s="60" t="s">
        <v>1294</v>
      </c>
      <c r="AZ437" s="60" t="s">
        <v>1348</v>
      </c>
      <c r="BA437" s="11" t="s">
        <v>1092</v>
      </c>
      <c r="BC437" s="9">
        <f t="shared" si="239"/>
        <v>0</v>
      </c>
      <c r="BD437" s="9">
        <f t="shared" si="240"/>
        <v>0</v>
      </c>
      <c r="BE437" s="9">
        <v>0</v>
      </c>
      <c r="BF437" s="9">
        <f>437</f>
        <v>437</v>
      </c>
      <c r="BH437" s="9">
        <f t="shared" si="241"/>
        <v>0</v>
      </c>
      <c r="BI437" s="9">
        <f t="shared" si="242"/>
        <v>0</v>
      </c>
      <c r="BJ437" s="9">
        <f t="shared" si="243"/>
        <v>0</v>
      </c>
      <c r="BK437" s="9"/>
      <c r="BL437" s="9"/>
      <c r="BW437" s="9">
        <v>21</v>
      </c>
    </row>
    <row r="438" spans="1:11" ht="13.5" customHeight="1">
      <c r="A438" s="47"/>
      <c r="C438" s="28"/>
      <c r="D438" s="116" t="s">
        <v>387</v>
      </c>
      <c r="E438" s="117"/>
      <c r="F438" s="117"/>
      <c r="G438" s="117"/>
      <c r="H438" s="117"/>
      <c r="I438" s="117"/>
      <c r="J438" s="117"/>
      <c r="K438" s="118"/>
    </row>
    <row r="439" spans="1:75" ht="13.5" customHeight="1">
      <c r="A439" s="16" t="s">
        <v>875</v>
      </c>
      <c r="B439" s="32" t="s">
        <v>5</v>
      </c>
      <c r="C439" s="32" t="s">
        <v>222</v>
      </c>
      <c r="D439" s="69" t="s">
        <v>874</v>
      </c>
      <c r="E439" s="70"/>
      <c r="F439" s="32" t="s">
        <v>453</v>
      </c>
      <c r="G439" s="9">
        <v>2</v>
      </c>
      <c r="H439" s="68">
        <v>0</v>
      </c>
      <c r="I439" s="9">
        <f>G439*H439</f>
        <v>0</v>
      </c>
      <c r="K439" s="23"/>
      <c r="Z439" s="9">
        <f>IF(AQ439="5",BJ439,0)</f>
        <v>0</v>
      </c>
      <c r="AB439" s="9">
        <f>IF(AQ439="1",BH439,0)</f>
        <v>0</v>
      </c>
      <c r="AC439" s="9">
        <f>IF(AQ439="1",BI439,0)</f>
        <v>0</v>
      </c>
      <c r="AD439" s="9">
        <f>IF(AQ439="7",BH439,0)</f>
        <v>0</v>
      </c>
      <c r="AE439" s="9">
        <f>IF(AQ439="7",BI439,0)</f>
        <v>0</v>
      </c>
      <c r="AF439" s="9">
        <f>IF(AQ439="2",BH439,0)</f>
        <v>0</v>
      </c>
      <c r="AG439" s="9">
        <f>IF(AQ439="2",BI439,0)</f>
        <v>0</v>
      </c>
      <c r="AH439" s="9">
        <f>IF(AQ439="0",BJ439,0)</f>
        <v>0</v>
      </c>
      <c r="AI439" s="11" t="s">
        <v>5</v>
      </c>
      <c r="AJ439" s="9">
        <f>IF(AN439=0,I439,0)</f>
        <v>0</v>
      </c>
      <c r="AK439" s="9">
        <f>IF(AN439=12,I439,0)</f>
        <v>0</v>
      </c>
      <c r="AL439" s="9">
        <f>IF(AN439=21,I439,0)</f>
        <v>0</v>
      </c>
      <c r="AN439" s="9">
        <v>21</v>
      </c>
      <c r="AO439" s="9">
        <f>H439*0</f>
        <v>0</v>
      </c>
      <c r="AP439" s="9">
        <f>H439*(1-0)</f>
        <v>0</v>
      </c>
      <c r="AQ439" s="60" t="s">
        <v>1231</v>
      </c>
      <c r="AV439" s="9">
        <f>AW439+AX439</f>
        <v>0</v>
      </c>
      <c r="AW439" s="9">
        <f>G439*AO439</f>
        <v>0</v>
      </c>
      <c r="AX439" s="9">
        <f>G439*AP439</f>
        <v>0</v>
      </c>
      <c r="AY439" s="60" t="s">
        <v>1294</v>
      </c>
      <c r="AZ439" s="60" t="s">
        <v>1348</v>
      </c>
      <c r="BA439" s="11" t="s">
        <v>1092</v>
      </c>
      <c r="BC439" s="9">
        <f>AW439+AX439</f>
        <v>0</v>
      </c>
      <c r="BD439" s="9">
        <f>H439/(100-BE439)*100</f>
        <v>0</v>
      </c>
      <c r="BE439" s="9">
        <v>0</v>
      </c>
      <c r="BF439" s="9">
        <f>439</f>
        <v>439</v>
      </c>
      <c r="BH439" s="9">
        <f>G439*AO439</f>
        <v>0</v>
      </c>
      <c r="BI439" s="9">
        <f>G439*AP439</f>
        <v>0</v>
      </c>
      <c r="BJ439" s="9">
        <f>G439*H439</f>
        <v>0</v>
      </c>
      <c r="BK439" s="9"/>
      <c r="BL439" s="9"/>
      <c r="BW439" s="9">
        <v>21</v>
      </c>
    </row>
    <row r="440" spans="1:11" ht="13.5" customHeight="1">
      <c r="A440" s="47"/>
      <c r="C440" s="28"/>
      <c r="D440" s="116" t="s">
        <v>387</v>
      </c>
      <c r="E440" s="117"/>
      <c r="F440" s="117"/>
      <c r="G440" s="117"/>
      <c r="H440" s="117"/>
      <c r="I440" s="117"/>
      <c r="J440" s="117"/>
      <c r="K440" s="118"/>
    </row>
    <row r="441" spans="1:75" ht="27" customHeight="1">
      <c r="A441" s="16" t="s">
        <v>154</v>
      </c>
      <c r="B441" s="32" t="s">
        <v>5</v>
      </c>
      <c r="C441" s="32" t="s">
        <v>1301</v>
      </c>
      <c r="D441" s="69" t="s">
        <v>1077</v>
      </c>
      <c r="E441" s="70"/>
      <c r="F441" s="32" t="s">
        <v>798</v>
      </c>
      <c r="G441" s="9">
        <v>12</v>
      </c>
      <c r="H441" s="68">
        <v>0</v>
      </c>
      <c r="I441" s="9">
        <f>G441*H441</f>
        <v>0</v>
      </c>
      <c r="K441" s="23"/>
      <c r="Z441" s="9">
        <f>IF(AQ441="5",BJ441,0)</f>
        <v>0</v>
      </c>
      <c r="AB441" s="9">
        <f>IF(AQ441="1",BH441,0)</f>
        <v>0</v>
      </c>
      <c r="AC441" s="9">
        <f>IF(AQ441="1",BI441,0)</f>
        <v>0</v>
      </c>
      <c r="AD441" s="9">
        <f>IF(AQ441="7",BH441,0)</f>
        <v>0</v>
      </c>
      <c r="AE441" s="9">
        <f>IF(AQ441="7",BI441,0)</f>
        <v>0</v>
      </c>
      <c r="AF441" s="9">
        <f>IF(AQ441="2",BH441,0)</f>
        <v>0</v>
      </c>
      <c r="AG441" s="9">
        <f>IF(AQ441="2",BI441,0)</f>
        <v>0</v>
      </c>
      <c r="AH441" s="9">
        <f>IF(AQ441="0",BJ441,0)</f>
        <v>0</v>
      </c>
      <c r="AI441" s="11" t="s">
        <v>5</v>
      </c>
      <c r="AJ441" s="9">
        <f>IF(AN441=0,I441,0)</f>
        <v>0</v>
      </c>
      <c r="AK441" s="9">
        <f>IF(AN441=12,I441,0)</f>
        <v>0</v>
      </c>
      <c r="AL441" s="9">
        <f>IF(AN441=21,I441,0)</f>
        <v>0</v>
      </c>
      <c r="AN441" s="9">
        <v>21</v>
      </c>
      <c r="AO441" s="9">
        <f>H441*1</f>
        <v>0</v>
      </c>
      <c r="AP441" s="9">
        <f>H441*(1-1)</f>
        <v>0</v>
      </c>
      <c r="AQ441" s="60" t="s">
        <v>1231</v>
      </c>
      <c r="AV441" s="9">
        <f>AW441+AX441</f>
        <v>0</v>
      </c>
      <c r="AW441" s="9">
        <f>G441*AO441</f>
        <v>0</v>
      </c>
      <c r="AX441" s="9">
        <f>G441*AP441</f>
        <v>0</v>
      </c>
      <c r="AY441" s="60" t="s">
        <v>1294</v>
      </c>
      <c r="AZ441" s="60" t="s">
        <v>1348</v>
      </c>
      <c r="BA441" s="11" t="s">
        <v>1092</v>
      </c>
      <c r="BC441" s="9">
        <f>AW441+AX441</f>
        <v>0</v>
      </c>
      <c r="BD441" s="9">
        <f>H441/(100-BE441)*100</f>
        <v>0</v>
      </c>
      <c r="BE441" s="9">
        <v>0</v>
      </c>
      <c r="BF441" s="9">
        <f>441</f>
        <v>441</v>
      </c>
      <c r="BH441" s="9">
        <f>G441*AO441</f>
        <v>0</v>
      </c>
      <c r="BI441" s="9">
        <f>G441*AP441</f>
        <v>0</v>
      </c>
      <c r="BJ441" s="9">
        <f>G441*H441</f>
        <v>0</v>
      </c>
      <c r="BK441" s="9"/>
      <c r="BL441" s="9"/>
      <c r="BW441" s="9">
        <v>21</v>
      </c>
    </row>
    <row r="442" spans="1:75" ht="27" customHeight="1">
      <c r="A442" s="16" t="s">
        <v>708</v>
      </c>
      <c r="B442" s="32" t="s">
        <v>5</v>
      </c>
      <c r="C442" s="32" t="s">
        <v>489</v>
      </c>
      <c r="D442" s="69" t="s">
        <v>1077</v>
      </c>
      <c r="E442" s="70"/>
      <c r="F442" s="32" t="s">
        <v>861</v>
      </c>
      <c r="G442" s="9">
        <v>2</v>
      </c>
      <c r="H442" s="68">
        <v>0</v>
      </c>
      <c r="I442" s="9">
        <f>G442*H442</f>
        <v>0</v>
      </c>
      <c r="K442" s="23"/>
      <c r="Z442" s="9">
        <f>IF(AQ442="5",BJ442,0)</f>
        <v>0</v>
      </c>
      <c r="AB442" s="9">
        <f>IF(AQ442="1",BH442,0)</f>
        <v>0</v>
      </c>
      <c r="AC442" s="9">
        <f>IF(AQ442="1",BI442,0)</f>
        <v>0</v>
      </c>
      <c r="AD442" s="9">
        <f>IF(AQ442="7",BH442,0)</f>
        <v>0</v>
      </c>
      <c r="AE442" s="9">
        <f>IF(AQ442="7",BI442,0)</f>
        <v>0</v>
      </c>
      <c r="AF442" s="9">
        <f>IF(AQ442="2",BH442,0)</f>
        <v>0</v>
      </c>
      <c r="AG442" s="9">
        <f>IF(AQ442="2",BI442,0)</f>
        <v>0</v>
      </c>
      <c r="AH442" s="9">
        <f>IF(AQ442="0",BJ442,0)</f>
        <v>0</v>
      </c>
      <c r="AI442" s="11" t="s">
        <v>5</v>
      </c>
      <c r="AJ442" s="9">
        <f>IF(AN442=0,I442,0)</f>
        <v>0</v>
      </c>
      <c r="AK442" s="9">
        <f>IF(AN442=12,I442,0)</f>
        <v>0</v>
      </c>
      <c r="AL442" s="9">
        <f>IF(AN442=21,I442,0)</f>
        <v>0</v>
      </c>
      <c r="AN442" s="9">
        <v>21</v>
      </c>
      <c r="AO442" s="9">
        <f>H442*1</f>
        <v>0</v>
      </c>
      <c r="AP442" s="9">
        <f>H442*(1-1)</f>
        <v>0</v>
      </c>
      <c r="AQ442" s="60" t="s">
        <v>1231</v>
      </c>
      <c r="AV442" s="9">
        <f>AW442+AX442</f>
        <v>0</v>
      </c>
      <c r="AW442" s="9">
        <f>G442*AO442</f>
        <v>0</v>
      </c>
      <c r="AX442" s="9">
        <f>G442*AP442</f>
        <v>0</v>
      </c>
      <c r="AY442" s="60" t="s">
        <v>1294</v>
      </c>
      <c r="AZ442" s="60" t="s">
        <v>1348</v>
      </c>
      <c r="BA442" s="11" t="s">
        <v>1092</v>
      </c>
      <c r="BC442" s="9">
        <f>AW442+AX442</f>
        <v>0</v>
      </c>
      <c r="BD442" s="9">
        <f>H442/(100-BE442)*100</f>
        <v>0</v>
      </c>
      <c r="BE442" s="9">
        <v>0</v>
      </c>
      <c r="BF442" s="9">
        <f>442</f>
        <v>442</v>
      </c>
      <c r="BH442" s="9">
        <f>G442*AO442</f>
        <v>0</v>
      </c>
      <c r="BI442" s="9">
        <f>G442*AP442</f>
        <v>0</v>
      </c>
      <c r="BJ442" s="9">
        <f>G442*H442</f>
        <v>0</v>
      </c>
      <c r="BK442" s="9"/>
      <c r="BL442" s="9"/>
      <c r="BW442" s="9">
        <v>21</v>
      </c>
    </row>
    <row r="443" spans="1:75" ht="13.5" customHeight="1">
      <c r="A443" s="16" t="s">
        <v>1335</v>
      </c>
      <c r="B443" s="32" t="s">
        <v>5</v>
      </c>
      <c r="C443" s="32" t="s">
        <v>401</v>
      </c>
      <c r="D443" s="69" t="s">
        <v>419</v>
      </c>
      <c r="E443" s="70"/>
      <c r="F443" s="32" t="s">
        <v>453</v>
      </c>
      <c r="G443" s="9">
        <v>3</v>
      </c>
      <c r="H443" s="68">
        <v>0</v>
      </c>
      <c r="I443" s="9">
        <f>G443*H443</f>
        <v>0</v>
      </c>
      <c r="K443" s="23"/>
      <c r="Z443" s="9">
        <f>IF(AQ443="5",BJ443,0)</f>
        <v>0</v>
      </c>
      <c r="AB443" s="9">
        <f>IF(AQ443="1",BH443,0)</f>
        <v>0</v>
      </c>
      <c r="AC443" s="9">
        <f>IF(AQ443="1",BI443,0)</f>
        <v>0</v>
      </c>
      <c r="AD443" s="9">
        <f>IF(AQ443="7",BH443,0)</f>
        <v>0</v>
      </c>
      <c r="AE443" s="9">
        <f>IF(AQ443="7",BI443,0)</f>
        <v>0</v>
      </c>
      <c r="AF443" s="9">
        <f>IF(AQ443="2",BH443,0)</f>
        <v>0</v>
      </c>
      <c r="AG443" s="9">
        <f>IF(AQ443="2",BI443,0)</f>
        <v>0</v>
      </c>
      <c r="AH443" s="9">
        <f>IF(AQ443="0",BJ443,0)</f>
        <v>0</v>
      </c>
      <c r="AI443" s="11" t="s">
        <v>5</v>
      </c>
      <c r="AJ443" s="9">
        <f>IF(AN443=0,I443,0)</f>
        <v>0</v>
      </c>
      <c r="AK443" s="9">
        <f>IF(AN443=12,I443,0)</f>
        <v>0</v>
      </c>
      <c r="AL443" s="9">
        <f>IF(AN443=21,I443,0)</f>
        <v>0</v>
      </c>
      <c r="AN443" s="9">
        <v>21</v>
      </c>
      <c r="AO443" s="9">
        <f>H443*0</f>
        <v>0</v>
      </c>
      <c r="AP443" s="9">
        <f>H443*(1-0)</f>
        <v>0</v>
      </c>
      <c r="AQ443" s="60" t="s">
        <v>1231</v>
      </c>
      <c r="AV443" s="9">
        <f>AW443+AX443</f>
        <v>0</v>
      </c>
      <c r="AW443" s="9">
        <f>G443*AO443</f>
        <v>0</v>
      </c>
      <c r="AX443" s="9">
        <f>G443*AP443</f>
        <v>0</v>
      </c>
      <c r="AY443" s="60" t="s">
        <v>1294</v>
      </c>
      <c r="AZ443" s="60" t="s">
        <v>1348</v>
      </c>
      <c r="BA443" s="11" t="s">
        <v>1092</v>
      </c>
      <c r="BC443" s="9">
        <f>AW443+AX443</f>
        <v>0</v>
      </c>
      <c r="BD443" s="9">
        <f>H443/(100-BE443)*100</f>
        <v>0</v>
      </c>
      <c r="BE443" s="9">
        <v>0</v>
      </c>
      <c r="BF443" s="9">
        <f>443</f>
        <v>443</v>
      </c>
      <c r="BH443" s="9">
        <f>G443*AO443</f>
        <v>0</v>
      </c>
      <c r="BI443" s="9">
        <f>G443*AP443</f>
        <v>0</v>
      </c>
      <c r="BJ443" s="9">
        <f>G443*H443</f>
        <v>0</v>
      </c>
      <c r="BK443" s="9"/>
      <c r="BL443" s="9"/>
      <c r="BW443" s="9">
        <v>21</v>
      </c>
    </row>
    <row r="444" spans="1:11" ht="13.5" customHeight="1">
      <c r="A444" s="47"/>
      <c r="C444" s="28"/>
      <c r="D444" s="116" t="s">
        <v>387</v>
      </c>
      <c r="E444" s="117"/>
      <c r="F444" s="117"/>
      <c r="G444" s="117"/>
      <c r="H444" s="117"/>
      <c r="I444" s="117"/>
      <c r="J444" s="117"/>
      <c r="K444" s="118"/>
    </row>
    <row r="445" spans="1:75" ht="13.5" customHeight="1">
      <c r="A445" s="16" t="s">
        <v>595</v>
      </c>
      <c r="B445" s="32" t="s">
        <v>5</v>
      </c>
      <c r="C445" s="32" t="s">
        <v>1319</v>
      </c>
      <c r="D445" s="69" t="s">
        <v>610</v>
      </c>
      <c r="E445" s="70"/>
      <c r="F445" s="32" t="s">
        <v>453</v>
      </c>
      <c r="G445" s="9">
        <v>3</v>
      </c>
      <c r="H445" s="68">
        <v>0</v>
      </c>
      <c r="I445" s="9">
        <f>G445*H445</f>
        <v>0</v>
      </c>
      <c r="K445" s="23"/>
      <c r="Z445" s="9">
        <f>IF(AQ445="5",BJ445,0)</f>
        <v>0</v>
      </c>
      <c r="AB445" s="9">
        <f>IF(AQ445="1",BH445,0)</f>
        <v>0</v>
      </c>
      <c r="AC445" s="9">
        <f>IF(AQ445="1",BI445,0)</f>
        <v>0</v>
      </c>
      <c r="AD445" s="9">
        <f>IF(AQ445="7",BH445,0)</f>
        <v>0</v>
      </c>
      <c r="AE445" s="9">
        <f>IF(AQ445="7",BI445,0)</f>
        <v>0</v>
      </c>
      <c r="AF445" s="9">
        <f>IF(AQ445="2",BH445,0)</f>
        <v>0</v>
      </c>
      <c r="AG445" s="9">
        <f>IF(AQ445="2",BI445,0)</f>
        <v>0</v>
      </c>
      <c r="AH445" s="9">
        <f>IF(AQ445="0",BJ445,0)</f>
        <v>0</v>
      </c>
      <c r="AI445" s="11" t="s">
        <v>5</v>
      </c>
      <c r="AJ445" s="9">
        <f>IF(AN445=0,I445,0)</f>
        <v>0</v>
      </c>
      <c r="AK445" s="9">
        <f>IF(AN445=12,I445,0)</f>
        <v>0</v>
      </c>
      <c r="AL445" s="9">
        <f>IF(AN445=21,I445,0)</f>
        <v>0</v>
      </c>
      <c r="AN445" s="9">
        <v>21</v>
      </c>
      <c r="AO445" s="9">
        <f>H445*0</f>
        <v>0</v>
      </c>
      <c r="AP445" s="9">
        <f>H445*(1-0)</f>
        <v>0</v>
      </c>
      <c r="AQ445" s="60" t="s">
        <v>1231</v>
      </c>
      <c r="AV445" s="9">
        <f>AW445+AX445</f>
        <v>0</v>
      </c>
      <c r="AW445" s="9">
        <f>G445*AO445</f>
        <v>0</v>
      </c>
      <c r="AX445" s="9">
        <f>G445*AP445</f>
        <v>0</v>
      </c>
      <c r="AY445" s="60" t="s">
        <v>1294</v>
      </c>
      <c r="AZ445" s="60" t="s">
        <v>1348</v>
      </c>
      <c r="BA445" s="11" t="s">
        <v>1092</v>
      </c>
      <c r="BC445" s="9">
        <f>AW445+AX445</f>
        <v>0</v>
      </c>
      <c r="BD445" s="9">
        <f>H445/(100-BE445)*100</f>
        <v>0</v>
      </c>
      <c r="BE445" s="9">
        <v>0</v>
      </c>
      <c r="BF445" s="9">
        <f>445</f>
        <v>445</v>
      </c>
      <c r="BH445" s="9">
        <f>G445*AO445</f>
        <v>0</v>
      </c>
      <c r="BI445" s="9">
        <f>G445*AP445</f>
        <v>0</v>
      </c>
      <c r="BJ445" s="9">
        <f>G445*H445</f>
        <v>0</v>
      </c>
      <c r="BK445" s="9"/>
      <c r="BL445" s="9"/>
      <c r="BW445" s="9">
        <v>21</v>
      </c>
    </row>
    <row r="446" spans="1:11" ht="13.5" customHeight="1">
      <c r="A446" s="47"/>
      <c r="C446" s="28"/>
      <c r="D446" s="116" t="s">
        <v>387</v>
      </c>
      <c r="E446" s="117"/>
      <c r="F446" s="117"/>
      <c r="G446" s="117"/>
      <c r="H446" s="117"/>
      <c r="I446" s="117"/>
      <c r="J446" s="117"/>
      <c r="K446" s="118"/>
    </row>
    <row r="447" spans="1:75" ht="13.5" customHeight="1">
      <c r="A447" s="16" t="s">
        <v>481</v>
      </c>
      <c r="B447" s="32" t="s">
        <v>5</v>
      </c>
      <c r="C447" s="32" t="s">
        <v>663</v>
      </c>
      <c r="D447" s="69" t="s">
        <v>1065</v>
      </c>
      <c r="E447" s="70"/>
      <c r="F447" s="32" t="s">
        <v>453</v>
      </c>
      <c r="G447" s="9">
        <v>2</v>
      </c>
      <c r="H447" s="68">
        <v>0</v>
      </c>
      <c r="I447" s="9">
        <f>G447*H447</f>
        <v>0</v>
      </c>
      <c r="K447" s="23"/>
      <c r="Z447" s="9">
        <f>IF(AQ447="5",BJ447,0)</f>
        <v>0</v>
      </c>
      <c r="AB447" s="9">
        <f>IF(AQ447="1",BH447,0)</f>
        <v>0</v>
      </c>
      <c r="AC447" s="9">
        <f>IF(AQ447="1",BI447,0)</f>
        <v>0</v>
      </c>
      <c r="AD447" s="9">
        <f>IF(AQ447="7",BH447,0)</f>
        <v>0</v>
      </c>
      <c r="AE447" s="9">
        <f>IF(AQ447="7",BI447,0)</f>
        <v>0</v>
      </c>
      <c r="AF447" s="9">
        <f>IF(AQ447="2",BH447,0)</f>
        <v>0</v>
      </c>
      <c r="AG447" s="9">
        <f>IF(AQ447="2",BI447,0)</f>
        <v>0</v>
      </c>
      <c r="AH447" s="9">
        <f>IF(AQ447="0",BJ447,0)</f>
        <v>0</v>
      </c>
      <c r="AI447" s="11" t="s">
        <v>5</v>
      </c>
      <c r="AJ447" s="9">
        <f>IF(AN447=0,I447,0)</f>
        <v>0</v>
      </c>
      <c r="AK447" s="9">
        <f>IF(AN447=12,I447,0)</f>
        <v>0</v>
      </c>
      <c r="AL447" s="9">
        <f>IF(AN447=21,I447,0)</f>
        <v>0</v>
      </c>
      <c r="AN447" s="9">
        <v>21</v>
      </c>
      <c r="AO447" s="9">
        <f>H447*0</f>
        <v>0</v>
      </c>
      <c r="AP447" s="9">
        <f>H447*(1-0)</f>
        <v>0</v>
      </c>
      <c r="AQ447" s="60" t="s">
        <v>1231</v>
      </c>
      <c r="AV447" s="9">
        <f>AW447+AX447</f>
        <v>0</v>
      </c>
      <c r="AW447" s="9">
        <f>G447*AO447</f>
        <v>0</v>
      </c>
      <c r="AX447" s="9">
        <f>G447*AP447</f>
        <v>0</v>
      </c>
      <c r="AY447" s="60" t="s">
        <v>1294</v>
      </c>
      <c r="AZ447" s="60" t="s">
        <v>1348</v>
      </c>
      <c r="BA447" s="11" t="s">
        <v>1092</v>
      </c>
      <c r="BC447" s="9">
        <f>AW447+AX447</f>
        <v>0</v>
      </c>
      <c r="BD447" s="9">
        <f>H447/(100-BE447)*100</f>
        <v>0</v>
      </c>
      <c r="BE447" s="9">
        <v>0</v>
      </c>
      <c r="BF447" s="9">
        <f>447</f>
        <v>447</v>
      </c>
      <c r="BH447" s="9">
        <f>G447*AO447</f>
        <v>0</v>
      </c>
      <c r="BI447" s="9">
        <f>G447*AP447</f>
        <v>0</v>
      </c>
      <c r="BJ447" s="9">
        <f>G447*H447</f>
        <v>0</v>
      </c>
      <c r="BK447" s="9"/>
      <c r="BL447" s="9"/>
      <c r="BW447" s="9">
        <v>21</v>
      </c>
    </row>
    <row r="448" spans="1:75" ht="13.5" customHeight="1">
      <c r="A448" s="16" t="s">
        <v>115</v>
      </c>
      <c r="B448" s="32" t="s">
        <v>5</v>
      </c>
      <c r="C448" s="32" t="s">
        <v>569</v>
      </c>
      <c r="D448" s="69" t="s">
        <v>339</v>
      </c>
      <c r="E448" s="70"/>
      <c r="F448" s="32" t="s">
        <v>453</v>
      </c>
      <c r="G448" s="9">
        <v>2</v>
      </c>
      <c r="H448" s="68">
        <v>0</v>
      </c>
      <c r="I448" s="9">
        <f>G448*H448</f>
        <v>0</v>
      </c>
      <c r="K448" s="23"/>
      <c r="Z448" s="9">
        <f>IF(AQ448="5",BJ448,0)</f>
        <v>0</v>
      </c>
      <c r="AB448" s="9">
        <f>IF(AQ448="1",BH448,0)</f>
        <v>0</v>
      </c>
      <c r="AC448" s="9">
        <f>IF(AQ448="1",BI448,0)</f>
        <v>0</v>
      </c>
      <c r="AD448" s="9">
        <f>IF(AQ448="7",BH448,0)</f>
        <v>0</v>
      </c>
      <c r="AE448" s="9">
        <f>IF(AQ448="7",BI448,0)</f>
        <v>0</v>
      </c>
      <c r="AF448" s="9">
        <f>IF(AQ448="2",BH448,0)</f>
        <v>0</v>
      </c>
      <c r="AG448" s="9">
        <f>IF(AQ448="2",BI448,0)</f>
        <v>0</v>
      </c>
      <c r="AH448" s="9">
        <f>IF(AQ448="0",BJ448,0)</f>
        <v>0</v>
      </c>
      <c r="AI448" s="11" t="s">
        <v>5</v>
      </c>
      <c r="AJ448" s="9">
        <f>IF(AN448=0,I448,0)</f>
        <v>0</v>
      </c>
      <c r="AK448" s="9">
        <f>IF(AN448=12,I448,0)</f>
        <v>0</v>
      </c>
      <c r="AL448" s="9">
        <f>IF(AN448=21,I448,0)</f>
        <v>0</v>
      </c>
      <c r="AN448" s="9">
        <v>21</v>
      </c>
      <c r="AO448" s="9">
        <f>H448*0</f>
        <v>0</v>
      </c>
      <c r="AP448" s="9">
        <f>H448*(1-0)</f>
        <v>0</v>
      </c>
      <c r="AQ448" s="60" t="s">
        <v>1231</v>
      </c>
      <c r="AV448" s="9">
        <f>AW448+AX448</f>
        <v>0</v>
      </c>
      <c r="AW448" s="9">
        <f>G448*AO448</f>
        <v>0</v>
      </c>
      <c r="AX448" s="9">
        <f>G448*AP448</f>
        <v>0</v>
      </c>
      <c r="AY448" s="60" t="s">
        <v>1294</v>
      </c>
      <c r="AZ448" s="60" t="s">
        <v>1348</v>
      </c>
      <c r="BA448" s="11" t="s">
        <v>1092</v>
      </c>
      <c r="BC448" s="9">
        <f>AW448+AX448</f>
        <v>0</v>
      </c>
      <c r="BD448" s="9">
        <f>H448/(100-BE448)*100</f>
        <v>0</v>
      </c>
      <c r="BE448" s="9">
        <v>0</v>
      </c>
      <c r="BF448" s="9">
        <f>448</f>
        <v>448</v>
      </c>
      <c r="BH448" s="9">
        <f>G448*AO448</f>
        <v>0</v>
      </c>
      <c r="BI448" s="9">
        <f>G448*AP448</f>
        <v>0</v>
      </c>
      <c r="BJ448" s="9">
        <f>G448*H448</f>
        <v>0</v>
      </c>
      <c r="BK448" s="9"/>
      <c r="BL448" s="9"/>
      <c r="BW448" s="9">
        <v>21</v>
      </c>
    </row>
    <row r="449" spans="1:11" ht="13.5" customHeight="1">
      <c r="A449" s="47"/>
      <c r="C449" s="28"/>
      <c r="D449" s="116" t="s">
        <v>387</v>
      </c>
      <c r="E449" s="117"/>
      <c r="F449" s="117"/>
      <c r="G449" s="117"/>
      <c r="H449" s="117"/>
      <c r="I449" s="117"/>
      <c r="J449" s="117"/>
      <c r="K449" s="118"/>
    </row>
    <row r="450" spans="1:75" ht="13.5" customHeight="1">
      <c r="A450" s="16" t="s">
        <v>385</v>
      </c>
      <c r="B450" s="32" t="s">
        <v>5</v>
      </c>
      <c r="C450" s="32" t="s">
        <v>145</v>
      </c>
      <c r="D450" s="69" t="s">
        <v>1146</v>
      </c>
      <c r="E450" s="70"/>
      <c r="F450" s="32" t="s">
        <v>798</v>
      </c>
      <c r="G450" s="9">
        <v>40</v>
      </c>
      <c r="H450" s="68">
        <v>0</v>
      </c>
      <c r="I450" s="9">
        <f>G450*H450</f>
        <v>0</v>
      </c>
      <c r="K450" s="23"/>
      <c r="Z450" s="9">
        <f>IF(AQ450="5",BJ450,0)</f>
        <v>0</v>
      </c>
      <c r="AB450" s="9">
        <f>IF(AQ450="1",BH450,0)</f>
        <v>0</v>
      </c>
      <c r="AC450" s="9">
        <f>IF(AQ450="1",BI450,0)</f>
        <v>0</v>
      </c>
      <c r="AD450" s="9">
        <f>IF(AQ450="7",BH450,0)</f>
        <v>0</v>
      </c>
      <c r="AE450" s="9">
        <f>IF(AQ450="7",BI450,0)</f>
        <v>0</v>
      </c>
      <c r="AF450" s="9">
        <f>IF(AQ450="2",BH450,0)</f>
        <v>0</v>
      </c>
      <c r="AG450" s="9">
        <f>IF(AQ450="2",BI450,0)</f>
        <v>0</v>
      </c>
      <c r="AH450" s="9">
        <f>IF(AQ450="0",BJ450,0)</f>
        <v>0</v>
      </c>
      <c r="AI450" s="11" t="s">
        <v>5</v>
      </c>
      <c r="AJ450" s="9">
        <f>IF(AN450=0,I450,0)</f>
        <v>0</v>
      </c>
      <c r="AK450" s="9">
        <f>IF(AN450=12,I450,0)</f>
        <v>0</v>
      </c>
      <c r="AL450" s="9">
        <f>IF(AN450=21,I450,0)</f>
        <v>0</v>
      </c>
      <c r="AN450" s="9">
        <v>21</v>
      </c>
      <c r="AO450" s="9">
        <f>H450*0</f>
        <v>0</v>
      </c>
      <c r="AP450" s="9">
        <f>H450*(1-0)</f>
        <v>0</v>
      </c>
      <c r="AQ450" s="60" t="s">
        <v>1231</v>
      </c>
      <c r="AV450" s="9">
        <f>AW450+AX450</f>
        <v>0</v>
      </c>
      <c r="AW450" s="9">
        <f>G450*AO450</f>
        <v>0</v>
      </c>
      <c r="AX450" s="9">
        <f>G450*AP450</f>
        <v>0</v>
      </c>
      <c r="AY450" s="60" t="s">
        <v>1294</v>
      </c>
      <c r="AZ450" s="60" t="s">
        <v>1348</v>
      </c>
      <c r="BA450" s="11" t="s">
        <v>1092</v>
      </c>
      <c r="BC450" s="9">
        <f>AW450+AX450</f>
        <v>0</v>
      </c>
      <c r="BD450" s="9">
        <f>H450/(100-BE450)*100</f>
        <v>0</v>
      </c>
      <c r="BE450" s="9">
        <v>0</v>
      </c>
      <c r="BF450" s="9">
        <f>450</f>
        <v>450</v>
      </c>
      <c r="BH450" s="9">
        <f>G450*AO450</f>
        <v>0</v>
      </c>
      <c r="BI450" s="9">
        <f>G450*AP450</f>
        <v>0</v>
      </c>
      <c r="BJ450" s="9">
        <f>G450*H450</f>
        <v>0</v>
      </c>
      <c r="BK450" s="9"/>
      <c r="BL450" s="9"/>
      <c r="BW450" s="9">
        <v>21</v>
      </c>
    </row>
    <row r="451" spans="1:75" ht="13.5" customHeight="1">
      <c r="A451" s="16" t="s">
        <v>574</v>
      </c>
      <c r="B451" s="32" t="s">
        <v>5</v>
      </c>
      <c r="C451" s="32" t="s">
        <v>1222</v>
      </c>
      <c r="D451" s="69" t="s">
        <v>1225</v>
      </c>
      <c r="E451" s="70"/>
      <c r="F451" s="32" t="s">
        <v>1213</v>
      </c>
      <c r="G451" s="9">
        <v>20</v>
      </c>
      <c r="H451" s="68">
        <v>0</v>
      </c>
      <c r="I451" s="9">
        <f>G451*H451</f>
        <v>0</v>
      </c>
      <c r="K451" s="23"/>
      <c r="Z451" s="9">
        <f>IF(AQ451="5",BJ451,0)</f>
        <v>0</v>
      </c>
      <c r="AB451" s="9">
        <f>IF(AQ451="1",BH451,0)</f>
        <v>0</v>
      </c>
      <c r="AC451" s="9">
        <f>IF(AQ451="1",BI451,0)</f>
        <v>0</v>
      </c>
      <c r="AD451" s="9">
        <f>IF(AQ451="7",BH451,0)</f>
        <v>0</v>
      </c>
      <c r="AE451" s="9">
        <f>IF(AQ451="7",BI451,0)</f>
        <v>0</v>
      </c>
      <c r="AF451" s="9">
        <f>IF(AQ451="2",BH451,0)</f>
        <v>0</v>
      </c>
      <c r="AG451" s="9">
        <f>IF(AQ451="2",BI451,0)</f>
        <v>0</v>
      </c>
      <c r="AH451" s="9">
        <f>IF(AQ451="0",BJ451,0)</f>
        <v>0</v>
      </c>
      <c r="AI451" s="11" t="s">
        <v>5</v>
      </c>
      <c r="AJ451" s="9">
        <f>IF(AN451=0,I451,0)</f>
        <v>0</v>
      </c>
      <c r="AK451" s="9">
        <f>IF(AN451=12,I451,0)</f>
        <v>0</v>
      </c>
      <c r="AL451" s="9">
        <f>IF(AN451=21,I451,0)</f>
        <v>0</v>
      </c>
      <c r="AN451" s="9">
        <v>21</v>
      </c>
      <c r="AO451" s="9">
        <f>H451*1</f>
        <v>0</v>
      </c>
      <c r="AP451" s="9">
        <f>H451*(1-1)</f>
        <v>0</v>
      </c>
      <c r="AQ451" s="60" t="s">
        <v>1231</v>
      </c>
      <c r="AV451" s="9">
        <f>AW451+AX451</f>
        <v>0</v>
      </c>
      <c r="AW451" s="9">
        <f>G451*AO451</f>
        <v>0</v>
      </c>
      <c r="AX451" s="9">
        <f>G451*AP451</f>
        <v>0</v>
      </c>
      <c r="AY451" s="60" t="s">
        <v>1294</v>
      </c>
      <c r="AZ451" s="60" t="s">
        <v>1348</v>
      </c>
      <c r="BA451" s="11" t="s">
        <v>1092</v>
      </c>
      <c r="BC451" s="9">
        <f>AW451+AX451</f>
        <v>0</v>
      </c>
      <c r="BD451" s="9">
        <f>H451/(100-BE451)*100</f>
        <v>0</v>
      </c>
      <c r="BE451" s="9">
        <v>0</v>
      </c>
      <c r="BF451" s="9">
        <f>451</f>
        <v>451</v>
      </c>
      <c r="BH451" s="9">
        <f>G451*AO451</f>
        <v>0</v>
      </c>
      <c r="BI451" s="9">
        <f>G451*AP451</f>
        <v>0</v>
      </c>
      <c r="BJ451" s="9">
        <f>G451*H451</f>
        <v>0</v>
      </c>
      <c r="BK451" s="9"/>
      <c r="BL451" s="9"/>
      <c r="BW451" s="9">
        <v>21</v>
      </c>
    </row>
    <row r="452" spans="1:75" ht="13.5" customHeight="1">
      <c r="A452" s="16" t="s">
        <v>2</v>
      </c>
      <c r="B452" s="32" t="s">
        <v>5</v>
      </c>
      <c r="C452" s="32" t="s">
        <v>1023</v>
      </c>
      <c r="D452" s="69" t="s">
        <v>582</v>
      </c>
      <c r="E452" s="70"/>
      <c r="F452" s="32" t="s">
        <v>453</v>
      </c>
      <c r="G452" s="9">
        <v>2</v>
      </c>
      <c r="H452" s="68">
        <v>0</v>
      </c>
      <c r="I452" s="9">
        <f>G452*H452</f>
        <v>0</v>
      </c>
      <c r="K452" s="23"/>
      <c r="Z452" s="9">
        <f>IF(AQ452="5",BJ452,0)</f>
        <v>0</v>
      </c>
      <c r="AB452" s="9">
        <f>IF(AQ452="1",BH452,0)</f>
        <v>0</v>
      </c>
      <c r="AC452" s="9">
        <f>IF(AQ452="1",BI452,0)</f>
        <v>0</v>
      </c>
      <c r="AD452" s="9">
        <f>IF(AQ452="7",BH452,0)</f>
        <v>0</v>
      </c>
      <c r="AE452" s="9">
        <f>IF(AQ452="7",BI452,0)</f>
        <v>0</v>
      </c>
      <c r="AF452" s="9">
        <f>IF(AQ452="2",BH452,0)</f>
        <v>0</v>
      </c>
      <c r="AG452" s="9">
        <f>IF(AQ452="2",BI452,0)</f>
        <v>0</v>
      </c>
      <c r="AH452" s="9">
        <f>IF(AQ452="0",BJ452,0)</f>
        <v>0</v>
      </c>
      <c r="AI452" s="11" t="s">
        <v>5</v>
      </c>
      <c r="AJ452" s="9">
        <f>IF(AN452=0,I452,0)</f>
        <v>0</v>
      </c>
      <c r="AK452" s="9">
        <f>IF(AN452=12,I452,0)</f>
        <v>0</v>
      </c>
      <c r="AL452" s="9">
        <f>IF(AN452=21,I452,0)</f>
        <v>0</v>
      </c>
      <c r="AN452" s="9">
        <v>21</v>
      </c>
      <c r="AO452" s="9">
        <f>H452*0</f>
        <v>0</v>
      </c>
      <c r="AP452" s="9">
        <f>H452*(1-0)</f>
        <v>0</v>
      </c>
      <c r="AQ452" s="60" t="s">
        <v>1231</v>
      </c>
      <c r="AV452" s="9">
        <f>AW452+AX452</f>
        <v>0</v>
      </c>
      <c r="AW452" s="9">
        <f>G452*AO452</f>
        <v>0</v>
      </c>
      <c r="AX452" s="9">
        <f>G452*AP452</f>
        <v>0</v>
      </c>
      <c r="AY452" s="60" t="s">
        <v>1294</v>
      </c>
      <c r="AZ452" s="60" t="s">
        <v>1348</v>
      </c>
      <c r="BA452" s="11" t="s">
        <v>1092</v>
      </c>
      <c r="BC452" s="9">
        <f>AW452+AX452</f>
        <v>0</v>
      </c>
      <c r="BD452" s="9">
        <f>H452/(100-BE452)*100</f>
        <v>0</v>
      </c>
      <c r="BE452" s="9">
        <v>0</v>
      </c>
      <c r="BF452" s="9">
        <f>452</f>
        <v>452</v>
      </c>
      <c r="BH452" s="9">
        <f>G452*AO452</f>
        <v>0</v>
      </c>
      <c r="BI452" s="9">
        <f>G452*AP452</f>
        <v>0</v>
      </c>
      <c r="BJ452" s="9">
        <f>G452*H452</f>
        <v>0</v>
      </c>
      <c r="BK452" s="9"/>
      <c r="BL452" s="9"/>
      <c r="BW452" s="9">
        <v>21</v>
      </c>
    </row>
    <row r="453" spans="1:11" ht="15" customHeight="1">
      <c r="A453" s="39" t="s">
        <v>852</v>
      </c>
      <c r="B453" s="48" t="s">
        <v>894</v>
      </c>
      <c r="C453" s="48" t="s">
        <v>852</v>
      </c>
      <c r="D453" s="122" t="s">
        <v>855</v>
      </c>
      <c r="E453" s="123"/>
      <c r="F453" s="51" t="s">
        <v>1142</v>
      </c>
      <c r="G453" s="51" t="s">
        <v>1142</v>
      </c>
      <c r="H453" s="51" t="s">
        <v>1142</v>
      </c>
      <c r="I453" s="55">
        <f>I454+I475</f>
        <v>0</v>
      </c>
      <c r="K453" s="23"/>
    </row>
    <row r="454" spans="1:47" ht="15" customHeight="1">
      <c r="A454" s="39" t="s">
        <v>852</v>
      </c>
      <c r="B454" s="48" t="s">
        <v>894</v>
      </c>
      <c r="C454" s="48" t="s">
        <v>1342</v>
      </c>
      <c r="D454" s="122" t="s">
        <v>743</v>
      </c>
      <c r="E454" s="123"/>
      <c r="F454" s="51" t="s">
        <v>1142</v>
      </c>
      <c r="G454" s="51" t="s">
        <v>1142</v>
      </c>
      <c r="H454" s="51" t="s">
        <v>1142</v>
      </c>
      <c r="I454" s="55">
        <f>SUM(I455:I473)</f>
        <v>0</v>
      </c>
      <c r="K454" s="23"/>
      <c r="AI454" s="11" t="s">
        <v>894</v>
      </c>
      <c r="AS454" s="55">
        <f>SUM(AJ455:AJ473)</f>
        <v>0</v>
      </c>
      <c r="AT454" s="55">
        <f>SUM(AK455:AK473)</f>
        <v>0</v>
      </c>
      <c r="AU454" s="55">
        <f>SUM(AL455:AL473)</f>
        <v>0</v>
      </c>
    </row>
    <row r="455" spans="1:75" ht="13.5" customHeight="1">
      <c r="A455" s="16" t="s">
        <v>53</v>
      </c>
      <c r="B455" s="32" t="s">
        <v>894</v>
      </c>
      <c r="C455" s="32" t="s">
        <v>1081</v>
      </c>
      <c r="D455" s="69" t="s">
        <v>239</v>
      </c>
      <c r="E455" s="70"/>
      <c r="F455" s="32" t="s">
        <v>317</v>
      </c>
      <c r="G455" s="9">
        <v>1</v>
      </c>
      <c r="H455" s="68">
        <v>0</v>
      </c>
      <c r="I455" s="9">
        <f>G455*H455</f>
        <v>0</v>
      </c>
      <c r="K455" s="23"/>
      <c r="Z455" s="9">
        <f>IF(AQ455="5",BJ455,0)</f>
        <v>0</v>
      </c>
      <c r="AB455" s="9">
        <f>IF(AQ455="1",BH455,0)</f>
        <v>0</v>
      </c>
      <c r="AC455" s="9">
        <f>IF(AQ455="1",BI455,0)</f>
        <v>0</v>
      </c>
      <c r="AD455" s="9">
        <f>IF(AQ455="7",BH455,0)</f>
        <v>0</v>
      </c>
      <c r="AE455" s="9">
        <f>IF(AQ455="7",BI455,0)</f>
        <v>0</v>
      </c>
      <c r="AF455" s="9">
        <f>IF(AQ455="2",BH455,0)</f>
        <v>0</v>
      </c>
      <c r="AG455" s="9">
        <f>IF(AQ455="2",BI455,0)</f>
        <v>0</v>
      </c>
      <c r="AH455" s="9">
        <f>IF(AQ455="0",BJ455,0)</f>
        <v>0</v>
      </c>
      <c r="AI455" s="11" t="s">
        <v>894</v>
      </c>
      <c r="AJ455" s="9">
        <f>IF(AN455=0,I455,0)</f>
        <v>0</v>
      </c>
      <c r="AK455" s="9">
        <f>IF(AN455=12,I455,0)</f>
        <v>0</v>
      </c>
      <c r="AL455" s="9">
        <f>IF(AN455=21,I455,0)</f>
        <v>0</v>
      </c>
      <c r="AN455" s="9">
        <v>21</v>
      </c>
      <c r="AO455" s="9">
        <f>H455*0</f>
        <v>0</v>
      </c>
      <c r="AP455" s="9">
        <f>H455*(1-0)</f>
        <v>0</v>
      </c>
      <c r="AQ455" s="60" t="s">
        <v>1231</v>
      </c>
      <c r="AV455" s="9">
        <f>AW455+AX455</f>
        <v>0</v>
      </c>
      <c r="AW455" s="9">
        <f>G455*AO455</f>
        <v>0</v>
      </c>
      <c r="AX455" s="9">
        <f>G455*AP455</f>
        <v>0</v>
      </c>
      <c r="AY455" s="60" t="s">
        <v>535</v>
      </c>
      <c r="AZ455" s="60" t="s">
        <v>587</v>
      </c>
      <c r="BA455" s="11" t="s">
        <v>1404</v>
      </c>
      <c r="BC455" s="9">
        <f>AW455+AX455</f>
        <v>0</v>
      </c>
      <c r="BD455" s="9">
        <f>H455/(100-BE455)*100</f>
        <v>0</v>
      </c>
      <c r="BE455" s="9">
        <v>0</v>
      </c>
      <c r="BF455" s="9">
        <f>455</f>
        <v>455</v>
      </c>
      <c r="BH455" s="9">
        <f>G455*AO455</f>
        <v>0</v>
      </c>
      <c r="BI455" s="9">
        <f>G455*AP455</f>
        <v>0</v>
      </c>
      <c r="BJ455" s="9">
        <f>G455*H455</f>
        <v>0</v>
      </c>
      <c r="BK455" s="9"/>
      <c r="BL455" s="9">
        <v>0</v>
      </c>
      <c r="BW455" s="9">
        <v>21</v>
      </c>
    </row>
    <row r="456" spans="1:11" ht="13.5" customHeight="1">
      <c r="A456" s="47"/>
      <c r="C456" s="28"/>
      <c r="D456" s="116" t="s">
        <v>1208</v>
      </c>
      <c r="E456" s="117"/>
      <c r="F456" s="117"/>
      <c r="G456" s="117"/>
      <c r="H456" s="117"/>
      <c r="I456" s="117"/>
      <c r="J456" s="117"/>
      <c r="K456" s="118"/>
    </row>
    <row r="457" spans="1:75" ht="13.5" customHeight="1">
      <c r="A457" s="16" t="s">
        <v>876</v>
      </c>
      <c r="B457" s="32" t="s">
        <v>894</v>
      </c>
      <c r="C457" s="32" t="s">
        <v>156</v>
      </c>
      <c r="D457" s="69" t="s">
        <v>121</v>
      </c>
      <c r="E457" s="70"/>
      <c r="F457" s="32" t="s">
        <v>317</v>
      </c>
      <c r="G457" s="9">
        <v>1</v>
      </c>
      <c r="H457" s="68">
        <v>0</v>
      </c>
      <c r="I457" s="9">
        <f>G457*H457</f>
        <v>0</v>
      </c>
      <c r="K457" s="23"/>
      <c r="Z457" s="9">
        <f>IF(AQ457="5",BJ457,0)</f>
        <v>0</v>
      </c>
      <c r="AB457" s="9">
        <f>IF(AQ457="1",BH457,0)</f>
        <v>0</v>
      </c>
      <c r="AC457" s="9">
        <f>IF(AQ457="1",BI457,0)</f>
        <v>0</v>
      </c>
      <c r="AD457" s="9">
        <f>IF(AQ457="7",BH457,0)</f>
        <v>0</v>
      </c>
      <c r="AE457" s="9">
        <f>IF(AQ457="7",BI457,0)</f>
        <v>0</v>
      </c>
      <c r="AF457" s="9">
        <f>IF(AQ457="2",BH457,0)</f>
        <v>0</v>
      </c>
      <c r="AG457" s="9">
        <f>IF(AQ457="2",BI457,0)</f>
        <v>0</v>
      </c>
      <c r="AH457" s="9">
        <f>IF(AQ457="0",BJ457,0)</f>
        <v>0</v>
      </c>
      <c r="AI457" s="11" t="s">
        <v>894</v>
      </c>
      <c r="AJ457" s="9">
        <f>IF(AN457=0,I457,0)</f>
        <v>0</v>
      </c>
      <c r="AK457" s="9">
        <f>IF(AN457=12,I457,0)</f>
        <v>0</v>
      </c>
      <c r="AL457" s="9">
        <f>IF(AN457=21,I457,0)</f>
        <v>0</v>
      </c>
      <c r="AN457" s="9">
        <v>21</v>
      </c>
      <c r="AO457" s="9">
        <f>H457*0</f>
        <v>0</v>
      </c>
      <c r="AP457" s="9">
        <f>H457*(1-0)</f>
        <v>0</v>
      </c>
      <c r="AQ457" s="60" t="s">
        <v>1231</v>
      </c>
      <c r="AV457" s="9">
        <f>AW457+AX457</f>
        <v>0</v>
      </c>
      <c r="AW457" s="9">
        <f>G457*AO457</f>
        <v>0</v>
      </c>
      <c r="AX457" s="9">
        <f>G457*AP457</f>
        <v>0</v>
      </c>
      <c r="AY457" s="60" t="s">
        <v>535</v>
      </c>
      <c r="AZ457" s="60" t="s">
        <v>587</v>
      </c>
      <c r="BA457" s="11" t="s">
        <v>1404</v>
      </c>
      <c r="BC457" s="9">
        <f>AW457+AX457</f>
        <v>0</v>
      </c>
      <c r="BD457" s="9">
        <f>H457/(100-BE457)*100</f>
        <v>0</v>
      </c>
      <c r="BE457" s="9">
        <v>0</v>
      </c>
      <c r="BF457" s="9">
        <f>457</f>
        <v>457</v>
      </c>
      <c r="BH457" s="9">
        <f>G457*AO457</f>
        <v>0</v>
      </c>
      <c r="BI457" s="9">
        <f>G457*AP457</f>
        <v>0</v>
      </c>
      <c r="BJ457" s="9">
        <f>G457*H457</f>
        <v>0</v>
      </c>
      <c r="BK457" s="9"/>
      <c r="BL457" s="9">
        <v>0</v>
      </c>
      <c r="BW457" s="9">
        <v>21</v>
      </c>
    </row>
    <row r="458" spans="1:11" ht="13.5" customHeight="1">
      <c r="A458" s="47"/>
      <c r="C458" s="28"/>
      <c r="D458" s="116" t="s">
        <v>556</v>
      </c>
      <c r="E458" s="117"/>
      <c r="F458" s="117"/>
      <c r="G458" s="117"/>
      <c r="H458" s="117"/>
      <c r="I458" s="117"/>
      <c r="J458" s="117"/>
      <c r="K458" s="118"/>
    </row>
    <row r="459" spans="1:75" ht="13.5" customHeight="1">
      <c r="A459" s="16" t="s">
        <v>773</v>
      </c>
      <c r="B459" s="32" t="s">
        <v>894</v>
      </c>
      <c r="C459" s="32" t="s">
        <v>169</v>
      </c>
      <c r="D459" s="69" t="s">
        <v>642</v>
      </c>
      <c r="E459" s="70"/>
      <c r="F459" s="32" t="s">
        <v>317</v>
      </c>
      <c r="G459" s="9">
        <v>1</v>
      </c>
      <c r="H459" s="68">
        <v>0</v>
      </c>
      <c r="I459" s="9">
        <f>G459*H459</f>
        <v>0</v>
      </c>
      <c r="K459" s="23"/>
      <c r="Z459" s="9">
        <f>IF(AQ459="5",BJ459,0)</f>
        <v>0</v>
      </c>
      <c r="AB459" s="9">
        <f>IF(AQ459="1",BH459,0)</f>
        <v>0</v>
      </c>
      <c r="AC459" s="9">
        <f>IF(AQ459="1",BI459,0)</f>
        <v>0</v>
      </c>
      <c r="AD459" s="9">
        <f>IF(AQ459="7",BH459,0)</f>
        <v>0</v>
      </c>
      <c r="AE459" s="9">
        <f>IF(AQ459="7",BI459,0)</f>
        <v>0</v>
      </c>
      <c r="AF459" s="9">
        <f>IF(AQ459="2",BH459,0)</f>
        <v>0</v>
      </c>
      <c r="AG459" s="9">
        <f>IF(AQ459="2",BI459,0)</f>
        <v>0</v>
      </c>
      <c r="AH459" s="9">
        <f>IF(AQ459="0",BJ459,0)</f>
        <v>0</v>
      </c>
      <c r="AI459" s="11" t="s">
        <v>894</v>
      </c>
      <c r="AJ459" s="9">
        <f>IF(AN459=0,I459,0)</f>
        <v>0</v>
      </c>
      <c r="AK459" s="9">
        <f>IF(AN459=12,I459,0)</f>
        <v>0</v>
      </c>
      <c r="AL459" s="9">
        <f>IF(AN459=21,I459,0)</f>
        <v>0</v>
      </c>
      <c r="AN459" s="9">
        <v>21</v>
      </c>
      <c r="AO459" s="9">
        <f>H459*0</f>
        <v>0</v>
      </c>
      <c r="AP459" s="9">
        <f>H459*(1-0)</f>
        <v>0</v>
      </c>
      <c r="AQ459" s="60" t="s">
        <v>1231</v>
      </c>
      <c r="AV459" s="9">
        <f>AW459+AX459</f>
        <v>0</v>
      </c>
      <c r="AW459" s="9">
        <f>G459*AO459</f>
        <v>0</v>
      </c>
      <c r="AX459" s="9">
        <f>G459*AP459</f>
        <v>0</v>
      </c>
      <c r="AY459" s="60" t="s">
        <v>535</v>
      </c>
      <c r="AZ459" s="60" t="s">
        <v>587</v>
      </c>
      <c r="BA459" s="11" t="s">
        <v>1404</v>
      </c>
      <c r="BC459" s="9">
        <f>AW459+AX459</f>
        <v>0</v>
      </c>
      <c r="BD459" s="9">
        <f>H459/(100-BE459)*100</f>
        <v>0</v>
      </c>
      <c r="BE459" s="9">
        <v>0</v>
      </c>
      <c r="BF459" s="9">
        <f>459</f>
        <v>459</v>
      </c>
      <c r="BH459" s="9">
        <f>G459*AO459</f>
        <v>0</v>
      </c>
      <c r="BI459" s="9">
        <f>G459*AP459</f>
        <v>0</v>
      </c>
      <c r="BJ459" s="9">
        <f>G459*H459</f>
        <v>0</v>
      </c>
      <c r="BK459" s="9"/>
      <c r="BL459" s="9">
        <v>0</v>
      </c>
      <c r="BW459" s="9">
        <v>21</v>
      </c>
    </row>
    <row r="460" spans="1:11" ht="13.5" customHeight="1">
      <c r="A460" s="47"/>
      <c r="C460" s="28"/>
      <c r="D460" s="116" t="s">
        <v>1428</v>
      </c>
      <c r="E460" s="117"/>
      <c r="F460" s="117"/>
      <c r="G460" s="117"/>
      <c r="H460" s="117"/>
      <c r="I460" s="117"/>
      <c r="J460" s="117"/>
      <c r="K460" s="118"/>
    </row>
    <row r="461" spans="1:75" ht="13.5" customHeight="1">
      <c r="A461" s="16" t="s">
        <v>801</v>
      </c>
      <c r="B461" s="32" t="s">
        <v>894</v>
      </c>
      <c r="C461" s="32" t="s">
        <v>624</v>
      </c>
      <c r="D461" s="69" t="s">
        <v>125</v>
      </c>
      <c r="E461" s="70"/>
      <c r="F461" s="32" t="s">
        <v>317</v>
      </c>
      <c r="G461" s="9">
        <v>1</v>
      </c>
      <c r="H461" s="68">
        <v>0</v>
      </c>
      <c r="I461" s="9">
        <f>G461*H461</f>
        <v>0</v>
      </c>
      <c r="K461" s="23"/>
      <c r="Z461" s="9">
        <f>IF(AQ461="5",BJ461,0)</f>
        <v>0</v>
      </c>
      <c r="AB461" s="9">
        <f>IF(AQ461="1",BH461,0)</f>
        <v>0</v>
      </c>
      <c r="AC461" s="9">
        <f>IF(AQ461="1",BI461,0)</f>
        <v>0</v>
      </c>
      <c r="AD461" s="9">
        <f>IF(AQ461="7",BH461,0)</f>
        <v>0</v>
      </c>
      <c r="AE461" s="9">
        <f>IF(AQ461="7",BI461,0)</f>
        <v>0</v>
      </c>
      <c r="AF461" s="9">
        <f>IF(AQ461="2",BH461,0)</f>
        <v>0</v>
      </c>
      <c r="AG461" s="9">
        <f>IF(AQ461="2",BI461,0)</f>
        <v>0</v>
      </c>
      <c r="AH461" s="9">
        <f>IF(AQ461="0",BJ461,0)</f>
        <v>0</v>
      </c>
      <c r="AI461" s="11" t="s">
        <v>894</v>
      </c>
      <c r="AJ461" s="9">
        <f>IF(AN461=0,I461,0)</f>
        <v>0</v>
      </c>
      <c r="AK461" s="9">
        <f>IF(AN461=12,I461,0)</f>
        <v>0</v>
      </c>
      <c r="AL461" s="9">
        <f>IF(AN461=21,I461,0)</f>
        <v>0</v>
      </c>
      <c r="AN461" s="9">
        <v>21</v>
      </c>
      <c r="AO461" s="9">
        <f>H461*0</f>
        <v>0</v>
      </c>
      <c r="AP461" s="9">
        <f>H461*(1-0)</f>
        <v>0</v>
      </c>
      <c r="AQ461" s="60" t="s">
        <v>1231</v>
      </c>
      <c r="AV461" s="9">
        <f>AW461+AX461</f>
        <v>0</v>
      </c>
      <c r="AW461" s="9">
        <f>G461*AO461</f>
        <v>0</v>
      </c>
      <c r="AX461" s="9">
        <f>G461*AP461</f>
        <v>0</v>
      </c>
      <c r="AY461" s="60" t="s">
        <v>535</v>
      </c>
      <c r="AZ461" s="60" t="s">
        <v>587</v>
      </c>
      <c r="BA461" s="11" t="s">
        <v>1404</v>
      </c>
      <c r="BC461" s="9">
        <f>AW461+AX461</f>
        <v>0</v>
      </c>
      <c r="BD461" s="9">
        <f>H461/(100-BE461)*100</f>
        <v>0</v>
      </c>
      <c r="BE461" s="9">
        <v>0</v>
      </c>
      <c r="BF461" s="9">
        <f>461</f>
        <v>461</v>
      </c>
      <c r="BH461" s="9">
        <f>G461*AO461</f>
        <v>0</v>
      </c>
      <c r="BI461" s="9">
        <f>G461*AP461</f>
        <v>0</v>
      </c>
      <c r="BJ461" s="9">
        <f>G461*H461</f>
        <v>0</v>
      </c>
      <c r="BK461" s="9"/>
      <c r="BL461" s="9">
        <v>0</v>
      </c>
      <c r="BW461" s="9">
        <v>21</v>
      </c>
    </row>
    <row r="462" spans="1:11" ht="13.5" customHeight="1">
      <c r="A462" s="47"/>
      <c r="C462" s="28"/>
      <c r="D462" s="116" t="s">
        <v>1429</v>
      </c>
      <c r="E462" s="117"/>
      <c r="F462" s="117"/>
      <c r="G462" s="117"/>
      <c r="H462" s="117"/>
      <c r="I462" s="117"/>
      <c r="J462" s="117"/>
      <c r="K462" s="118"/>
    </row>
    <row r="463" spans="1:75" ht="13.5" customHeight="1">
      <c r="A463" s="16" t="s">
        <v>1306</v>
      </c>
      <c r="B463" s="32" t="s">
        <v>894</v>
      </c>
      <c r="C463" s="32" t="s">
        <v>178</v>
      </c>
      <c r="D463" s="69" t="s">
        <v>757</v>
      </c>
      <c r="E463" s="70"/>
      <c r="F463" s="32" t="s">
        <v>317</v>
      </c>
      <c r="G463" s="9">
        <v>1</v>
      </c>
      <c r="H463" s="68">
        <v>0</v>
      </c>
      <c r="I463" s="9">
        <f>G463*H463</f>
        <v>0</v>
      </c>
      <c r="K463" s="23"/>
      <c r="Z463" s="9">
        <f>IF(AQ463="5",BJ463,0)</f>
        <v>0</v>
      </c>
      <c r="AB463" s="9">
        <f>IF(AQ463="1",BH463,0)</f>
        <v>0</v>
      </c>
      <c r="AC463" s="9">
        <f>IF(AQ463="1",BI463,0)</f>
        <v>0</v>
      </c>
      <c r="AD463" s="9">
        <f>IF(AQ463="7",BH463,0)</f>
        <v>0</v>
      </c>
      <c r="AE463" s="9">
        <f>IF(AQ463="7",BI463,0)</f>
        <v>0</v>
      </c>
      <c r="AF463" s="9">
        <f>IF(AQ463="2",BH463,0)</f>
        <v>0</v>
      </c>
      <c r="AG463" s="9">
        <f>IF(AQ463="2",BI463,0)</f>
        <v>0</v>
      </c>
      <c r="AH463" s="9">
        <f>IF(AQ463="0",BJ463,0)</f>
        <v>0</v>
      </c>
      <c r="AI463" s="11" t="s">
        <v>894</v>
      </c>
      <c r="AJ463" s="9">
        <f>IF(AN463=0,I463,0)</f>
        <v>0</v>
      </c>
      <c r="AK463" s="9">
        <f>IF(AN463=12,I463,0)</f>
        <v>0</v>
      </c>
      <c r="AL463" s="9">
        <f>IF(AN463=21,I463,0)</f>
        <v>0</v>
      </c>
      <c r="AN463" s="9">
        <v>21</v>
      </c>
      <c r="AO463" s="9">
        <f>H463*0</f>
        <v>0</v>
      </c>
      <c r="AP463" s="9">
        <f>H463*(1-0)</f>
        <v>0</v>
      </c>
      <c r="AQ463" s="60" t="s">
        <v>1231</v>
      </c>
      <c r="AV463" s="9">
        <f>AW463+AX463</f>
        <v>0</v>
      </c>
      <c r="AW463" s="9">
        <f>G463*AO463</f>
        <v>0</v>
      </c>
      <c r="AX463" s="9">
        <f>G463*AP463</f>
        <v>0</v>
      </c>
      <c r="AY463" s="60" t="s">
        <v>535</v>
      </c>
      <c r="AZ463" s="60" t="s">
        <v>587</v>
      </c>
      <c r="BA463" s="11" t="s">
        <v>1404</v>
      </c>
      <c r="BC463" s="9">
        <f>AW463+AX463</f>
        <v>0</v>
      </c>
      <c r="BD463" s="9">
        <f>H463/(100-BE463)*100</f>
        <v>0</v>
      </c>
      <c r="BE463" s="9">
        <v>0</v>
      </c>
      <c r="BF463" s="9">
        <f>463</f>
        <v>463</v>
      </c>
      <c r="BH463" s="9">
        <f>G463*AO463</f>
        <v>0</v>
      </c>
      <c r="BI463" s="9">
        <f>G463*AP463</f>
        <v>0</v>
      </c>
      <c r="BJ463" s="9">
        <f>G463*H463</f>
        <v>0</v>
      </c>
      <c r="BK463" s="9"/>
      <c r="BL463" s="9">
        <v>0</v>
      </c>
      <c r="BW463" s="9">
        <v>21</v>
      </c>
    </row>
    <row r="464" spans="1:11" ht="13.5" customHeight="1">
      <c r="A464" s="47"/>
      <c r="C464" s="28"/>
      <c r="D464" s="116" t="s">
        <v>1430</v>
      </c>
      <c r="E464" s="117"/>
      <c r="F464" s="117"/>
      <c r="G464" s="117"/>
      <c r="H464" s="117"/>
      <c r="I464" s="117"/>
      <c r="J464" s="117"/>
      <c r="K464" s="118"/>
    </row>
    <row r="465" spans="1:75" ht="13.5" customHeight="1">
      <c r="A465" s="16" t="s">
        <v>1138</v>
      </c>
      <c r="B465" s="32" t="s">
        <v>894</v>
      </c>
      <c r="C465" s="32" t="s">
        <v>672</v>
      </c>
      <c r="D465" s="69" t="s">
        <v>1123</v>
      </c>
      <c r="E465" s="70"/>
      <c r="F465" s="32" t="s">
        <v>317</v>
      </c>
      <c r="G465" s="9">
        <v>1</v>
      </c>
      <c r="H465" s="68">
        <v>0</v>
      </c>
      <c r="I465" s="9">
        <f>G465*H465</f>
        <v>0</v>
      </c>
      <c r="K465" s="23"/>
      <c r="Z465" s="9">
        <f>IF(AQ465="5",BJ465,0)</f>
        <v>0</v>
      </c>
      <c r="AB465" s="9">
        <f>IF(AQ465="1",BH465,0)</f>
        <v>0</v>
      </c>
      <c r="AC465" s="9">
        <f>IF(AQ465="1",BI465,0)</f>
        <v>0</v>
      </c>
      <c r="AD465" s="9">
        <f>IF(AQ465="7",BH465,0)</f>
        <v>0</v>
      </c>
      <c r="AE465" s="9">
        <f>IF(AQ465="7",BI465,0)</f>
        <v>0</v>
      </c>
      <c r="AF465" s="9">
        <f>IF(AQ465="2",BH465,0)</f>
        <v>0</v>
      </c>
      <c r="AG465" s="9">
        <f>IF(AQ465="2",BI465,0)</f>
        <v>0</v>
      </c>
      <c r="AH465" s="9">
        <f>IF(AQ465="0",BJ465,0)</f>
        <v>0</v>
      </c>
      <c r="AI465" s="11" t="s">
        <v>894</v>
      </c>
      <c r="AJ465" s="9">
        <f>IF(AN465=0,I465,0)</f>
        <v>0</v>
      </c>
      <c r="AK465" s="9">
        <f>IF(AN465=12,I465,0)</f>
        <v>0</v>
      </c>
      <c r="AL465" s="9">
        <f>IF(AN465=21,I465,0)</f>
        <v>0</v>
      </c>
      <c r="AN465" s="9">
        <v>21</v>
      </c>
      <c r="AO465" s="9">
        <f>H465*0</f>
        <v>0</v>
      </c>
      <c r="AP465" s="9">
        <f>H465*(1-0)</f>
        <v>0</v>
      </c>
      <c r="AQ465" s="60" t="s">
        <v>1231</v>
      </c>
      <c r="AV465" s="9">
        <f>AW465+AX465</f>
        <v>0</v>
      </c>
      <c r="AW465" s="9">
        <f>G465*AO465</f>
        <v>0</v>
      </c>
      <c r="AX465" s="9">
        <f>G465*AP465</f>
        <v>0</v>
      </c>
      <c r="AY465" s="60" t="s">
        <v>535</v>
      </c>
      <c r="AZ465" s="60" t="s">
        <v>587</v>
      </c>
      <c r="BA465" s="11" t="s">
        <v>1404</v>
      </c>
      <c r="BC465" s="9">
        <f>AW465+AX465</f>
        <v>0</v>
      </c>
      <c r="BD465" s="9">
        <f>H465/(100-BE465)*100</f>
        <v>0</v>
      </c>
      <c r="BE465" s="9">
        <v>0</v>
      </c>
      <c r="BF465" s="9">
        <f>465</f>
        <v>465</v>
      </c>
      <c r="BH465" s="9">
        <f>G465*AO465</f>
        <v>0</v>
      </c>
      <c r="BI465" s="9">
        <f>G465*AP465</f>
        <v>0</v>
      </c>
      <c r="BJ465" s="9">
        <f>G465*H465</f>
        <v>0</v>
      </c>
      <c r="BK465" s="9"/>
      <c r="BL465" s="9">
        <v>0</v>
      </c>
      <c r="BW465" s="9">
        <v>21</v>
      </c>
    </row>
    <row r="466" spans="1:11" ht="13.5" customHeight="1">
      <c r="A466" s="47"/>
      <c r="C466" s="28"/>
      <c r="D466" s="116" t="s">
        <v>1431</v>
      </c>
      <c r="E466" s="117"/>
      <c r="F466" s="117"/>
      <c r="G466" s="117"/>
      <c r="H466" s="117"/>
      <c r="I466" s="117"/>
      <c r="J466" s="117"/>
      <c r="K466" s="118"/>
    </row>
    <row r="467" spans="1:75" ht="13.5" customHeight="1">
      <c r="A467" s="16" t="s">
        <v>946</v>
      </c>
      <c r="B467" s="32" t="s">
        <v>894</v>
      </c>
      <c r="C467" s="32" t="s">
        <v>628</v>
      </c>
      <c r="D467" s="69" t="s">
        <v>445</v>
      </c>
      <c r="E467" s="70"/>
      <c r="F467" s="32" t="s">
        <v>317</v>
      </c>
      <c r="G467" s="9">
        <v>1</v>
      </c>
      <c r="H467" s="68">
        <v>0</v>
      </c>
      <c r="I467" s="9">
        <f>G467*H467</f>
        <v>0</v>
      </c>
      <c r="K467" s="23"/>
      <c r="Z467" s="9">
        <f>IF(AQ467="5",BJ467,0)</f>
        <v>0</v>
      </c>
      <c r="AB467" s="9">
        <f>IF(AQ467="1",BH467,0)</f>
        <v>0</v>
      </c>
      <c r="AC467" s="9">
        <f>IF(AQ467="1",BI467,0)</f>
        <v>0</v>
      </c>
      <c r="AD467" s="9">
        <f>IF(AQ467="7",BH467,0)</f>
        <v>0</v>
      </c>
      <c r="AE467" s="9">
        <f>IF(AQ467="7",BI467,0)</f>
        <v>0</v>
      </c>
      <c r="AF467" s="9">
        <f>IF(AQ467="2",BH467,0)</f>
        <v>0</v>
      </c>
      <c r="AG467" s="9">
        <f>IF(AQ467="2",BI467,0)</f>
        <v>0</v>
      </c>
      <c r="AH467" s="9">
        <f>IF(AQ467="0",BJ467,0)</f>
        <v>0</v>
      </c>
      <c r="AI467" s="11" t="s">
        <v>894</v>
      </c>
      <c r="AJ467" s="9">
        <f>IF(AN467=0,I467,0)</f>
        <v>0</v>
      </c>
      <c r="AK467" s="9">
        <f>IF(AN467=12,I467,0)</f>
        <v>0</v>
      </c>
      <c r="AL467" s="9">
        <f>IF(AN467=21,I467,0)</f>
        <v>0</v>
      </c>
      <c r="AN467" s="9">
        <v>21</v>
      </c>
      <c r="AO467" s="9">
        <f>H467*0</f>
        <v>0</v>
      </c>
      <c r="AP467" s="9">
        <f>H467*(1-0)</f>
        <v>0</v>
      </c>
      <c r="AQ467" s="60" t="s">
        <v>1231</v>
      </c>
      <c r="AV467" s="9">
        <f>AW467+AX467</f>
        <v>0</v>
      </c>
      <c r="AW467" s="9">
        <f>G467*AO467</f>
        <v>0</v>
      </c>
      <c r="AX467" s="9">
        <f>G467*AP467</f>
        <v>0</v>
      </c>
      <c r="AY467" s="60" t="s">
        <v>535</v>
      </c>
      <c r="AZ467" s="60" t="s">
        <v>587</v>
      </c>
      <c r="BA467" s="11" t="s">
        <v>1404</v>
      </c>
      <c r="BC467" s="9">
        <f>AW467+AX467</f>
        <v>0</v>
      </c>
      <c r="BD467" s="9">
        <f>H467/(100-BE467)*100</f>
        <v>0</v>
      </c>
      <c r="BE467" s="9">
        <v>0</v>
      </c>
      <c r="BF467" s="9">
        <f>467</f>
        <v>467</v>
      </c>
      <c r="BH467" s="9">
        <f>G467*AO467</f>
        <v>0</v>
      </c>
      <c r="BI467" s="9">
        <f>G467*AP467</f>
        <v>0</v>
      </c>
      <c r="BJ467" s="9">
        <f>G467*H467</f>
        <v>0</v>
      </c>
      <c r="BK467" s="9"/>
      <c r="BL467" s="9">
        <v>0</v>
      </c>
      <c r="BW467" s="9">
        <v>21</v>
      </c>
    </row>
    <row r="468" spans="1:11" ht="13.5" customHeight="1">
      <c r="A468" s="47"/>
      <c r="C468" s="28"/>
      <c r="D468" s="116" t="s">
        <v>1087</v>
      </c>
      <c r="E468" s="117"/>
      <c r="F468" s="117"/>
      <c r="G468" s="117"/>
      <c r="H468" s="117"/>
      <c r="I468" s="117"/>
      <c r="J468" s="117"/>
      <c r="K468" s="118"/>
    </row>
    <row r="469" spans="1:75" ht="13.5" customHeight="1">
      <c r="A469" s="16" t="s">
        <v>895</v>
      </c>
      <c r="B469" s="32" t="s">
        <v>894</v>
      </c>
      <c r="C469" s="32" t="s">
        <v>47</v>
      </c>
      <c r="D469" s="69" t="s">
        <v>942</v>
      </c>
      <c r="E469" s="70"/>
      <c r="F469" s="32" t="s">
        <v>317</v>
      </c>
      <c r="G469" s="9">
        <v>1</v>
      </c>
      <c r="H469" s="68">
        <v>0</v>
      </c>
      <c r="I469" s="9">
        <f>G469*H469</f>
        <v>0</v>
      </c>
      <c r="K469" s="23"/>
      <c r="Z469" s="9">
        <f>IF(AQ469="5",BJ469,0)</f>
        <v>0</v>
      </c>
      <c r="AB469" s="9">
        <f>IF(AQ469="1",BH469,0)</f>
        <v>0</v>
      </c>
      <c r="AC469" s="9">
        <f>IF(AQ469="1",BI469,0)</f>
        <v>0</v>
      </c>
      <c r="AD469" s="9">
        <f>IF(AQ469="7",BH469,0)</f>
        <v>0</v>
      </c>
      <c r="AE469" s="9">
        <f>IF(AQ469="7",BI469,0)</f>
        <v>0</v>
      </c>
      <c r="AF469" s="9">
        <f>IF(AQ469="2",BH469,0)</f>
        <v>0</v>
      </c>
      <c r="AG469" s="9">
        <f>IF(AQ469="2",BI469,0)</f>
        <v>0</v>
      </c>
      <c r="AH469" s="9">
        <f>IF(AQ469="0",BJ469,0)</f>
        <v>0</v>
      </c>
      <c r="AI469" s="11" t="s">
        <v>894</v>
      </c>
      <c r="AJ469" s="9">
        <f>IF(AN469=0,I469,0)</f>
        <v>0</v>
      </c>
      <c r="AK469" s="9">
        <f>IF(AN469=12,I469,0)</f>
        <v>0</v>
      </c>
      <c r="AL469" s="9">
        <f>IF(AN469=21,I469,0)</f>
        <v>0</v>
      </c>
      <c r="AN469" s="9">
        <v>21</v>
      </c>
      <c r="AO469" s="9">
        <f>H469*0</f>
        <v>0</v>
      </c>
      <c r="AP469" s="9">
        <f>H469*(1-0)</f>
        <v>0</v>
      </c>
      <c r="AQ469" s="60" t="s">
        <v>1231</v>
      </c>
      <c r="AV469" s="9">
        <f>AW469+AX469</f>
        <v>0</v>
      </c>
      <c r="AW469" s="9">
        <f>G469*AO469</f>
        <v>0</v>
      </c>
      <c r="AX469" s="9">
        <f>G469*AP469</f>
        <v>0</v>
      </c>
      <c r="AY469" s="60" t="s">
        <v>535</v>
      </c>
      <c r="AZ469" s="60" t="s">
        <v>587</v>
      </c>
      <c r="BA469" s="11" t="s">
        <v>1404</v>
      </c>
      <c r="BC469" s="9">
        <f>AW469+AX469</f>
        <v>0</v>
      </c>
      <c r="BD469" s="9">
        <f>H469/(100-BE469)*100</f>
        <v>0</v>
      </c>
      <c r="BE469" s="9">
        <v>0</v>
      </c>
      <c r="BF469" s="9">
        <f>469</f>
        <v>469</v>
      </c>
      <c r="BH469" s="9">
        <f>G469*AO469</f>
        <v>0</v>
      </c>
      <c r="BI469" s="9">
        <f>G469*AP469</f>
        <v>0</v>
      </c>
      <c r="BJ469" s="9">
        <f>G469*H469</f>
        <v>0</v>
      </c>
      <c r="BK469" s="9"/>
      <c r="BL469" s="9">
        <v>0</v>
      </c>
      <c r="BW469" s="9">
        <v>21</v>
      </c>
    </row>
    <row r="470" spans="1:11" ht="13.5" customHeight="1">
      <c r="A470" s="47"/>
      <c r="C470" s="28"/>
      <c r="D470" s="116" t="s">
        <v>1432</v>
      </c>
      <c r="E470" s="117"/>
      <c r="F470" s="117"/>
      <c r="G470" s="117"/>
      <c r="H470" s="117"/>
      <c r="I470" s="117"/>
      <c r="J470" s="117"/>
      <c r="K470" s="118"/>
    </row>
    <row r="471" spans="1:75" ht="13.5" customHeight="1">
      <c r="A471" s="16" t="s">
        <v>746</v>
      </c>
      <c r="B471" s="32" t="s">
        <v>894</v>
      </c>
      <c r="C471" s="32" t="s">
        <v>900</v>
      </c>
      <c r="D471" s="69" t="s">
        <v>891</v>
      </c>
      <c r="E471" s="70"/>
      <c r="F471" s="32" t="s">
        <v>317</v>
      </c>
      <c r="G471" s="9">
        <v>1</v>
      </c>
      <c r="H471" s="68">
        <v>0</v>
      </c>
      <c r="I471" s="9">
        <f>G471*H471</f>
        <v>0</v>
      </c>
      <c r="K471" s="23"/>
      <c r="Z471" s="9">
        <f>IF(AQ471="5",BJ471,0)</f>
        <v>0</v>
      </c>
      <c r="AB471" s="9">
        <f>IF(AQ471="1",BH471,0)</f>
        <v>0</v>
      </c>
      <c r="AC471" s="9">
        <f>IF(AQ471="1",BI471,0)</f>
        <v>0</v>
      </c>
      <c r="AD471" s="9">
        <f>IF(AQ471="7",BH471,0)</f>
        <v>0</v>
      </c>
      <c r="AE471" s="9">
        <f>IF(AQ471="7",BI471,0)</f>
        <v>0</v>
      </c>
      <c r="AF471" s="9">
        <f>IF(AQ471="2",BH471,0)</f>
        <v>0</v>
      </c>
      <c r="AG471" s="9">
        <f>IF(AQ471="2",BI471,0)</f>
        <v>0</v>
      </c>
      <c r="AH471" s="9">
        <f>IF(AQ471="0",BJ471,0)</f>
        <v>0</v>
      </c>
      <c r="AI471" s="11" t="s">
        <v>894</v>
      </c>
      <c r="AJ471" s="9">
        <f>IF(AN471=0,I471,0)</f>
        <v>0</v>
      </c>
      <c r="AK471" s="9">
        <f>IF(AN471=12,I471,0)</f>
        <v>0</v>
      </c>
      <c r="AL471" s="9">
        <f>IF(AN471=21,I471,0)</f>
        <v>0</v>
      </c>
      <c r="AN471" s="9">
        <v>21</v>
      </c>
      <c r="AO471" s="9">
        <f>H471*0</f>
        <v>0</v>
      </c>
      <c r="AP471" s="9">
        <f>H471*(1-0)</f>
        <v>0</v>
      </c>
      <c r="AQ471" s="60" t="s">
        <v>1231</v>
      </c>
      <c r="AV471" s="9">
        <f>AW471+AX471</f>
        <v>0</v>
      </c>
      <c r="AW471" s="9">
        <f>G471*AO471</f>
        <v>0</v>
      </c>
      <c r="AX471" s="9">
        <f>G471*AP471</f>
        <v>0</v>
      </c>
      <c r="AY471" s="60" t="s">
        <v>535</v>
      </c>
      <c r="AZ471" s="60" t="s">
        <v>587</v>
      </c>
      <c r="BA471" s="11" t="s">
        <v>1404</v>
      </c>
      <c r="BC471" s="9">
        <f>AW471+AX471</f>
        <v>0</v>
      </c>
      <c r="BD471" s="9">
        <f>H471/(100-BE471)*100</f>
        <v>0</v>
      </c>
      <c r="BE471" s="9">
        <v>0</v>
      </c>
      <c r="BF471" s="9">
        <f>471</f>
        <v>471</v>
      </c>
      <c r="BH471" s="9">
        <f>G471*AO471</f>
        <v>0</v>
      </c>
      <c r="BI471" s="9">
        <f>G471*AP471</f>
        <v>0</v>
      </c>
      <c r="BJ471" s="9">
        <f>G471*H471</f>
        <v>0</v>
      </c>
      <c r="BK471" s="9"/>
      <c r="BL471" s="9">
        <v>0</v>
      </c>
      <c r="BW471" s="9">
        <v>21</v>
      </c>
    </row>
    <row r="472" spans="1:11" ht="13.5" customHeight="1">
      <c r="A472" s="47"/>
      <c r="C472" s="28"/>
      <c r="D472" s="116" t="s">
        <v>1433</v>
      </c>
      <c r="E472" s="117"/>
      <c r="F472" s="117"/>
      <c r="G472" s="117"/>
      <c r="H472" s="117"/>
      <c r="I472" s="117"/>
      <c r="J472" s="117"/>
      <c r="K472" s="118"/>
    </row>
    <row r="473" spans="1:75" ht="13.5" customHeight="1">
      <c r="A473" s="16" t="s">
        <v>819</v>
      </c>
      <c r="B473" s="32" t="s">
        <v>894</v>
      </c>
      <c r="C473" s="32" t="s">
        <v>928</v>
      </c>
      <c r="D473" s="69" t="s">
        <v>1183</v>
      </c>
      <c r="E473" s="70"/>
      <c r="F473" s="32" t="s">
        <v>317</v>
      </c>
      <c r="G473" s="9">
        <v>1</v>
      </c>
      <c r="H473" s="68">
        <v>0</v>
      </c>
      <c r="I473" s="9">
        <f>G473*H473</f>
        <v>0</v>
      </c>
      <c r="K473" s="23"/>
      <c r="Z473" s="9">
        <f>IF(AQ473="5",BJ473,0)</f>
        <v>0</v>
      </c>
      <c r="AB473" s="9">
        <f>IF(AQ473="1",BH473,0)</f>
        <v>0</v>
      </c>
      <c r="AC473" s="9">
        <f>IF(AQ473="1",BI473,0)</f>
        <v>0</v>
      </c>
      <c r="AD473" s="9">
        <f>IF(AQ473="7",BH473,0)</f>
        <v>0</v>
      </c>
      <c r="AE473" s="9">
        <f>IF(AQ473="7",BI473,0)</f>
        <v>0</v>
      </c>
      <c r="AF473" s="9">
        <f>IF(AQ473="2",BH473,0)</f>
        <v>0</v>
      </c>
      <c r="AG473" s="9">
        <f>IF(AQ473="2",BI473,0)</f>
        <v>0</v>
      </c>
      <c r="AH473" s="9">
        <f>IF(AQ473="0",BJ473,0)</f>
        <v>0</v>
      </c>
      <c r="AI473" s="11" t="s">
        <v>894</v>
      </c>
      <c r="AJ473" s="9">
        <f>IF(AN473=0,I473,0)</f>
        <v>0</v>
      </c>
      <c r="AK473" s="9">
        <f>IF(AN473=12,I473,0)</f>
        <v>0</v>
      </c>
      <c r="AL473" s="9">
        <f>IF(AN473=21,I473,0)</f>
        <v>0</v>
      </c>
      <c r="AN473" s="9">
        <v>21</v>
      </c>
      <c r="AO473" s="9">
        <f>H473*0</f>
        <v>0</v>
      </c>
      <c r="AP473" s="9">
        <f>H473*(1-0)</f>
        <v>0</v>
      </c>
      <c r="AQ473" s="60" t="s">
        <v>1231</v>
      </c>
      <c r="AV473" s="9">
        <f>AW473+AX473</f>
        <v>0</v>
      </c>
      <c r="AW473" s="9">
        <f>G473*AO473</f>
        <v>0</v>
      </c>
      <c r="AX473" s="9">
        <f>G473*AP473</f>
        <v>0</v>
      </c>
      <c r="AY473" s="60" t="s">
        <v>535</v>
      </c>
      <c r="AZ473" s="60" t="s">
        <v>587</v>
      </c>
      <c r="BA473" s="11" t="s">
        <v>1404</v>
      </c>
      <c r="BC473" s="9">
        <f>AW473+AX473</f>
        <v>0</v>
      </c>
      <c r="BD473" s="9">
        <f>H473/(100-BE473)*100</f>
        <v>0</v>
      </c>
      <c r="BE473" s="9">
        <v>0</v>
      </c>
      <c r="BF473" s="9">
        <f>473</f>
        <v>473</v>
      </c>
      <c r="BH473" s="9">
        <f>G473*AO473</f>
        <v>0</v>
      </c>
      <c r="BI473" s="9">
        <f>G473*AP473</f>
        <v>0</v>
      </c>
      <c r="BJ473" s="9">
        <f>G473*H473</f>
        <v>0</v>
      </c>
      <c r="BK473" s="9"/>
      <c r="BL473" s="9">
        <v>0</v>
      </c>
      <c r="BW473" s="9">
        <v>21</v>
      </c>
    </row>
    <row r="474" spans="1:11" ht="13.5" customHeight="1">
      <c r="A474" s="47"/>
      <c r="C474" s="28"/>
      <c r="D474" s="116" t="s">
        <v>1434</v>
      </c>
      <c r="E474" s="117"/>
      <c r="F474" s="117"/>
      <c r="G474" s="117"/>
      <c r="H474" s="117"/>
      <c r="I474" s="117"/>
      <c r="J474" s="117"/>
      <c r="K474" s="118"/>
    </row>
    <row r="475" spans="1:47" ht="15" customHeight="1">
      <c r="A475" s="39" t="s">
        <v>852</v>
      </c>
      <c r="B475" s="48" t="s">
        <v>894</v>
      </c>
      <c r="C475" s="48" t="s">
        <v>736</v>
      </c>
      <c r="D475" s="122" t="s">
        <v>998</v>
      </c>
      <c r="E475" s="123"/>
      <c r="F475" s="51" t="s">
        <v>1142</v>
      </c>
      <c r="G475" s="51" t="s">
        <v>1142</v>
      </c>
      <c r="H475" s="51" t="s">
        <v>1142</v>
      </c>
      <c r="I475" s="55">
        <f>SUM(I476:I490)</f>
        <v>0</v>
      </c>
      <c r="K475" s="23"/>
      <c r="AI475" s="11" t="s">
        <v>894</v>
      </c>
      <c r="AS475" s="55">
        <f>SUM(AJ476:AJ490)</f>
        <v>0</v>
      </c>
      <c r="AT475" s="55">
        <f>SUM(AK476:AK490)</f>
        <v>0</v>
      </c>
      <c r="AU475" s="55">
        <f>SUM(AL476:AL490)</f>
        <v>0</v>
      </c>
    </row>
    <row r="476" spans="1:75" ht="13.5" customHeight="1">
      <c r="A476" s="16" t="s">
        <v>944</v>
      </c>
      <c r="B476" s="32" t="s">
        <v>894</v>
      </c>
      <c r="C476" s="32" t="s">
        <v>653</v>
      </c>
      <c r="D476" s="69" t="s">
        <v>676</v>
      </c>
      <c r="E476" s="70"/>
      <c r="F476" s="32" t="s">
        <v>317</v>
      </c>
      <c r="G476" s="9">
        <v>6</v>
      </c>
      <c r="H476" s="68">
        <v>0</v>
      </c>
      <c r="I476" s="9">
        <f>G476*H476</f>
        <v>0</v>
      </c>
      <c r="K476" s="23"/>
      <c r="Z476" s="9">
        <f>IF(AQ476="5",BJ476,0)</f>
        <v>0</v>
      </c>
      <c r="AB476" s="9">
        <f>IF(AQ476="1",BH476,0)</f>
        <v>0</v>
      </c>
      <c r="AC476" s="9">
        <f>IF(AQ476="1",BI476,0)</f>
        <v>0</v>
      </c>
      <c r="AD476" s="9">
        <f>IF(AQ476="7",BH476,0)</f>
        <v>0</v>
      </c>
      <c r="AE476" s="9">
        <f>IF(AQ476="7",BI476,0)</f>
        <v>0</v>
      </c>
      <c r="AF476" s="9">
        <f>IF(AQ476="2",BH476,0)</f>
        <v>0</v>
      </c>
      <c r="AG476" s="9">
        <f>IF(AQ476="2",BI476,0)</f>
        <v>0</v>
      </c>
      <c r="AH476" s="9">
        <f>IF(AQ476="0",BJ476,0)</f>
        <v>0</v>
      </c>
      <c r="AI476" s="11" t="s">
        <v>894</v>
      </c>
      <c r="AJ476" s="9">
        <f>IF(AN476=0,I476,0)</f>
        <v>0</v>
      </c>
      <c r="AK476" s="9">
        <f>IF(AN476=12,I476,0)</f>
        <v>0</v>
      </c>
      <c r="AL476" s="9">
        <f>IF(AN476=21,I476,0)</f>
        <v>0</v>
      </c>
      <c r="AN476" s="9">
        <v>21</v>
      </c>
      <c r="AO476" s="9">
        <f>H476*0</f>
        <v>0</v>
      </c>
      <c r="AP476" s="9">
        <f>H476*(1-0)</f>
        <v>0</v>
      </c>
      <c r="AQ476" s="60" t="s">
        <v>1231</v>
      </c>
      <c r="AV476" s="9">
        <f>AW476+AX476</f>
        <v>0</v>
      </c>
      <c r="AW476" s="9">
        <f>G476*AO476</f>
        <v>0</v>
      </c>
      <c r="AX476" s="9">
        <f>G476*AP476</f>
        <v>0</v>
      </c>
      <c r="AY476" s="60" t="s">
        <v>518</v>
      </c>
      <c r="AZ476" s="60" t="s">
        <v>587</v>
      </c>
      <c r="BA476" s="11" t="s">
        <v>1404</v>
      </c>
      <c r="BC476" s="9">
        <f>AW476+AX476</f>
        <v>0</v>
      </c>
      <c r="BD476" s="9">
        <f>H476/(100-BE476)*100</f>
        <v>0</v>
      </c>
      <c r="BE476" s="9">
        <v>0</v>
      </c>
      <c r="BF476" s="9">
        <f>476</f>
        <v>476</v>
      </c>
      <c r="BH476" s="9">
        <f>G476*AO476</f>
        <v>0</v>
      </c>
      <c r="BI476" s="9">
        <f>G476*AP476</f>
        <v>0</v>
      </c>
      <c r="BJ476" s="9">
        <f>G476*H476</f>
        <v>0</v>
      </c>
      <c r="BK476" s="9"/>
      <c r="BL476" s="9">
        <v>1</v>
      </c>
      <c r="BW476" s="9">
        <v>21</v>
      </c>
    </row>
    <row r="477" spans="1:11" ht="13.5" customHeight="1">
      <c r="A477" s="47"/>
      <c r="C477" s="28"/>
      <c r="D477" s="116" t="s">
        <v>1322</v>
      </c>
      <c r="E477" s="117"/>
      <c r="F477" s="117"/>
      <c r="G477" s="117"/>
      <c r="H477" s="117"/>
      <c r="I477" s="117"/>
      <c r="J477" s="117"/>
      <c r="K477" s="118"/>
    </row>
    <row r="478" spans="1:75" ht="13.5" customHeight="1">
      <c r="A478" s="16" t="s">
        <v>823</v>
      </c>
      <c r="B478" s="32" t="s">
        <v>894</v>
      </c>
      <c r="C478" s="32" t="s">
        <v>892</v>
      </c>
      <c r="D478" s="69" t="s">
        <v>732</v>
      </c>
      <c r="E478" s="70"/>
      <c r="F478" s="32" t="s">
        <v>317</v>
      </c>
      <c r="G478" s="9">
        <v>6</v>
      </c>
      <c r="H478" s="68">
        <v>0</v>
      </c>
      <c r="I478" s="9">
        <f>G478*H478</f>
        <v>0</v>
      </c>
      <c r="K478" s="23"/>
      <c r="Z478" s="9">
        <f>IF(AQ478="5",BJ478,0)</f>
        <v>0</v>
      </c>
      <c r="AB478" s="9">
        <f>IF(AQ478="1",BH478,0)</f>
        <v>0</v>
      </c>
      <c r="AC478" s="9">
        <f>IF(AQ478="1",BI478,0)</f>
        <v>0</v>
      </c>
      <c r="AD478" s="9">
        <f>IF(AQ478="7",BH478,0)</f>
        <v>0</v>
      </c>
      <c r="AE478" s="9">
        <f>IF(AQ478="7",BI478,0)</f>
        <v>0</v>
      </c>
      <c r="AF478" s="9">
        <f>IF(AQ478="2",BH478,0)</f>
        <v>0</v>
      </c>
      <c r="AG478" s="9">
        <f>IF(AQ478="2",BI478,0)</f>
        <v>0</v>
      </c>
      <c r="AH478" s="9">
        <f>IF(AQ478="0",BJ478,0)</f>
        <v>0</v>
      </c>
      <c r="AI478" s="11" t="s">
        <v>894</v>
      </c>
      <c r="AJ478" s="9">
        <f>IF(AN478=0,I478,0)</f>
        <v>0</v>
      </c>
      <c r="AK478" s="9">
        <f>IF(AN478=12,I478,0)</f>
        <v>0</v>
      </c>
      <c r="AL478" s="9">
        <f>IF(AN478=21,I478,0)</f>
        <v>0</v>
      </c>
      <c r="AN478" s="9">
        <v>21</v>
      </c>
      <c r="AO478" s="9">
        <f>H478*1</f>
        <v>0</v>
      </c>
      <c r="AP478" s="9">
        <f>H478*(1-1)</f>
        <v>0</v>
      </c>
      <c r="AQ478" s="60" t="s">
        <v>1231</v>
      </c>
      <c r="AV478" s="9">
        <f>AW478+AX478</f>
        <v>0</v>
      </c>
      <c r="AW478" s="9">
        <f>G478*AO478</f>
        <v>0</v>
      </c>
      <c r="AX478" s="9">
        <f>G478*AP478</f>
        <v>0</v>
      </c>
      <c r="AY478" s="60" t="s">
        <v>518</v>
      </c>
      <c r="AZ478" s="60" t="s">
        <v>587</v>
      </c>
      <c r="BA478" s="11" t="s">
        <v>1404</v>
      </c>
      <c r="BC478" s="9">
        <f>AW478+AX478</f>
        <v>0</v>
      </c>
      <c r="BD478" s="9">
        <f>H478/(100-BE478)*100</f>
        <v>0</v>
      </c>
      <c r="BE478" s="9">
        <v>0</v>
      </c>
      <c r="BF478" s="9">
        <f>478</f>
        <v>478</v>
      </c>
      <c r="BH478" s="9">
        <f>G478*AO478</f>
        <v>0</v>
      </c>
      <c r="BI478" s="9">
        <f>G478*AP478</f>
        <v>0</v>
      </c>
      <c r="BJ478" s="9">
        <f>G478*H478</f>
        <v>0</v>
      </c>
      <c r="BK478" s="9"/>
      <c r="BL478" s="9">
        <v>1</v>
      </c>
      <c r="BW478" s="9">
        <v>21</v>
      </c>
    </row>
    <row r="479" spans="1:75" ht="13.5" customHeight="1">
      <c r="A479" s="16" t="s">
        <v>1027</v>
      </c>
      <c r="B479" s="32" t="s">
        <v>894</v>
      </c>
      <c r="C479" s="32" t="s">
        <v>653</v>
      </c>
      <c r="D479" s="69" t="s">
        <v>676</v>
      </c>
      <c r="E479" s="70"/>
      <c r="F479" s="32" t="s">
        <v>317</v>
      </c>
      <c r="G479" s="9">
        <v>42</v>
      </c>
      <c r="H479" s="68">
        <v>0</v>
      </c>
      <c r="I479" s="9">
        <f>G479*H479</f>
        <v>0</v>
      </c>
      <c r="K479" s="23"/>
      <c r="Z479" s="9">
        <f>IF(AQ479="5",BJ479,0)</f>
        <v>0</v>
      </c>
      <c r="AB479" s="9">
        <f>IF(AQ479="1",BH479,0)</f>
        <v>0</v>
      </c>
      <c r="AC479" s="9">
        <f>IF(AQ479="1",BI479,0)</f>
        <v>0</v>
      </c>
      <c r="AD479" s="9">
        <f>IF(AQ479="7",BH479,0)</f>
        <v>0</v>
      </c>
      <c r="AE479" s="9">
        <f>IF(AQ479="7",BI479,0)</f>
        <v>0</v>
      </c>
      <c r="AF479" s="9">
        <f>IF(AQ479="2",BH479,0)</f>
        <v>0</v>
      </c>
      <c r="AG479" s="9">
        <f>IF(AQ479="2",BI479,0)</f>
        <v>0</v>
      </c>
      <c r="AH479" s="9">
        <f>IF(AQ479="0",BJ479,0)</f>
        <v>0</v>
      </c>
      <c r="AI479" s="11" t="s">
        <v>894</v>
      </c>
      <c r="AJ479" s="9">
        <f>IF(AN479=0,I479,0)</f>
        <v>0</v>
      </c>
      <c r="AK479" s="9">
        <f>IF(AN479=12,I479,0)</f>
        <v>0</v>
      </c>
      <c r="AL479" s="9">
        <f>IF(AN479=21,I479,0)</f>
        <v>0</v>
      </c>
      <c r="AN479" s="9">
        <v>21</v>
      </c>
      <c r="AO479" s="9">
        <f>H479*0</f>
        <v>0</v>
      </c>
      <c r="AP479" s="9">
        <f>H479*(1-0)</f>
        <v>0</v>
      </c>
      <c r="AQ479" s="60" t="s">
        <v>1231</v>
      </c>
      <c r="AV479" s="9">
        <f>AW479+AX479</f>
        <v>0</v>
      </c>
      <c r="AW479" s="9">
        <f>G479*AO479</f>
        <v>0</v>
      </c>
      <c r="AX479" s="9">
        <f>G479*AP479</f>
        <v>0</v>
      </c>
      <c r="AY479" s="60" t="s">
        <v>518</v>
      </c>
      <c r="AZ479" s="60" t="s">
        <v>587</v>
      </c>
      <c r="BA479" s="11" t="s">
        <v>1404</v>
      </c>
      <c r="BC479" s="9">
        <f>AW479+AX479</f>
        <v>0</v>
      </c>
      <c r="BD479" s="9">
        <f>H479/(100-BE479)*100</f>
        <v>0</v>
      </c>
      <c r="BE479" s="9">
        <v>0</v>
      </c>
      <c r="BF479" s="9">
        <f>479</f>
        <v>479</v>
      </c>
      <c r="BH479" s="9">
        <f>G479*AO479</f>
        <v>0</v>
      </c>
      <c r="BI479" s="9">
        <f>G479*AP479</f>
        <v>0</v>
      </c>
      <c r="BJ479" s="9">
        <f>G479*H479</f>
        <v>0</v>
      </c>
      <c r="BK479" s="9"/>
      <c r="BL479" s="9">
        <v>1</v>
      </c>
      <c r="BW479" s="9">
        <v>21</v>
      </c>
    </row>
    <row r="480" spans="1:11" ht="13.5" customHeight="1">
      <c r="A480" s="47"/>
      <c r="C480" s="28"/>
      <c r="D480" s="116" t="s">
        <v>1435</v>
      </c>
      <c r="E480" s="117"/>
      <c r="F480" s="117"/>
      <c r="G480" s="117"/>
      <c r="H480" s="117"/>
      <c r="I480" s="117"/>
      <c r="J480" s="117"/>
      <c r="K480" s="118"/>
    </row>
    <row r="481" spans="1:75" ht="13.5" customHeight="1">
      <c r="A481" s="16" t="s">
        <v>466</v>
      </c>
      <c r="B481" s="32" t="s">
        <v>894</v>
      </c>
      <c r="C481" s="32" t="s">
        <v>83</v>
      </c>
      <c r="D481" s="69" t="s">
        <v>144</v>
      </c>
      <c r="E481" s="70"/>
      <c r="F481" s="32" t="s">
        <v>1213</v>
      </c>
      <c r="G481" s="9">
        <v>51</v>
      </c>
      <c r="H481" s="68">
        <v>0</v>
      </c>
      <c r="I481" s="9">
        <f>G481*H481</f>
        <v>0</v>
      </c>
      <c r="K481" s="23"/>
      <c r="Z481" s="9">
        <f>IF(AQ481="5",BJ481,0)</f>
        <v>0</v>
      </c>
      <c r="AB481" s="9">
        <f>IF(AQ481="1",BH481,0)</f>
        <v>0</v>
      </c>
      <c r="AC481" s="9">
        <f>IF(AQ481="1",BI481,0)</f>
        <v>0</v>
      </c>
      <c r="AD481" s="9">
        <f>IF(AQ481="7",BH481,0)</f>
        <v>0</v>
      </c>
      <c r="AE481" s="9">
        <f>IF(AQ481="7",BI481,0)</f>
        <v>0</v>
      </c>
      <c r="AF481" s="9">
        <f>IF(AQ481="2",BH481,0)</f>
        <v>0</v>
      </c>
      <c r="AG481" s="9">
        <f>IF(AQ481="2",BI481,0)</f>
        <v>0</v>
      </c>
      <c r="AH481" s="9">
        <f>IF(AQ481="0",BJ481,0)</f>
        <v>0</v>
      </c>
      <c r="AI481" s="11" t="s">
        <v>894</v>
      </c>
      <c r="AJ481" s="9">
        <f>IF(AN481=0,I481,0)</f>
        <v>0</v>
      </c>
      <c r="AK481" s="9">
        <f>IF(AN481=12,I481,0)</f>
        <v>0</v>
      </c>
      <c r="AL481" s="9">
        <f>IF(AN481=21,I481,0)</f>
        <v>0</v>
      </c>
      <c r="AN481" s="9">
        <v>21</v>
      </c>
      <c r="AO481" s="9">
        <f>H481*0.507348066298343</f>
        <v>0</v>
      </c>
      <c r="AP481" s="9">
        <f>H481*(1-0.507348066298343)</f>
        <v>0</v>
      </c>
      <c r="AQ481" s="60" t="s">
        <v>1231</v>
      </c>
      <c r="AV481" s="9">
        <f>AW481+AX481</f>
        <v>0</v>
      </c>
      <c r="AW481" s="9">
        <f>G481*AO481</f>
        <v>0</v>
      </c>
      <c r="AX481" s="9">
        <f>G481*AP481</f>
        <v>0</v>
      </c>
      <c r="AY481" s="60" t="s">
        <v>518</v>
      </c>
      <c r="AZ481" s="60" t="s">
        <v>587</v>
      </c>
      <c r="BA481" s="11" t="s">
        <v>1404</v>
      </c>
      <c r="BC481" s="9">
        <f>AW481+AX481</f>
        <v>0</v>
      </c>
      <c r="BD481" s="9">
        <f>H481/(100-BE481)*100</f>
        <v>0</v>
      </c>
      <c r="BE481" s="9">
        <v>0</v>
      </c>
      <c r="BF481" s="9">
        <f>481</f>
        <v>481</v>
      </c>
      <c r="BH481" s="9">
        <f>G481*AO481</f>
        <v>0</v>
      </c>
      <c r="BI481" s="9">
        <f>G481*AP481</f>
        <v>0</v>
      </c>
      <c r="BJ481" s="9">
        <f>G481*H481</f>
        <v>0</v>
      </c>
      <c r="BK481" s="9"/>
      <c r="BL481" s="9">
        <v>1</v>
      </c>
      <c r="BW481" s="9">
        <v>21</v>
      </c>
    </row>
    <row r="482" spans="1:11" ht="13.5" customHeight="1">
      <c r="A482" s="47"/>
      <c r="C482" s="28"/>
      <c r="D482" s="116" t="s">
        <v>1387</v>
      </c>
      <c r="E482" s="117"/>
      <c r="F482" s="117"/>
      <c r="G482" s="117"/>
      <c r="H482" s="117"/>
      <c r="I482" s="117"/>
      <c r="J482" s="117"/>
      <c r="K482" s="118"/>
    </row>
    <row r="483" spans="1:75" ht="13.5" customHeight="1">
      <c r="A483" s="16" t="s">
        <v>299</v>
      </c>
      <c r="B483" s="32" t="s">
        <v>894</v>
      </c>
      <c r="C483" s="32" t="s">
        <v>83</v>
      </c>
      <c r="D483" s="69" t="s">
        <v>220</v>
      </c>
      <c r="E483" s="70"/>
      <c r="F483" s="32" t="s">
        <v>1213</v>
      </c>
      <c r="G483" s="9">
        <v>357</v>
      </c>
      <c r="H483" s="68">
        <v>0</v>
      </c>
      <c r="I483" s="9">
        <f>G483*H483</f>
        <v>0</v>
      </c>
      <c r="K483" s="23"/>
      <c r="Z483" s="9">
        <f>IF(AQ483="5",BJ483,0)</f>
        <v>0</v>
      </c>
      <c r="AB483" s="9">
        <f>IF(AQ483="1",BH483,0)</f>
        <v>0</v>
      </c>
      <c r="AC483" s="9">
        <f>IF(AQ483="1",BI483,0)</f>
        <v>0</v>
      </c>
      <c r="AD483" s="9">
        <f>IF(AQ483="7",BH483,0)</f>
        <v>0</v>
      </c>
      <c r="AE483" s="9">
        <f>IF(AQ483="7",BI483,0)</f>
        <v>0</v>
      </c>
      <c r="AF483" s="9">
        <f>IF(AQ483="2",BH483,0)</f>
        <v>0</v>
      </c>
      <c r="AG483" s="9">
        <f>IF(AQ483="2",BI483,0)</f>
        <v>0</v>
      </c>
      <c r="AH483" s="9">
        <f>IF(AQ483="0",BJ483,0)</f>
        <v>0</v>
      </c>
      <c r="AI483" s="11" t="s">
        <v>894</v>
      </c>
      <c r="AJ483" s="9">
        <f>IF(AN483=0,I483,0)</f>
        <v>0</v>
      </c>
      <c r="AK483" s="9">
        <f>IF(AN483=12,I483,0)</f>
        <v>0</v>
      </c>
      <c r="AL483" s="9">
        <f>IF(AN483=21,I483,0)</f>
        <v>0</v>
      </c>
      <c r="AN483" s="9">
        <v>21</v>
      </c>
      <c r="AO483" s="9">
        <f>H483*0</f>
        <v>0</v>
      </c>
      <c r="AP483" s="9">
        <f>H483*(1-0)</f>
        <v>0</v>
      </c>
      <c r="AQ483" s="60" t="s">
        <v>1231</v>
      </c>
      <c r="AV483" s="9">
        <f>AW483+AX483</f>
        <v>0</v>
      </c>
      <c r="AW483" s="9">
        <f>G483*AO483</f>
        <v>0</v>
      </c>
      <c r="AX483" s="9">
        <f>G483*AP483</f>
        <v>0</v>
      </c>
      <c r="AY483" s="60" t="s">
        <v>518</v>
      </c>
      <c r="AZ483" s="60" t="s">
        <v>587</v>
      </c>
      <c r="BA483" s="11" t="s">
        <v>1404</v>
      </c>
      <c r="BC483" s="9">
        <f>AW483+AX483</f>
        <v>0</v>
      </c>
      <c r="BD483" s="9">
        <f>H483/(100-BE483)*100</f>
        <v>0</v>
      </c>
      <c r="BE483" s="9">
        <v>0</v>
      </c>
      <c r="BF483" s="9">
        <f>483</f>
        <v>483</v>
      </c>
      <c r="BH483" s="9">
        <f>G483*AO483</f>
        <v>0</v>
      </c>
      <c r="BI483" s="9">
        <f>G483*AP483</f>
        <v>0</v>
      </c>
      <c r="BJ483" s="9">
        <f>G483*H483</f>
        <v>0</v>
      </c>
      <c r="BK483" s="9"/>
      <c r="BL483" s="9">
        <v>1</v>
      </c>
      <c r="BW483" s="9">
        <v>21</v>
      </c>
    </row>
    <row r="484" spans="1:11" ht="13.5" customHeight="1">
      <c r="A484" s="47"/>
      <c r="C484" s="28"/>
      <c r="D484" s="116" t="s">
        <v>221</v>
      </c>
      <c r="E484" s="117"/>
      <c r="F484" s="117"/>
      <c r="G484" s="117"/>
      <c r="H484" s="117"/>
      <c r="I484" s="117"/>
      <c r="J484" s="117"/>
      <c r="K484" s="118"/>
    </row>
    <row r="485" spans="1:75" ht="13.5" customHeight="1">
      <c r="A485" s="16" t="s">
        <v>1383</v>
      </c>
      <c r="B485" s="32" t="s">
        <v>894</v>
      </c>
      <c r="C485" s="32" t="s">
        <v>766</v>
      </c>
      <c r="D485" s="69" t="s">
        <v>1062</v>
      </c>
      <c r="E485" s="70"/>
      <c r="F485" s="32" t="s">
        <v>1213</v>
      </c>
      <c r="G485" s="9">
        <v>357</v>
      </c>
      <c r="H485" s="68">
        <v>0</v>
      </c>
      <c r="I485" s="9">
        <f>G485*H485</f>
        <v>0</v>
      </c>
      <c r="K485" s="23"/>
      <c r="Z485" s="9">
        <f>IF(AQ485="5",BJ485,0)</f>
        <v>0</v>
      </c>
      <c r="AB485" s="9">
        <f>IF(AQ485="1",BH485,0)</f>
        <v>0</v>
      </c>
      <c r="AC485" s="9">
        <f>IF(AQ485="1",BI485,0)</f>
        <v>0</v>
      </c>
      <c r="AD485" s="9">
        <f>IF(AQ485="7",BH485,0)</f>
        <v>0</v>
      </c>
      <c r="AE485" s="9">
        <f>IF(AQ485="7",BI485,0)</f>
        <v>0</v>
      </c>
      <c r="AF485" s="9">
        <f>IF(AQ485="2",BH485,0)</f>
        <v>0</v>
      </c>
      <c r="AG485" s="9">
        <f>IF(AQ485="2",BI485,0)</f>
        <v>0</v>
      </c>
      <c r="AH485" s="9">
        <f>IF(AQ485="0",BJ485,0)</f>
        <v>0</v>
      </c>
      <c r="AI485" s="11" t="s">
        <v>894</v>
      </c>
      <c r="AJ485" s="9">
        <f>IF(AN485=0,I485,0)</f>
        <v>0</v>
      </c>
      <c r="AK485" s="9">
        <f>IF(AN485=12,I485,0)</f>
        <v>0</v>
      </c>
      <c r="AL485" s="9">
        <f>IF(AN485=21,I485,0)</f>
        <v>0</v>
      </c>
      <c r="AN485" s="9">
        <v>21</v>
      </c>
      <c r="AO485" s="9">
        <f>H485*0.0749778956675509</f>
        <v>0</v>
      </c>
      <c r="AP485" s="9">
        <f>H485*(1-0.0749778956675509)</f>
        <v>0</v>
      </c>
      <c r="AQ485" s="60" t="s">
        <v>1231</v>
      </c>
      <c r="AV485" s="9">
        <f>AW485+AX485</f>
        <v>0</v>
      </c>
      <c r="AW485" s="9">
        <f>G485*AO485</f>
        <v>0</v>
      </c>
      <c r="AX485" s="9">
        <f>G485*AP485</f>
        <v>0</v>
      </c>
      <c r="AY485" s="60" t="s">
        <v>518</v>
      </c>
      <c r="AZ485" s="60" t="s">
        <v>587</v>
      </c>
      <c r="BA485" s="11" t="s">
        <v>1404</v>
      </c>
      <c r="BC485" s="9">
        <f>AW485+AX485</f>
        <v>0</v>
      </c>
      <c r="BD485" s="9">
        <f>H485/(100-BE485)*100</f>
        <v>0</v>
      </c>
      <c r="BE485" s="9">
        <v>0</v>
      </c>
      <c r="BF485" s="9">
        <f>485</f>
        <v>485</v>
      </c>
      <c r="BH485" s="9">
        <f>G485*AO485</f>
        <v>0</v>
      </c>
      <c r="BI485" s="9">
        <f>G485*AP485</f>
        <v>0</v>
      </c>
      <c r="BJ485" s="9">
        <f>G485*H485</f>
        <v>0</v>
      </c>
      <c r="BK485" s="9"/>
      <c r="BL485" s="9">
        <v>1</v>
      </c>
      <c r="BW485" s="9">
        <v>21</v>
      </c>
    </row>
    <row r="486" spans="1:11" ht="13.5" customHeight="1">
      <c r="A486" s="47"/>
      <c r="C486" s="28"/>
      <c r="D486" s="116" t="s">
        <v>1381</v>
      </c>
      <c r="E486" s="117"/>
      <c r="F486" s="117"/>
      <c r="G486" s="117"/>
      <c r="H486" s="117"/>
      <c r="I486" s="117"/>
      <c r="J486" s="117"/>
      <c r="K486" s="118"/>
    </row>
    <row r="487" spans="1:75" ht="13.5" customHeight="1">
      <c r="A487" s="16" t="s">
        <v>118</v>
      </c>
      <c r="B487" s="32" t="s">
        <v>894</v>
      </c>
      <c r="C487" s="32" t="s">
        <v>931</v>
      </c>
      <c r="D487" s="69" t="s">
        <v>1190</v>
      </c>
      <c r="E487" s="70"/>
      <c r="F487" s="32" t="s">
        <v>317</v>
      </c>
      <c r="G487" s="9">
        <v>48</v>
      </c>
      <c r="H487" s="68">
        <v>0</v>
      </c>
      <c r="I487" s="9">
        <f>G487*H487</f>
        <v>0</v>
      </c>
      <c r="K487" s="23"/>
      <c r="Z487" s="9">
        <f>IF(AQ487="5",BJ487,0)</f>
        <v>0</v>
      </c>
      <c r="AB487" s="9">
        <f>IF(AQ487="1",BH487,0)</f>
        <v>0</v>
      </c>
      <c r="AC487" s="9">
        <f>IF(AQ487="1",BI487,0)</f>
        <v>0</v>
      </c>
      <c r="AD487" s="9">
        <f>IF(AQ487="7",BH487,0)</f>
        <v>0</v>
      </c>
      <c r="AE487" s="9">
        <f>IF(AQ487="7",BI487,0)</f>
        <v>0</v>
      </c>
      <c r="AF487" s="9">
        <f>IF(AQ487="2",BH487,0)</f>
        <v>0</v>
      </c>
      <c r="AG487" s="9">
        <f>IF(AQ487="2",BI487,0)</f>
        <v>0</v>
      </c>
      <c r="AH487" s="9">
        <f>IF(AQ487="0",BJ487,0)</f>
        <v>0</v>
      </c>
      <c r="AI487" s="11" t="s">
        <v>894</v>
      </c>
      <c r="AJ487" s="9">
        <f>IF(AN487=0,I487,0)</f>
        <v>0</v>
      </c>
      <c r="AK487" s="9">
        <f>IF(AN487=12,I487,0)</f>
        <v>0</v>
      </c>
      <c r="AL487" s="9">
        <f>IF(AN487=21,I487,0)</f>
        <v>0</v>
      </c>
      <c r="AN487" s="9">
        <v>21</v>
      </c>
      <c r="AO487" s="9">
        <f>H487*0</f>
        <v>0</v>
      </c>
      <c r="AP487" s="9">
        <f>H487*(1-0)</f>
        <v>0</v>
      </c>
      <c r="AQ487" s="60" t="s">
        <v>1231</v>
      </c>
      <c r="AV487" s="9">
        <f>AW487+AX487</f>
        <v>0</v>
      </c>
      <c r="AW487" s="9">
        <f>G487*AO487</f>
        <v>0</v>
      </c>
      <c r="AX487" s="9">
        <f>G487*AP487</f>
        <v>0</v>
      </c>
      <c r="AY487" s="60" t="s">
        <v>518</v>
      </c>
      <c r="AZ487" s="60" t="s">
        <v>587</v>
      </c>
      <c r="BA487" s="11" t="s">
        <v>1404</v>
      </c>
      <c r="BC487" s="9">
        <f>AW487+AX487</f>
        <v>0</v>
      </c>
      <c r="BD487" s="9">
        <f>H487/(100-BE487)*100</f>
        <v>0</v>
      </c>
      <c r="BE487" s="9">
        <v>0</v>
      </c>
      <c r="BF487" s="9">
        <f>487</f>
        <v>487</v>
      </c>
      <c r="BH487" s="9">
        <f>G487*AO487</f>
        <v>0</v>
      </c>
      <c r="BI487" s="9">
        <f>G487*AP487</f>
        <v>0</v>
      </c>
      <c r="BJ487" s="9">
        <f>G487*H487</f>
        <v>0</v>
      </c>
      <c r="BK487" s="9"/>
      <c r="BL487" s="9">
        <v>1</v>
      </c>
      <c r="BW487" s="9">
        <v>21</v>
      </c>
    </row>
    <row r="488" spans="1:11" ht="13.5" customHeight="1">
      <c r="A488" s="47"/>
      <c r="C488" s="28"/>
      <c r="D488" s="116" t="s">
        <v>1436</v>
      </c>
      <c r="E488" s="117"/>
      <c r="F488" s="117"/>
      <c r="G488" s="117"/>
      <c r="H488" s="117"/>
      <c r="I488" s="117"/>
      <c r="J488" s="117"/>
      <c r="K488" s="118"/>
    </row>
    <row r="489" spans="1:75" ht="13.5" customHeight="1">
      <c r="A489" s="16" t="s">
        <v>523</v>
      </c>
      <c r="B489" s="32" t="s">
        <v>894</v>
      </c>
      <c r="C489" s="32" t="s">
        <v>950</v>
      </c>
      <c r="D489" s="69" t="s">
        <v>381</v>
      </c>
      <c r="E489" s="70"/>
      <c r="F489" s="32" t="s">
        <v>1213</v>
      </c>
      <c r="G489" s="9">
        <v>51</v>
      </c>
      <c r="H489" s="68">
        <v>0</v>
      </c>
      <c r="I489" s="9">
        <f>G489*H489</f>
        <v>0</v>
      </c>
      <c r="K489" s="23"/>
      <c r="Z489" s="9">
        <f>IF(AQ489="5",BJ489,0)</f>
        <v>0</v>
      </c>
      <c r="AB489" s="9">
        <f>IF(AQ489="1",BH489,0)</f>
        <v>0</v>
      </c>
      <c r="AC489" s="9">
        <f>IF(AQ489="1",BI489,0)</f>
        <v>0</v>
      </c>
      <c r="AD489" s="9">
        <f>IF(AQ489="7",BH489,0)</f>
        <v>0</v>
      </c>
      <c r="AE489" s="9">
        <f>IF(AQ489="7",BI489,0)</f>
        <v>0</v>
      </c>
      <c r="AF489" s="9">
        <f>IF(AQ489="2",BH489,0)</f>
        <v>0</v>
      </c>
      <c r="AG489" s="9">
        <f>IF(AQ489="2",BI489,0)</f>
        <v>0</v>
      </c>
      <c r="AH489" s="9">
        <f>IF(AQ489="0",BJ489,0)</f>
        <v>0</v>
      </c>
      <c r="AI489" s="11" t="s">
        <v>894</v>
      </c>
      <c r="AJ489" s="9">
        <f>IF(AN489=0,I489,0)</f>
        <v>0</v>
      </c>
      <c r="AK489" s="9">
        <f>IF(AN489=12,I489,0)</f>
        <v>0</v>
      </c>
      <c r="AL489" s="9">
        <f>IF(AN489=21,I489,0)</f>
        <v>0</v>
      </c>
      <c r="AN489" s="9">
        <v>21</v>
      </c>
      <c r="AO489" s="9">
        <f>H489*0.0612698412698413</f>
        <v>0</v>
      </c>
      <c r="AP489" s="9">
        <f>H489*(1-0.0612698412698413)</f>
        <v>0</v>
      </c>
      <c r="AQ489" s="60" t="s">
        <v>1231</v>
      </c>
      <c r="AV489" s="9">
        <f>AW489+AX489</f>
        <v>0</v>
      </c>
      <c r="AW489" s="9">
        <f>G489*AO489</f>
        <v>0</v>
      </c>
      <c r="AX489" s="9">
        <f>G489*AP489</f>
        <v>0</v>
      </c>
      <c r="AY489" s="60" t="s">
        <v>518</v>
      </c>
      <c r="AZ489" s="60" t="s">
        <v>587</v>
      </c>
      <c r="BA489" s="11" t="s">
        <v>1404</v>
      </c>
      <c r="BC489" s="9">
        <f>AW489+AX489</f>
        <v>0</v>
      </c>
      <c r="BD489" s="9">
        <f>H489/(100-BE489)*100</f>
        <v>0</v>
      </c>
      <c r="BE489" s="9">
        <v>0</v>
      </c>
      <c r="BF489" s="9">
        <f>489</f>
        <v>489</v>
      </c>
      <c r="BH489" s="9">
        <f>G489*AO489</f>
        <v>0</v>
      </c>
      <c r="BI489" s="9">
        <f>G489*AP489</f>
        <v>0</v>
      </c>
      <c r="BJ489" s="9">
        <f>G489*H489</f>
        <v>0</v>
      </c>
      <c r="BK489" s="9"/>
      <c r="BL489" s="9">
        <v>1</v>
      </c>
      <c r="BW489" s="9">
        <v>21</v>
      </c>
    </row>
    <row r="490" spans="1:11" ht="13.5" customHeight="1">
      <c r="A490" s="63"/>
      <c r="B490" s="64"/>
      <c r="C490" s="65"/>
      <c r="D490" s="119" t="s">
        <v>411</v>
      </c>
      <c r="E490" s="120"/>
      <c r="F490" s="120"/>
      <c r="G490" s="120"/>
      <c r="H490" s="120"/>
      <c r="I490" s="120"/>
      <c r="J490" s="120"/>
      <c r="K490" s="121"/>
    </row>
    <row r="491" ht="15" customHeight="1">
      <c r="I491" s="29">
        <f>I13+I16+I18+I21+I26+I34+I37+I48+I55+I58+I60+I62+I89+I97+I110+I112+I119+I165+I218+I263+I303+I323+I343+I353+I372+I378+I454+I475</f>
        <v>0</v>
      </c>
    </row>
    <row r="492" ht="15" customHeight="1">
      <c r="A492" s="26" t="s">
        <v>104</v>
      </c>
    </row>
    <row r="493" spans="1:11" ht="12.75" customHeight="1">
      <c r="A493" s="69" t="s">
        <v>852</v>
      </c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</sheetData>
  <sheetProtection algorithmName="SHA-512" hashValue="ktU3B+8uIp0OADAOE8FWBqzCB45skTD7Eo4jWoH0SZsZLbJGoJjnB34zbtT7/lapa5/k8+pabcN+tpkkf42c+Q==" saltValue="TfbHOwlC2S1lLMCVdi2JXQ==" spinCount="100000" sheet="1" objects="1" scenarios="1"/>
  <mergeCells count="507">
    <mergeCell ref="A1:K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H8:H9"/>
    <mergeCell ref="J2:K3"/>
    <mergeCell ref="J4:K5"/>
    <mergeCell ref="J6:K7"/>
    <mergeCell ref="J8:K9"/>
    <mergeCell ref="D10:E10"/>
    <mergeCell ref="I4:I5"/>
    <mergeCell ref="I6:I7"/>
    <mergeCell ref="I8:I9"/>
    <mergeCell ref="D2:E3"/>
    <mergeCell ref="D4:E5"/>
    <mergeCell ref="D6:E7"/>
    <mergeCell ref="D8:E9"/>
    <mergeCell ref="H2:H3"/>
    <mergeCell ref="H4:H5"/>
    <mergeCell ref="H6:H7"/>
    <mergeCell ref="D17:E17"/>
    <mergeCell ref="D18:E18"/>
    <mergeCell ref="D19:E19"/>
    <mergeCell ref="D20:K20"/>
    <mergeCell ref="D21:E21"/>
    <mergeCell ref="D22:E22"/>
    <mergeCell ref="D11:E11"/>
    <mergeCell ref="D12:E12"/>
    <mergeCell ref="D13:E13"/>
    <mergeCell ref="D14:E14"/>
    <mergeCell ref="D15:K15"/>
    <mergeCell ref="D16:E16"/>
    <mergeCell ref="D29:E29"/>
    <mergeCell ref="D30:K30"/>
    <mergeCell ref="D31:E31"/>
    <mergeCell ref="D32:E32"/>
    <mergeCell ref="D33:E33"/>
    <mergeCell ref="D34:E34"/>
    <mergeCell ref="D23:K23"/>
    <mergeCell ref="D24:E24"/>
    <mergeCell ref="D25:K25"/>
    <mergeCell ref="D26:E26"/>
    <mergeCell ref="D27:E27"/>
    <mergeCell ref="D28:K28"/>
    <mergeCell ref="D41:K41"/>
    <mergeCell ref="D42:E42"/>
    <mergeCell ref="D43:E43"/>
    <mergeCell ref="D44:K44"/>
    <mergeCell ref="D45:E45"/>
    <mergeCell ref="D46:E46"/>
    <mergeCell ref="D35:E35"/>
    <mergeCell ref="D36:K36"/>
    <mergeCell ref="D37:E37"/>
    <mergeCell ref="D38:E38"/>
    <mergeCell ref="D39:K39"/>
    <mergeCell ref="D40:E40"/>
    <mergeCell ref="D53:E53"/>
    <mergeCell ref="D54:E54"/>
    <mergeCell ref="D55:E55"/>
    <mergeCell ref="D56:E56"/>
    <mergeCell ref="D57:K57"/>
    <mergeCell ref="D58:E58"/>
    <mergeCell ref="D47:E47"/>
    <mergeCell ref="D48:E48"/>
    <mergeCell ref="D49:E49"/>
    <mergeCell ref="D50:K50"/>
    <mergeCell ref="D51:E51"/>
    <mergeCell ref="D52:E52"/>
    <mergeCell ref="D65:E65"/>
    <mergeCell ref="D66:K66"/>
    <mergeCell ref="D67:E67"/>
    <mergeCell ref="D68:K68"/>
    <mergeCell ref="D69:E69"/>
    <mergeCell ref="D70:K70"/>
    <mergeCell ref="D59:E59"/>
    <mergeCell ref="D60:E60"/>
    <mergeCell ref="D61:E61"/>
    <mergeCell ref="D62:E62"/>
    <mergeCell ref="D63:E63"/>
    <mergeCell ref="D64:K64"/>
    <mergeCell ref="D77:E77"/>
    <mergeCell ref="D78:E78"/>
    <mergeCell ref="D79:K79"/>
    <mergeCell ref="D80:E80"/>
    <mergeCell ref="D81:K81"/>
    <mergeCell ref="D82:E82"/>
    <mergeCell ref="D71:E71"/>
    <mergeCell ref="D72:K72"/>
    <mergeCell ref="D73:E73"/>
    <mergeCell ref="D74:K74"/>
    <mergeCell ref="D75:E75"/>
    <mergeCell ref="D76:K76"/>
    <mergeCell ref="D89:E89"/>
    <mergeCell ref="D90:E90"/>
    <mergeCell ref="D91:K91"/>
    <mergeCell ref="D92:E92"/>
    <mergeCell ref="D93:K93"/>
    <mergeCell ref="D94:E94"/>
    <mergeCell ref="D83:K83"/>
    <mergeCell ref="D84:E84"/>
    <mergeCell ref="D85:E85"/>
    <mergeCell ref="D86:K86"/>
    <mergeCell ref="D87:E87"/>
    <mergeCell ref="D88:K88"/>
    <mergeCell ref="D101:E101"/>
    <mergeCell ref="D102:E102"/>
    <mergeCell ref="D103:E103"/>
    <mergeCell ref="D104:E104"/>
    <mergeCell ref="D105:E105"/>
    <mergeCell ref="D106:E106"/>
    <mergeCell ref="D95:K95"/>
    <mergeCell ref="D96:E96"/>
    <mergeCell ref="D97:E97"/>
    <mergeCell ref="D98:E98"/>
    <mergeCell ref="D99:E99"/>
    <mergeCell ref="D100:E100"/>
    <mergeCell ref="D113:E113"/>
    <mergeCell ref="D114:E114"/>
    <mergeCell ref="D115:E115"/>
    <mergeCell ref="D116:E116"/>
    <mergeCell ref="D117:E117"/>
    <mergeCell ref="D118:E118"/>
    <mergeCell ref="D107:K107"/>
    <mergeCell ref="D108:E108"/>
    <mergeCell ref="D109:E109"/>
    <mergeCell ref="D110:E110"/>
    <mergeCell ref="D111:E111"/>
    <mergeCell ref="D112:E112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97:E197"/>
    <mergeCell ref="D198:E198"/>
    <mergeCell ref="D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D232:E232"/>
    <mergeCell ref="D245:E245"/>
    <mergeCell ref="D246:E246"/>
    <mergeCell ref="D247:E247"/>
    <mergeCell ref="D248:E248"/>
    <mergeCell ref="D249:E249"/>
    <mergeCell ref="D250:E250"/>
    <mergeCell ref="D239:E239"/>
    <mergeCell ref="D240:E240"/>
    <mergeCell ref="D241:E241"/>
    <mergeCell ref="D242:E242"/>
    <mergeCell ref="D243:E243"/>
    <mergeCell ref="D244:E244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69:E269"/>
    <mergeCell ref="D270:E270"/>
    <mergeCell ref="D271:E271"/>
    <mergeCell ref="D272:E272"/>
    <mergeCell ref="D273:E273"/>
    <mergeCell ref="D274:E274"/>
    <mergeCell ref="D263:E263"/>
    <mergeCell ref="D264:E264"/>
    <mergeCell ref="D265:E265"/>
    <mergeCell ref="D266:E266"/>
    <mergeCell ref="D267:E267"/>
    <mergeCell ref="D268:E268"/>
    <mergeCell ref="D281:E281"/>
    <mergeCell ref="D282:E282"/>
    <mergeCell ref="D283:E283"/>
    <mergeCell ref="D284:E284"/>
    <mergeCell ref="D285:E285"/>
    <mergeCell ref="D286:E286"/>
    <mergeCell ref="D275:E275"/>
    <mergeCell ref="D276:E276"/>
    <mergeCell ref="D277:E277"/>
    <mergeCell ref="D278:E278"/>
    <mergeCell ref="D279:E279"/>
    <mergeCell ref="D280:E280"/>
    <mergeCell ref="D293:E293"/>
    <mergeCell ref="D294:E294"/>
    <mergeCell ref="D295:E295"/>
    <mergeCell ref="D296:E296"/>
    <mergeCell ref="D297:E297"/>
    <mergeCell ref="D298:E298"/>
    <mergeCell ref="D287:E287"/>
    <mergeCell ref="D288:E288"/>
    <mergeCell ref="D289:E289"/>
    <mergeCell ref="D290:E290"/>
    <mergeCell ref="D291:E291"/>
    <mergeCell ref="D292:E292"/>
    <mergeCell ref="D305:K305"/>
    <mergeCell ref="D306:E306"/>
    <mergeCell ref="D307:K307"/>
    <mergeCell ref="D308:E308"/>
    <mergeCell ref="D309:K309"/>
    <mergeCell ref="D310:E310"/>
    <mergeCell ref="D299:E299"/>
    <mergeCell ref="D300:E300"/>
    <mergeCell ref="D301:E301"/>
    <mergeCell ref="D302:E302"/>
    <mergeCell ref="D303:E303"/>
    <mergeCell ref="D304:E304"/>
    <mergeCell ref="D317:K317"/>
    <mergeCell ref="D318:E318"/>
    <mergeCell ref="D319:K319"/>
    <mergeCell ref="D320:E320"/>
    <mergeCell ref="D321:K321"/>
    <mergeCell ref="D322:E322"/>
    <mergeCell ref="D311:K311"/>
    <mergeCell ref="D312:E312"/>
    <mergeCell ref="D313:K313"/>
    <mergeCell ref="D314:E314"/>
    <mergeCell ref="D315:K315"/>
    <mergeCell ref="D316:E316"/>
    <mergeCell ref="D329:K329"/>
    <mergeCell ref="D330:E330"/>
    <mergeCell ref="D331:K331"/>
    <mergeCell ref="D332:E332"/>
    <mergeCell ref="D333:K333"/>
    <mergeCell ref="D334:E334"/>
    <mergeCell ref="D323:E323"/>
    <mergeCell ref="D324:E324"/>
    <mergeCell ref="D325:K325"/>
    <mergeCell ref="D326:E326"/>
    <mergeCell ref="D327:K327"/>
    <mergeCell ref="D328:E328"/>
    <mergeCell ref="D341:K341"/>
    <mergeCell ref="D342:E342"/>
    <mergeCell ref="D343:E343"/>
    <mergeCell ref="D344:E344"/>
    <mergeCell ref="D345:E345"/>
    <mergeCell ref="D346:E346"/>
    <mergeCell ref="D335:K335"/>
    <mergeCell ref="D336:E336"/>
    <mergeCell ref="D337:K337"/>
    <mergeCell ref="D338:E338"/>
    <mergeCell ref="D339:K339"/>
    <mergeCell ref="D340:E340"/>
    <mergeCell ref="D353:E353"/>
    <mergeCell ref="D354:E354"/>
    <mergeCell ref="D355:E355"/>
    <mergeCell ref="D356:E356"/>
    <mergeCell ref="D357:E357"/>
    <mergeCell ref="D358:E358"/>
    <mergeCell ref="D347:E347"/>
    <mergeCell ref="D348:E348"/>
    <mergeCell ref="D349:E349"/>
    <mergeCell ref="D350:E350"/>
    <mergeCell ref="D351:E351"/>
    <mergeCell ref="D352:E352"/>
    <mergeCell ref="D365:E365"/>
    <mergeCell ref="D366:E366"/>
    <mergeCell ref="D367:K367"/>
    <mergeCell ref="D368:E368"/>
    <mergeCell ref="D369:E369"/>
    <mergeCell ref="D370:E370"/>
    <mergeCell ref="D359:E359"/>
    <mergeCell ref="D360:E360"/>
    <mergeCell ref="D361:E361"/>
    <mergeCell ref="D362:E362"/>
    <mergeCell ref="D363:E363"/>
    <mergeCell ref="D364:E364"/>
    <mergeCell ref="D377:K377"/>
    <mergeCell ref="D378:E378"/>
    <mergeCell ref="D379:E379"/>
    <mergeCell ref="D380:E380"/>
    <mergeCell ref="D381:E381"/>
    <mergeCell ref="D382:E382"/>
    <mergeCell ref="D371:E371"/>
    <mergeCell ref="D372:E372"/>
    <mergeCell ref="D373:E373"/>
    <mergeCell ref="D374:K374"/>
    <mergeCell ref="D375:E375"/>
    <mergeCell ref="D376:E376"/>
    <mergeCell ref="D389:E389"/>
    <mergeCell ref="D390:E390"/>
    <mergeCell ref="D391:E391"/>
    <mergeCell ref="D392:E392"/>
    <mergeCell ref="D393:E393"/>
    <mergeCell ref="D394:E394"/>
    <mergeCell ref="D383:E383"/>
    <mergeCell ref="D384:E384"/>
    <mergeCell ref="D385:E385"/>
    <mergeCell ref="D386:E386"/>
    <mergeCell ref="D387:E387"/>
    <mergeCell ref="D388:E388"/>
    <mergeCell ref="D401:E401"/>
    <mergeCell ref="D402:E402"/>
    <mergeCell ref="D403:E403"/>
    <mergeCell ref="D404:E404"/>
    <mergeCell ref="D405:E405"/>
    <mergeCell ref="D406:E406"/>
    <mergeCell ref="D395:E395"/>
    <mergeCell ref="D396:E396"/>
    <mergeCell ref="D397:E397"/>
    <mergeCell ref="D398:E398"/>
    <mergeCell ref="D399:E399"/>
    <mergeCell ref="D400:E400"/>
    <mergeCell ref="D413:E413"/>
    <mergeCell ref="D414:E414"/>
    <mergeCell ref="D415:E415"/>
    <mergeCell ref="D416:E416"/>
    <mergeCell ref="D417:E417"/>
    <mergeCell ref="D418:E418"/>
    <mergeCell ref="D407:E407"/>
    <mergeCell ref="D408:E408"/>
    <mergeCell ref="D409:E409"/>
    <mergeCell ref="D410:E410"/>
    <mergeCell ref="D411:E411"/>
    <mergeCell ref="D412:E412"/>
    <mergeCell ref="D425:E425"/>
    <mergeCell ref="D426:E426"/>
    <mergeCell ref="D427:E427"/>
    <mergeCell ref="D428:E428"/>
    <mergeCell ref="D429:E429"/>
    <mergeCell ref="D430:E430"/>
    <mergeCell ref="D419:E419"/>
    <mergeCell ref="D420:E420"/>
    <mergeCell ref="D421:E421"/>
    <mergeCell ref="D422:E422"/>
    <mergeCell ref="D423:E423"/>
    <mergeCell ref="D424:E424"/>
    <mergeCell ref="D437:E437"/>
    <mergeCell ref="D438:K438"/>
    <mergeCell ref="D439:E439"/>
    <mergeCell ref="D440:K440"/>
    <mergeCell ref="D441:E441"/>
    <mergeCell ref="D442:E442"/>
    <mergeCell ref="D431:E431"/>
    <mergeCell ref="D432:E432"/>
    <mergeCell ref="D433:E433"/>
    <mergeCell ref="D434:E434"/>
    <mergeCell ref="D435:E435"/>
    <mergeCell ref="D436:E436"/>
    <mergeCell ref="D449:K449"/>
    <mergeCell ref="D450:E450"/>
    <mergeCell ref="D451:E451"/>
    <mergeCell ref="D452:E452"/>
    <mergeCell ref="D453:E453"/>
    <mergeCell ref="D454:E454"/>
    <mergeCell ref="D443:E443"/>
    <mergeCell ref="D444:K444"/>
    <mergeCell ref="D445:E445"/>
    <mergeCell ref="D446:K446"/>
    <mergeCell ref="D447:E447"/>
    <mergeCell ref="D448:E448"/>
    <mergeCell ref="D461:E461"/>
    <mergeCell ref="D462:K462"/>
    <mergeCell ref="D463:E463"/>
    <mergeCell ref="D464:K464"/>
    <mergeCell ref="D465:E465"/>
    <mergeCell ref="D466:K466"/>
    <mergeCell ref="D455:E455"/>
    <mergeCell ref="D456:K456"/>
    <mergeCell ref="D457:E457"/>
    <mergeCell ref="D458:K458"/>
    <mergeCell ref="D459:E459"/>
    <mergeCell ref="D460:K460"/>
    <mergeCell ref="D473:E473"/>
    <mergeCell ref="D474:K474"/>
    <mergeCell ref="D475:E475"/>
    <mergeCell ref="D476:E476"/>
    <mergeCell ref="D477:K477"/>
    <mergeCell ref="D478:E478"/>
    <mergeCell ref="D467:E467"/>
    <mergeCell ref="D468:K468"/>
    <mergeCell ref="D469:E469"/>
    <mergeCell ref="D470:K470"/>
    <mergeCell ref="D471:E471"/>
    <mergeCell ref="D472:K472"/>
    <mergeCell ref="A493:K493"/>
    <mergeCell ref="D485:E485"/>
    <mergeCell ref="D486:K486"/>
    <mergeCell ref="D487:E487"/>
    <mergeCell ref="D488:K488"/>
    <mergeCell ref="D489:E489"/>
    <mergeCell ref="D490:K490"/>
    <mergeCell ref="D479:E479"/>
    <mergeCell ref="D480:K480"/>
    <mergeCell ref="D481:E481"/>
    <mergeCell ref="D482:K482"/>
    <mergeCell ref="D483:E483"/>
    <mergeCell ref="D484:K484"/>
  </mergeCells>
  <printOptions/>
  <pageMargins left="0.394" right="0.394" top="0.591" bottom="0.591" header="0" footer="0"/>
  <pageSetup firstPageNumber="0" useFirstPageNumber="1" fitToHeight="0" fitToWidth="1" horizontalDpi="600" verticalDpi="600" orientation="portrait" paperSize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51"/>
  <sheetViews>
    <sheetView showOutlineSymbols="0" workbookViewId="0" topLeftCell="A1">
      <selection activeCell="D20" sqref="D20:E20"/>
    </sheetView>
  </sheetViews>
  <sheetFormatPr defaultColWidth="14.16015625" defaultRowHeight="15" customHeight="1"/>
  <cols>
    <col min="1" max="2" width="10.66015625" style="0" customWidth="1"/>
    <col min="3" max="3" width="16.66015625" style="0" customWidth="1"/>
    <col min="4" max="4" width="98.5" style="0" customWidth="1"/>
    <col min="5" max="5" width="64.83203125" style="0" customWidth="1"/>
    <col min="6" max="6" width="28.16015625" style="0" customWidth="1"/>
    <col min="7" max="7" width="18.33203125" style="0" customWidth="1"/>
    <col min="8" max="8" width="14.16015625" style="0" hidden="1" customWidth="1"/>
  </cols>
  <sheetData>
    <row r="1" spans="1:8" ht="54.75" customHeight="1">
      <c r="A1" s="105" t="s">
        <v>1228</v>
      </c>
      <c r="B1" s="105"/>
      <c r="C1" s="105"/>
      <c r="D1" s="105"/>
      <c r="E1" s="105"/>
      <c r="F1" s="105"/>
      <c r="G1" s="105"/>
      <c r="H1" s="105"/>
    </row>
    <row r="2" spans="1:8" ht="15" customHeight="1">
      <c r="A2" s="106" t="s">
        <v>87</v>
      </c>
      <c r="B2" s="99"/>
      <c r="C2" s="101" t="str">
        <f>'Stavební rozpočet'!D2</f>
        <v>Stavební úpravy stávajících WC v objektu ZŠ 28.října, Česká Lípa</v>
      </c>
      <c r="D2" s="102"/>
      <c r="E2" s="98" t="s">
        <v>1047</v>
      </c>
      <c r="F2" s="98" t="str">
        <f>'Stavební rozpočet'!J2</f>
        <v> </v>
      </c>
      <c r="G2" s="99"/>
      <c r="H2" s="110"/>
    </row>
    <row r="3" spans="1:8" ht="15" customHeight="1">
      <c r="A3" s="107"/>
      <c r="B3" s="70"/>
      <c r="C3" s="103"/>
      <c r="D3" s="103"/>
      <c r="E3" s="70"/>
      <c r="F3" s="70"/>
      <c r="G3" s="70"/>
      <c r="H3" s="111"/>
    </row>
    <row r="4" spans="1:8" ht="15" customHeight="1">
      <c r="A4" s="108" t="s">
        <v>674</v>
      </c>
      <c r="B4" s="70"/>
      <c r="C4" s="69" t="str">
        <f>'Stavební rozpočet'!D4</f>
        <v xml:space="preserve"> </v>
      </c>
      <c r="D4" s="70"/>
      <c r="E4" s="69" t="s">
        <v>845</v>
      </c>
      <c r="F4" s="69" t="str">
        <f>'Stavební rozpočet'!J4</f>
        <v> </v>
      </c>
      <c r="G4" s="70"/>
      <c r="H4" s="111"/>
    </row>
    <row r="5" spans="1:8" ht="15" customHeight="1">
      <c r="A5" s="107"/>
      <c r="B5" s="70"/>
      <c r="C5" s="70"/>
      <c r="D5" s="70"/>
      <c r="E5" s="70"/>
      <c r="F5" s="70"/>
      <c r="G5" s="70"/>
      <c r="H5" s="111"/>
    </row>
    <row r="6" spans="1:8" ht="15" customHeight="1">
      <c r="A6" s="108" t="s">
        <v>107</v>
      </c>
      <c r="B6" s="70"/>
      <c r="C6" s="69" t="str">
        <f>'Stavební rozpočet'!D6</f>
        <v xml:space="preserve"> </v>
      </c>
      <c r="D6" s="70"/>
      <c r="E6" s="69" t="s">
        <v>1079</v>
      </c>
      <c r="F6" s="69" t="str">
        <f>'Stavební rozpočet'!J6</f>
        <v> </v>
      </c>
      <c r="G6" s="70"/>
      <c r="H6" s="111"/>
    </row>
    <row r="7" spans="1:8" ht="15" customHeight="1">
      <c r="A7" s="107"/>
      <c r="B7" s="70"/>
      <c r="C7" s="70"/>
      <c r="D7" s="70"/>
      <c r="E7" s="70"/>
      <c r="F7" s="70"/>
      <c r="G7" s="70"/>
      <c r="H7" s="111"/>
    </row>
    <row r="8" spans="1:8" ht="15" customHeight="1">
      <c r="A8" s="108" t="s">
        <v>821</v>
      </c>
      <c r="B8" s="70"/>
      <c r="C8" s="69" t="str">
        <f>'Stavební rozpočet'!J8</f>
        <v> </v>
      </c>
      <c r="D8" s="70"/>
      <c r="E8" s="69" t="s">
        <v>691</v>
      </c>
      <c r="F8" s="69"/>
      <c r="G8" s="70"/>
      <c r="H8" s="111"/>
    </row>
    <row r="9" spans="1:8" ht="15" customHeight="1">
      <c r="A9" s="107"/>
      <c r="B9" s="70"/>
      <c r="C9" s="70"/>
      <c r="D9" s="70"/>
      <c r="E9" s="70"/>
      <c r="F9" s="70"/>
      <c r="G9" s="70"/>
      <c r="H9" s="111"/>
    </row>
    <row r="10" spans="1:8" ht="15" customHeight="1">
      <c r="A10" s="24" t="s">
        <v>94</v>
      </c>
      <c r="B10" s="7" t="s">
        <v>910</v>
      </c>
      <c r="C10" s="7" t="s">
        <v>433</v>
      </c>
      <c r="D10" s="131" t="s">
        <v>851</v>
      </c>
      <c r="E10" s="132"/>
      <c r="F10" s="7" t="s">
        <v>454</v>
      </c>
      <c r="G10" s="12" t="s">
        <v>740</v>
      </c>
      <c r="H10" s="41" t="s">
        <v>1063</v>
      </c>
    </row>
    <row r="11" spans="1:8" ht="15" customHeight="1">
      <c r="A11" s="19" t="s">
        <v>852</v>
      </c>
      <c r="B11" s="48" t="s">
        <v>5</v>
      </c>
      <c r="C11" s="48" t="s">
        <v>852</v>
      </c>
      <c r="D11" s="123" t="s">
        <v>1031</v>
      </c>
      <c r="E11" s="123"/>
      <c r="F11" s="48" t="s">
        <v>852</v>
      </c>
      <c r="G11" s="11" t="s">
        <v>852</v>
      </c>
      <c r="H11" s="31" t="s">
        <v>852</v>
      </c>
    </row>
    <row r="12" spans="1:8" ht="15" customHeight="1">
      <c r="A12" s="16" t="s">
        <v>1231</v>
      </c>
      <c r="B12" s="32" t="s">
        <v>5</v>
      </c>
      <c r="C12" s="32" t="s">
        <v>889</v>
      </c>
      <c r="D12" s="70" t="s">
        <v>57</v>
      </c>
      <c r="E12" s="70"/>
      <c r="F12" s="32" t="s">
        <v>1194</v>
      </c>
      <c r="G12" s="9">
        <v>14.71</v>
      </c>
      <c r="H12" s="37">
        <v>0</v>
      </c>
    </row>
    <row r="13" spans="1:8" ht="15" customHeight="1">
      <c r="A13" s="47"/>
      <c r="D13" s="50" t="s">
        <v>259</v>
      </c>
      <c r="E13" s="129" t="s">
        <v>852</v>
      </c>
      <c r="F13" s="129"/>
      <c r="G13" s="59">
        <v>2.1830000000000003</v>
      </c>
      <c r="H13" s="23"/>
    </row>
    <row r="14" spans="1:8" ht="15" customHeight="1">
      <c r="A14" s="16" t="s">
        <v>852</v>
      </c>
      <c r="B14" s="32" t="s">
        <v>852</v>
      </c>
      <c r="C14" s="32" t="s">
        <v>852</v>
      </c>
      <c r="D14" s="50" t="s">
        <v>698</v>
      </c>
      <c r="E14" s="129" t="s">
        <v>852</v>
      </c>
      <c r="F14" s="129"/>
      <c r="G14" s="59">
        <v>5.292000000000001</v>
      </c>
      <c r="H14" s="34" t="s">
        <v>852</v>
      </c>
    </row>
    <row r="15" spans="1:8" ht="15" customHeight="1">
      <c r="A15" s="16" t="s">
        <v>852</v>
      </c>
      <c r="B15" s="32" t="s">
        <v>852</v>
      </c>
      <c r="C15" s="32" t="s">
        <v>852</v>
      </c>
      <c r="D15" s="50" t="s">
        <v>626</v>
      </c>
      <c r="E15" s="129" t="s">
        <v>852</v>
      </c>
      <c r="F15" s="129"/>
      <c r="G15" s="59">
        <v>5.936000000000001</v>
      </c>
      <c r="H15" s="34" t="s">
        <v>852</v>
      </c>
    </row>
    <row r="16" spans="1:8" ht="15" customHeight="1">
      <c r="A16" s="16" t="s">
        <v>852</v>
      </c>
      <c r="B16" s="32" t="s">
        <v>852</v>
      </c>
      <c r="C16" s="32" t="s">
        <v>852</v>
      </c>
      <c r="D16" s="50" t="s">
        <v>86</v>
      </c>
      <c r="E16" s="129" t="s">
        <v>852</v>
      </c>
      <c r="F16" s="129"/>
      <c r="G16" s="59">
        <v>0.29100000000000004</v>
      </c>
      <c r="H16" s="34" t="s">
        <v>852</v>
      </c>
    </row>
    <row r="17" spans="1:8" ht="15" customHeight="1">
      <c r="A17" s="16" t="s">
        <v>852</v>
      </c>
      <c r="B17" s="32" t="s">
        <v>852</v>
      </c>
      <c r="C17" s="32" t="s">
        <v>852</v>
      </c>
      <c r="D17" s="50" t="s">
        <v>200</v>
      </c>
      <c r="E17" s="129" t="s">
        <v>852</v>
      </c>
      <c r="F17" s="129"/>
      <c r="G17" s="59">
        <v>1.008</v>
      </c>
      <c r="H17" s="34" t="s">
        <v>852</v>
      </c>
    </row>
    <row r="18" spans="1:8" ht="15" customHeight="1">
      <c r="A18" s="16" t="s">
        <v>844</v>
      </c>
      <c r="B18" s="32" t="s">
        <v>5</v>
      </c>
      <c r="C18" s="32" t="s">
        <v>660</v>
      </c>
      <c r="D18" s="70" t="s">
        <v>846</v>
      </c>
      <c r="E18" s="70"/>
      <c r="F18" s="32" t="s">
        <v>1194</v>
      </c>
      <c r="G18" s="9">
        <v>14.71</v>
      </c>
      <c r="H18" s="37">
        <v>0</v>
      </c>
    </row>
    <row r="19" spans="1:8" ht="15" customHeight="1">
      <c r="A19" s="16" t="s">
        <v>1071</v>
      </c>
      <c r="B19" s="32" t="s">
        <v>5</v>
      </c>
      <c r="C19" s="32" t="s">
        <v>641</v>
      </c>
      <c r="D19" s="70" t="s">
        <v>253</v>
      </c>
      <c r="E19" s="70"/>
      <c r="F19" s="32" t="s">
        <v>1194</v>
      </c>
      <c r="G19" s="9">
        <v>14.71</v>
      </c>
      <c r="H19" s="37">
        <v>0</v>
      </c>
    </row>
    <row r="20" spans="1:8" ht="15" customHeight="1">
      <c r="A20" s="16" t="s">
        <v>138</v>
      </c>
      <c r="B20" s="32" t="s">
        <v>5</v>
      </c>
      <c r="C20" s="32" t="s">
        <v>263</v>
      </c>
      <c r="D20" s="70" t="s">
        <v>162</v>
      </c>
      <c r="E20" s="70"/>
      <c r="F20" s="32" t="s">
        <v>317</v>
      </c>
      <c r="G20" s="9">
        <v>4</v>
      </c>
      <c r="H20" s="37">
        <v>0</v>
      </c>
    </row>
    <row r="21" spans="1:8" ht="15" customHeight="1">
      <c r="A21" s="47"/>
      <c r="D21" s="50" t="s">
        <v>1426</v>
      </c>
      <c r="E21" s="129" t="s">
        <v>852</v>
      </c>
      <c r="F21" s="129"/>
      <c r="G21" s="59">
        <v>4</v>
      </c>
      <c r="H21" s="23"/>
    </row>
    <row r="22" spans="1:8" ht="15" customHeight="1">
      <c r="A22" s="16" t="s">
        <v>659</v>
      </c>
      <c r="B22" s="32" t="s">
        <v>5</v>
      </c>
      <c r="C22" s="32" t="s">
        <v>899</v>
      </c>
      <c r="D22" s="70" t="s">
        <v>1181</v>
      </c>
      <c r="E22" s="70"/>
      <c r="F22" s="32" t="s">
        <v>317</v>
      </c>
      <c r="G22" s="9">
        <v>2</v>
      </c>
      <c r="H22" s="37">
        <v>0</v>
      </c>
    </row>
    <row r="23" spans="1:8" ht="15" customHeight="1">
      <c r="A23" s="47"/>
      <c r="D23" s="50" t="s">
        <v>209</v>
      </c>
      <c r="E23" s="129" t="s">
        <v>852</v>
      </c>
      <c r="F23" s="129"/>
      <c r="G23" s="59">
        <v>2</v>
      </c>
      <c r="H23" s="23"/>
    </row>
    <row r="24" spans="1:8" ht="15" customHeight="1">
      <c r="A24" s="16" t="s">
        <v>204</v>
      </c>
      <c r="B24" s="32" t="s">
        <v>5</v>
      </c>
      <c r="C24" s="32" t="s">
        <v>267</v>
      </c>
      <c r="D24" s="70" t="s">
        <v>1058</v>
      </c>
      <c r="E24" s="70"/>
      <c r="F24" s="32" t="s">
        <v>1213</v>
      </c>
      <c r="G24" s="9">
        <v>28.083000000000002</v>
      </c>
      <c r="H24" s="37">
        <v>0</v>
      </c>
    </row>
    <row r="25" spans="1:8" ht="15" customHeight="1">
      <c r="A25" s="47"/>
      <c r="D25" s="50" t="s">
        <v>1274</v>
      </c>
      <c r="E25" s="129" t="s">
        <v>852</v>
      </c>
      <c r="F25" s="129"/>
      <c r="G25" s="59">
        <v>28.083000000000002</v>
      </c>
      <c r="H25" s="23"/>
    </row>
    <row r="26" spans="1:8" ht="15" customHeight="1">
      <c r="A26" s="16" t="s">
        <v>1238</v>
      </c>
      <c r="B26" s="32" t="s">
        <v>5</v>
      </c>
      <c r="C26" s="32" t="s">
        <v>1049</v>
      </c>
      <c r="D26" s="70" t="s">
        <v>699</v>
      </c>
      <c r="E26" s="70"/>
      <c r="F26" s="32" t="s">
        <v>1213</v>
      </c>
      <c r="G26" s="9">
        <v>150.633</v>
      </c>
      <c r="H26" s="37">
        <v>0</v>
      </c>
    </row>
    <row r="27" spans="1:8" ht="15" customHeight="1">
      <c r="A27" s="47"/>
      <c r="D27" s="50" t="s">
        <v>755</v>
      </c>
      <c r="E27" s="129" t="s">
        <v>852</v>
      </c>
      <c r="F27" s="129"/>
      <c r="G27" s="59">
        <v>150.633</v>
      </c>
      <c r="H27" s="23"/>
    </row>
    <row r="28" spans="1:8" ht="15" customHeight="1">
      <c r="A28" s="16" t="s">
        <v>979</v>
      </c>
      <c r="B28" s="32" t="s">
        <v>5</v>
      </c>
      <c r="C28" s="32" t="s">
        <v>0</v>
      </c>
      <c r="D28" s="70" t="s">
        <v>464</v>
      </c>
      <c r="E28" s="70"/>
      <c r="F28" s="32" t="s">
        <v>1026</v>
      </c>
      <c r="G28" s="9">
        <v>56.36000000000001</v>
      </c>
      <c r="H28" s="37">
        <v>0</v>
      </c>
    </row>
    <row r="29" spans="1:8" ht="15" customHeight="1">
      <c r="A29" s="47"/>
      <c r="D29" s="50" t="s">
        <v>782</v>
      </c>
      <c r="E29" s="129" t="s">
        <v>852</v>
      </c>
      <c r="F29" s="129"/>
      <c r="G29" s="59">
        <v>56.36000000000001</v>
      </c>
      <c r="H29" s="23"/>
    </row>
    <row r="30" spans="1:8" ht="15" customHeight="1">
      <c r="A30" s="16" t="s">
        <v>497</v>
      </c>
      <c r="B30" s="32" t="s">
        <v>5</v>
      </c>
      <c r="C30" s="32" t="s">
        <v>241</v>
      </c>
      <c r="D30" s="70" t="s">
        <v>410</v>
      </c>
      <c r="E30" s="70"/>
      <c r="F30" s="32" t="s">
        <v>1026</v>
      </c>
      <c r="G30" s="9">
        <v>46.2</v>
      </c>
      <c r="H30" s="37">
        <v>0</v>
      </c>
    </row>
    <row r="31" spans="1:8" ht="15" customHeight="1">
      <c r="A31" s="47"/>
      <c r="D31" s="50" t="s">
        <v>1333</v>
      </c>
      <c r="E31" s="129" t="s">
        <v>852</v>
      </c>
      <c r="F31" s="129"/>
      <c r="G31" s="59">
        <v>46.2</v>
      </c>
      <c r="H31" s="23"/>
    </row>
    <row r="32" spans="1:8" ht="15" customHeight="1">
      <c r="A32" s="16" t="s">
        <v>716</v>
      </c>
      <c r="B32" s="32" t="s">
        <v>5</v>
      </c>
      <c r="C32" s="32" t="s">
        <v>566</v>
      </c>
      <c r="D32" s="70" t="s">
        <v>710</v>
      </c>
      <c r="E32" s="70"/>
      <c r="F32" s="32" t="s">
        <v>1213</v>
      </c>
      <c r="G32" s="9">
        <v>9.66</v>
      </c>
      <c r="H32" s="37">
        <v>0</v>
      </c>
    </row>
    <row r="33" spans="1:8" ht="15" customHeight="1">
      <c r="A33" s="47"/>
      <c r="D33" s="50" t="s">
        <v>447</v>
      </c>
      <c r="E33" s="129" t="s">
        <v>852</v>
      </c>
      <c r="F33" s="129"/>
      <c r="G33" s="59">
        <v>4.260000000000001</v>
      </c>
      <c r="H33" s="23"/>
    </row>
    <row r="34" spans="1:8" ht="15" customHeight="1">
      <c r="A34" s="16" t="s">
        <v>852</v>
      </c>
      <c r="B34" s="32" t="s">
        <v>852</v>
      </c>
      <c r="C34" s="32" t="s">
        <v>852</v>
      </c>
      <c r="D34" s="50" t="s">
        <v>916</v>
      </c>
      <c r="E34" s="129" t="s">
        <v>852</v>
      </c>
      <c r="F34" s="129"/>
      <c r="G34" s="59">
        <v>5.4</v>
      </c>
      <c r="H34" s="34" t="s">
        <v>852</v>
      </c>
    </row>
    <row r="35" spans="1:8" ht="15" customHeight="1">
      <c r="A35" s="16" t="s">
        <v>1041</v>
      </c>
      <c r="B35" s="32" t="s">
        <v>5</v>
      </c>
      <c r="C35" s="32" t="s">
        <v>449</v>
      </c>
      <c r="D35" s="70" t="s">
        <v>461</v>
      </c>
      <c r="E35" s="70"/>
      <c r="F35" s="32" t="s">
        <v>1213</v>
      </c>
      <c r="G35" s="9">
        <v>25.94</v>
      </c>
      <c r="H35" s="37">
        <v>0</v>
      </c>
    </row>
    <row r="36" spans="1:8" ht="15" customHeight="1">
      <c r="A36" s="47"/>
      <c r="D36" s="50" t="s">
        <v>639</v>
      </c>
      <c r="E36" s="129" t="s">
        <v>852</v>
      </c>
      <c r="F36" s="129"/>
      <c r="G36" s="59">
        <v>17.040000000000003</v>
      </c>
      <c r="H36" s="23"/>
    </row>
    <row r="37" spans="1:8" ht="15" customHeight="1">
      <c r="A37" s="16" t="s">
        <v>852</v>
      </c>
      <c r="B37" s="32" t="s">
        <v>852</v>
      </c>
      <c r="C37" s="32" t="s">
        <v>852</v>
      </c>
      <c r="D37" s="50" t="s">
        <v>1422</v>
      </c>
      <c r="E37" s="129" t="s">
        <v>852</v>
      </c>
      <c r="F37" s="129"/>
      <c r="G37" s="59">
        <v>8.9</v>
      </c>
      <c r="H37" s="34" t="s">
        <v>852</v>
      </c>
    </row>
    <row r="38" spans="1:8" ht="15" customHeight="1">
      <c r="A38" s="16" t="s">
        <v>903</v>
      </c>
      <c r="B38" s="32" t="s">
        <v>5</v>
      </c>
      <c r="C38" s="32" t="s">
        <v>1034</v>
      </c>
      <c r="D38" s="70" t="s">
        <v>1310</v>
      </c>
      <c r="E38" s="70"/>
      <c r="F38" s="32" t="s">
        <v>1213</v>
      </c>
      <c r="G38" s="9">
        <v>82.42</v>
      </c>
      <c r="H38" s="37">
        <v>0</v>
      </c>
    </row>
    <row r="39" spans="1:8" ht="15" customHeight="1">
      <c r="A39" s="47"/>
      <c r="D39" s="50" t="s">
        <v>1371</v>
      </c>
      <c r="E39" s="129" t="s">
        <v>852</v>
      </c>
      <c r="F39" s="129"/>
      <c r="G39" s="59">
        <v>82.42</v>
      </c>
      <c r="H39" s="23"/>
    </row>
    <row r="40" spans="1:8" ht="15" customHeight="1">
      <c r="A40" s="16" t="s">
        <v>380</v>
      </c>
      <c r="B40" s="32" t="s">
        <v>5</v>
      </c>
      <c r="C40" s="32" t="s">
        <v>1209</v>
      </c>
      <c r="D40" s="70" t="s">
        <v>270</v>
      </c>
      <c r="E40" s="70"/>
      <c r="F40" s="32" t="s">
        <v>1213</v>
      </c>
      <c r="G40" s="9">
        <v>121.34400000000001</v>
      </c>
      <c r="H40" s="37">
        <v>0</v>
      </c>
    </row>
    <row r="41" spans="1:8" ht="15" customHeight="1">
      <c r="A41" s="47"/>
      <c r="D41" s="50" t="s">
        <v>811</v>
      </c>
      <c r="E41" s="129" t="s">
        <v>852</v>
      </c>
      <c r="F41" s="129"/>
      <c r="G41" s="59">
        <v>23.292</v>
      </c>
      <c r="H41" s="23"/>
    </row>
    <row r="42" spans="1:8" ht="15" customHeight="1">
      <c r="A42" s="16" t="s">
        <v>852</v>
      </c>
      <c r="B42" s="32" t="s">
        <v>852</v>
      </c>
      <c r="C42" s="32" t="s">
        <v>852</v>
      </c>
      <c r="D42" s="50" t="s">
        <v>956</v>
      </c>
      <c r="E42" s="129" t="s">
        <v>852</v>
      </c>
      <c r="F42" s="129"/>
      <c r="G42" s="59">
        <v>26.1</v>
      </c>
      <c r="H42" s="34" t="s">
        <v>852</v>
      </c>
    </row>
    <row r="43" spans="1:8" ht="15" customHeight="1">
      <c r="A43" s="16" t="s">
        <v>852</v>
      </c>
      <c r="B43" s="32" t="s">
        <v>852</v>
      </c>
      <c r="C43" s="32" t="s">
        <v>852</v>
      </c>
      <c r="D43" s="50" t="s">
        <v>243</v>
      </c>
      <c r="E43" s="129" t="s">
        <v>852</v>
      </c>
      <c r="F43" s="129"/>
      <c r="G43" s="59">
        <v>43.48800000000001</v>
      </c>
      <c r="H43" s="34" t="s">
        <v>852</v>
      </c>
    </row>
    <row r="44" spans="1:8" ht="15" customHeight="1">
      <c r="A44" s="16" t="s">
        <v>852</v>
      </c>
      <c r="B44" s="32" t="s">
        <v>852</v>
      </c>
      <c r="C44" s="32" t="s">
        <v>852</v>
      </c>
      <c r="D44" s="50" t="s">
        <v>1304</v>
      </c>
      <c r="E44" s="129" t="s">
        <v>852</v>
      </c>
      <c r="F44" s="129"/>
      <c r="G44" s="59">
        <v>28.464000000000002</v>
      </c>
      <c r="H44" s="34" t="s">
        <v>852</v>
      </c>
    </row>
    <row r="45" spans="1:8" ht="15" customHeight="1">
      <c r="A45" s="16" t="s">
        <v>727</v>
      </c>
      <c r="B45" s="32" t="s">
        <v>5</v>
      </c>
      <c r="C45" s="32" t="s">
        <v>1020</v>
      </c>
      <c r="D45" s="70" t="s">
        <v>4</v>
      </c>
      <c r="E45" s="70"/>
      <c r="F45" s="32" t="s">
        <v>1213</v>
      </c>
      <c r="G45" s="9">
        <v>130.389</v>
      </c>
      <c r="H45" s="37">
        <v>0</v>
      </c>
    </row>
    <row r="46" spans="1:8" ht="15" customHeight="1">
      <c r="A46" s="47"/>
      <c r="D46" s="50" t="s">
        <v>184</v>
      </c>
      <c r="E46" s="129" t="s">
        <v>852</v>
      </c>
      <c r="F46" s="129"/>
      <c r="G46" s="59">
        <v>130.389</v>
      </c>
      <c r="H46" s="23"/>
    </row>
    <row r="47" spans="1:8" ht="15" customHeight="1">
      <c r="A47" s="16" t="s">
        <v>516</v>
      </c>
      <c r="B47" s="32" t="s">
        <v>5</v>
      </c>
      <c r="C47" s="32" t="s">
        <v>1313</v>
      </c>
      <c r="D47" s="70" t="s">
        <v>424</v>
      </c>
      <c r="E47" s="70"/>
      <c r="F47" s="32" t="s">
        <v>1213</v>
      </c>
      <c r="G47" s="9">
        <v>90.108</v>
      </c>
      <c r="H47" s="37">
        <v>0</v>
      </c>
    </row>
    <row r="48" spans="1:8" ht="15" customHeight="1">
      <c r="A48" s="47"/>
      <c r="D48" s="50" t="s">
        <v>632</v>
      </c>
      <c r="E48" s="129" t="s">
        <v>852</v>
      </c>
      <c r="F48" s="129"/>
      <c r="G48" s="59">
        <v>44.88</v>
      </c>
      <c r="H48" s="23"/>
    </row>
    <row r="49" spans="1:8" ht="15" customHeight="1">
      <c r="A49" s="16" t="s">
        <v>852</v>
      </c>
      <c r="B49" s="32" t="s">
        <v>852</v>
      </c>
      <c r="C49" s="32" t="s">
        <v>852</v>
      </c>
      <c r="D49" s="50" t="s">
        <v>770</v>
      </c>
      <c r="E49" s="129" t="s">
        <v>852</v>
      </c>
      <c r="F49" s="129"/>
      <c r="G49" s="59">
        <v>45.228</v>
      </c>
      <c r="H49" s="34" t="s">
        <v>852</v>
      </c>
    </row>
    <row r="50" spans="1:8" ht="15" customHeight="1">
      <c r="A50" s="16" t="s">
        <v>112</v>
      </c>
      <c r="B50" s="32" t="s">
        <v>5</v>
      </c>
      <c r="C50" s="32" t="s">
        <v>922</v>
      </c>
      <c r="D50" s="70" t="s">
        <v>713</v>
      </c>
      <c r="E50" s="70"/>
      <c r="F50" s="32" t="s">
        <v>1213</v>
      </c>
      <c r="G50" s="9">
        <v>7.2</v>
      </c>
      <c r="H50" s="37">
        <v>0</v>
      </c>
    </row>
    <row r="51" spans="1:8" ht="15" customHeight="1">
      <c r="A51" s="47"/>
      <c r="D51" s="50" t="s">
        <v>1395</v>
      </c>
      <c r="E51" s="129" t="s">
        <v>852</v>
      </c>
      <c r="F51" s="129"/>
      <c r="G51" s="59">
        <v>7.2</v>
      </c>
      <c r="H51" s="23"/>
    </row>
    <row r="52" spans="1:8" ht="15" customHeight="1">
      <c r="A52" s="16" t="s">
        <v>860</v>
      </c>
      <c r="B52" s="32" t="s">
        <v>5</v>
      </c>
      <c r="C52" s="32" t="s">
        <v>412</v>
      </c>
      <c r="D52" s="70" t="s">
        <v>692</v>
      </c>
      <c r="E52" s="70"/>
      <c r="F52" s="32" t="s">
        <v>1213</v>
      </c>
      <c r="G52" s="9">
        <v>90.108</v>
      </c>
      <c r="H52" s="37">
        <v>0</v>
      </c>
    </row>
    <row r="53" spans="1:8" ht="15" customHeight="1">
      <c r="A53" s="16" t="s">
        <v>990</v>
      </c>
      <c r="B53" s="32" t="s">
        <v>5</v>
      </c>
      <c r="C53" s="32" t="s">
        <v>1421</v>
      </c>
      <c r="D53" s="70" t="s">
        <v>1028</v>
      </c>
      <c r="E53" s="70"/>
      <c r="F53" s="32" t="s">
        <v>1026</v>
      </c>
      <c r="G53" s="9">
        <v>55.2</v>
      </c>
      <c r="H53" s="37">
        <v>0</v>
      </c>
    </row>
    <row r="54" spans="1:8" ht="15" customHeight="1">
      <c r="A54" s="47"/>
      <c r="D54" s="50" t="s">
        <v>247</v>
      </c>
      <c r="E54" s="129" t="s">
        <v>852</v>
      </c>
      <c r="F54" s="129"/>
      <c r="G54" s="59">
        <v>52.800000000000004</v>
      </c>
      <c r="H54" s="23"/>
    </row>
    <row r="55" spans="1:8" ht="15" customHeight="1">
      <c r="A55" s="16" t="s">
        <v>852</v>
      </c>
      <c r="B55" s="32" t="s">
        <v>852</v>
      </c>
      <c r="C55" s="32" t="s">
        <v>852</v>
      </c>
      <c r="D55" s="50" t="s">
        <v>244</v>
      </c>
      <c r="E55" s="129" t="s">
        <v>852</v>
      </c>
      <c r="F55" s="129"/>
      <c r="G55" s="59">
        <v>2.4000000000000004</v>
      </c>
      <c r="H55" s="34" t="s">
        <v>852</v>
      </c>
    </row>
    <row r="56" spans="1:8" ht="15" customHeight="1">
      <c r="A56" s="16" t="s">
        <v>781</v>
      </c>
      <c r="B56" s="32" t="s">
        <v>5</v>
      </c>
      <c r="C56" s="32" t="s">
        <v>462</v>
      </c>
      <c r="D56" s="70" t="s">
        <v>1189</v>
      </c>
      <c r="E56" s="70"/>
      <c r="F56" s="32" t="s">
        <v>1213</v>
      </c>
      <c r="G56" s="9">
        <v>15.350000000000001</v>
      </c>
      <c r="H56" s="37">
        <v>0</v>
      </c>
    </row>
    <row r="57" spans="1:8" ht="15" customHeight="1">
      <c r="A57" s="47"/>
      <c r="D57" s="50" t="s">
        <v>554</v>
      </c>
      <c r="E57" s="129" t="s">
        <v>852</v>
      </c>
      <c r="F57" s="129"/>
      <c r="G57" s="59">
        <v>13.9</v>
      </c>
      <c r="H57" s="23"/>
    </row>
    <row r="58" spans="1:8" ht="15" customHeight="1">
      <c r="A58" s="16" t="s">
        <v>852</v>
      </c>
      <c r="B58" s="32" t="s">
        <v>852</v>
      </c>
      <c r="C58" s="32" t="s">
        <v>852</v>
      </c>
      <c r="D58" s="50" t="s">
        <v>371</v>
      </c>
      <c r="E58" s="129" t="s">
        <v>852</v>
      </c>
      <c r="F58" s="129"/>
      <c r="G58" s="59">
        <v>1.4500000000000002</v>
      </c>
      <c r="H58" s="34" t="s">
        <v>852</v>
      </c>
    </row>
    <row r="59" spans="1:8" ht="15" customHeight="1">
      <c r="A59" s="16" t="s">
        <v>63</v>
      </c>
      <c r="B59" s="32" t="s">
        <v>5</v>
      </c>
      <c r="C59" s="32" t="s">
        <v>581</v>
      </c>
      <c r="D59" s="70" t="s">
        <v>180</v>
      </c>
      <c r="E59" s="70"/>
      <c r="F59" s="32" t="s">
        <v>1194</v>
      </c>
      <c r="G59" s="9">
        <v>8.295</v>
      </c>
      <c r="H59" s="37">
        <v>0</v>
      </c>
    </row>
    <row r="60" spans="1:8" ht="15" customHeight="1">
      <c r="A60" s="47"/>
      <c r="D60" s="50" t="s">
        <v>314</v>
      </c>
      <c r="E60" s="129" t="s">
        <v>852</v>
      </c>
      <c r="F60" s="129"/>
      <c r="G60" s="59">
        <v>8.295</v>
      </c>
      <c r="H60" s="23"/>
    </row>
    <row r="61" spans="1:8" ht="15" customHeight="1">
      <c r="A61" s="16" t="s">
        <v>868</v>
      </c>
      <c r="B61" s="32" t="s">
        <v>5</v>
      </c>
      <c r="C61" s="32" t="s">
        <v>1275</v>
      </c>
      <c r="D61" s="70" t="s">
        <v>967</v>
      </c>
      <c r="E61" s="70"/>
      <c r="F61" s="32" t="s">
        <v>1194</v>
      </c>
      <c r="G61" s="9">
        <v>8.295</v>
      </c>
      <c r="H61" s="37">
        <v>0</v>
      </c>
    </row>
    <row r="62" spans="1:8" ht="15" customHeight="1">
      <c r="A62" s="47"/>
      <c r="D62" s="50" t="s">
        <v>477</v>
      </c>
      <c r="E62" s="129" t="s">
        <v>852</v>
      </c>
      <c r="F62" s="129"/>
      <c r="G62" s="59">
        <v>8.295</v>
      </c>
      <c r="H62" s="23"/>
    </row>
    <row r="63" spans="1:8" ht="15" customHeight="1">
      <c r="A63" s="16" t="s">
        <v>1178</v>
      </c>
      <c r="B63" s="32" t="s">
        <v>5</v>
      </c>
      <c r="C63" s="32" t="s">
        <v>711</v>
      </c>
      <c r="D63" s="70" t="s">
        <v>101</v>
      </c>
      <c r="E63" s="70"/>
      <c r="F63" s="32" t="s">
        <v>1194</v>
      </c>
      <c r="G63" s="9">
        <v>8.295</v>
      </c>
      <c r="H63" s="37">
        <v>0</v>
      </c>
    </row>
    <row r="64" spans="1:8" ht="15" customHeight="1">
      <c r="A64" s="47"/>
      <c r="D64" s="50" t="s">
        <v>477</v>
      </c>
      <c r="E64" s="129" t="s">
        <v>852</v>
      </c>
      <c r="F64" s="129"/>
      <c r="G64" s="59">
        <v>8.295</v>
      </c>
      <c r="H64" s="23"/>
    </row>
    <row r="65" spans="1:8" ht="15" customHeight="1">
      <c r="A65" s="16" t="s">
        <v>575</v>
      </c>
      <c r="B65" s="32" t="s">
        <v>5</v>
      </c>
      <c r="C65" s="32" t="s">
        <v>750</v>
      </c>
      <c r="D65" s="70" t="s">
        <v>1128</v>
      </c>
      <c r="E65" s="70"/>
      <c r="F65" s="32" t="s">
        <v>594</v>
      </c>
      <c r="G65" s="9">
        <v>0.046000000000000006</v>
      </c>
      <c r="H65" s="37">
        <v>0</v>
      </c>
    </row>
    <row r="66" spans="1:8" ht="15" customHeight="1">
      <c r="A66" s="47"/>
      <c r="D66" s="50" t="s">
        <v>1120</v>
      </c>
      <c r="E66" s="129" t="s">
        <v>852</v>
      </c>
      <c r="F66" s="129"/>
      <c r="G66" s="59">
        <v>0.046000000000000006</v>
      </c>
      <c r="H66" s="23"/>
    </row>
    <row r="67" spans="1:8" ht="15" customHeight="1">
      <c r="A67" s="16" t="s">
        <v>117</v>
      </c>
      <c r="B67" s="32" t="s">
        <v>5</v>
      </c>
      <c r="C67" s="32" t="s">
        <v>1007</v>
      </c>
      <c r="D67" s="70" t="s">
        <v>813</v>
      </c>
      <c r="E67" s="70"/>
      <c r="F67" s="32" t="s">
        <v>1026</v>
      </c>
      <c r="G67" s="9">
        <v>67.85000000000001</v>
      </c>
      <c r="H67" s="37">
        <v>0</v>
      </c>
    </row>
    <row r="68" spans="1:8" ht="15" customHeight="1">
      <c r="A68" s="47"/>
      <c r="D68" s="50" t="s">
        <v>540</v>
      </c>
      <c r="E68" s="129" t="s">
        <v>852</v>
      </c>
      <c r="F68" s="129"/>
      <c r="G68" s="59">
        <v>57.6</v>
      </c>
      <c r="H68" s="23"/>
    </row>
    <row r="69" spans="1:8" ht="15" customHeight="1">
      <c r="A69" s="16" t="s">
        <v>852</v>
      </c>
      <c r="B69" s="32" t="s">
        <v>852</v>
      </c>
      <c r="C69" s="32" t="s">
        <v>852</v>
      </c>
      <c r="D69" s="50" t="s">
        <v>89</v>
      </c>
      <c r="E69" s="129" t="s">
        <v>852</v>
      </c>
      <c r="F69" s="129"/>
      <c r="G69" s="59">
        <v>10.25</v>
      </c>
      <c r="H69" s="34" t="s">
        <v>852</v>
      </c>
    </row>
    <row r="70" spans="1:8" ht="15" customHeight="1">
      <c r="A70" s="16" t="s">
        <v>315</v>
      </c>
      <c r="B70" s="32" t="s">
        <v>5</v>
      </c>
      <c r="C70" s="32" t="s">
        <v>1279</v>
      </c>
      <c r="D70" s="70" t="s">
        <v>993</v>
      </c>
      <c r="E70" s="70"/>
      <c r="F70" s="32" t="s">
        <v>1213</v>
      </c>
      <c r="G70" s="9">
        <v>120.00000000000001</v>
      </c>
      <c r="H70" s="37">
        <v>0</v>
      </c>
    </row>
    <row r="71" spans="1:8" ht="15" customHeight="1">
      <c r="A71" s="16" t="s">
        <v>157</v>
      </c>
      <c r="B71" s="32" t="s">
        <v>5</v>
      </c>
      <c r="C71" s="32" t="s">
        <v>1086</v>
      </c>
      <c r="D71" s="70" t="s">
        <v>416</v>
      </c>
      <c r="E71" s="70"/>
      <c r="F71" s="32" t="s">
        <v>1213</v>
      </c>
      <c r="G71" s="9">
        <v>114.36000000000001</v>
      </c>
      <c r="H71" s="37">
        <v>0</v>
      </c>
    </row>
    <row r="72" spans="1:8" ht="15" customHeight="1">
      <c r="A72" s="47"/>
      <c r="D72" s="50" t="s">
        <v>472</v>
      </c>
      <c r="E72" s="129" t="s">
        <v>852</v>
      </c>
      <c r="F72" s="129"/>
      <c r="G72" s="59">
        <v>105.46000000000001</v>
      </c>
      <c r="H72" s="23"/>
    </row>
    <row r="73" spans="1:8" ht="15" customHeight="1">
      <c r="A73" s="16" t="s">
        <v>852</v>
      </c>
      <c r="B73" s="32" t="s">
        <v>852</v>
      </c>
      <c r="C73" s="32" t="s">
        <v>852</v>
      </c>
      <c r="D73" s="50" t="s">
        <v>1375</v>
      </c>
      <c r="E73" s="129" t="s">
        <v>852</v>
      </c>
      <c r="F73" s="129"/>
      <c r="G73" s="59">
        <v>8.9</v>
      </c>
      <c r="H73" s="34" t="s">
        <v>852</v>
      </c>
    </row>
    <row r="74" spans="1:8" ht="15" customHeight="1">
      <c r="A74" s="16" t="s">
        <v>1205</v>
      </c>
      <c r="B74" s="32" t="s">
        <v>5</v>
      </c>
      <c r="C74" s="32" t="s">
        <v>938</v>
      </c>
      <c r="D74" s="70" t="s">
        <v>9</v>
      </c>
      <c r="E74" s="70"/>
      <c r="F74" s="32" t="s">
        <v>1213</v>
      </c>
      <c r="G74" s="9">
        <v>186.098</v>
      </c>
      <c r="H74" s="37">
        <v>0</v>
      </c>
    </row>
    <row r="75" spans="1:8" ht="15" customHeight="1">
      <c r="A75" s="47"/>
      <c r="D75" s="50" t="s">
        <v>863</v>
      </c>
      <c r="E75" s="129" t="s">
        <v>852</v>
      </c>
      <c r="F75" s="129"/>
      <c r="G75" s="59">
        <v>98.71400000000001</v>
      </c>
      <c r="H75" s="23"/>
    </row>
    <row r="76" spans="1:8" ht="15" customHeight="1">
      <c r="A76" s="16" t="s">
        <v>852</v>
      </c>
      <c r="B76" s="32" t="s">
        <v>852</v>
      </c>
      <c r="C76" s="32" t="s">
        <v>852</v>
      </c>
      <c r="D76" s="50" t="s">
        <v>82</v>
      </c>
      <c r="E76" s="129" t="s">
        <v>852</v>
      </c>
      <c r="F76" s="129"/>
      <c r="G76" s="59">
        <v>87.384</v>
      </c>
      <c r="H76" s="34" t="s">
        <v>852</v>
      </c>
    </row>
    <row r="77" spans="1:8" ht="15" customHeight="1">
      <c r="A77" s="16" t="s">
        <v>1358</v>
      </c>
      <c r="B77" s="32" t="s">
        <v>5</v>
      </c>
      <c r="C77" s="32" t="s">
        <v>704</v>
      </c>
      <c r="D77" s="70" t="s">
        <v>785</v>
      </c>
      <c r="E77" s="70"/>
      <c r="F77" s="32" t="s">
        <v>1213</v>
      </c>
      <c r="G77" s="9">
        <v>20.790000000000003</v>
      </c>
      <c r="H77" s="37">
        <v>0</v>
      </c>
    </row>
    <row r="78" spans="1:8" ht="15" customHeight="1">
      <c r="A78" s="47"/>
      <c r="D78" s="50" t="s">
        <v>217</v>
      </c>
      <c r="E78" s="129" t="s">
        <v>852</v>
      </c>
      <c r="F78" s="129"/>
      <c r="G78" s="59">
        <v>20.790000000000003</v>
      </c>
      <c r="H78" s="23"/>
    </row>
    <row r="79" spans="1:8" ht="15" customHeight="1">
      <c r="A79" s="16" t="s">
        <v>91</v>
      </c>
      <c r="B79" s="32" t="s">
        <v>5</v>
      </c>
      <c r="C79" s="32" t="s">
        <v>572</v>
      </c>
      <c r="D79" s="70" t="s">
        <v>282</v>
      </c>
      <c r="E79" s="70"/>
      <c r="F79" s="32" t="s">
        <v>1194</v>
      </c>
      <c r="G79" s="9">
        <v>0.18600000000000003</v>
      </c>
      <c r="H79" s="37">
        <v>0</v>
      </c>
    </row>
    <row r="80" spans="1:8" ht="15" customHeight="1">
      <c r="A80" s="47"/>
      <c r="D80" s="50" t="s">
        <v>177</v>
      </c>
      <c r="E80" s="129" t="s">
        <v>852</v>
      </c>
      <c r="F80" s="129"/>
      <c r="G80" s="59">
        <v>0.041</v>
      </c>
      <c r="H80" s="23"/>
    </row>
    <row r="81" spans="1:8" ht="15" customHeight="1">
      <c r="A81" s="16" t="s">
        <v>852</v>
      </c>
      <c r="B81" s="32" t="s">
        <v>852</v>
      </c>
      <c r="C81" s="32" t="s">
        <v>852</v>
      </c>
      <c r="D81" s="50" t="s">
        <v>1366</v>
      </c>
      <c r="E81" s="129" t="s">
        <v>852</v>
      </c>
      <c r="F81" s="129"/>
      <c r="G81" s="59">
        <v>0.14500000000000002</v>
      </c>
      <c r="H81" s="34" t="s">
        <v>852</v>
      </c>
    </row>
    <row r="82" spans="1:8" ht="15" customHeight="1">
      <c r="A82" s="16" t="s">
        <v>793</v>
      </c>
      <c r="B82" s="32" t="s">
        <v>5</v>
      </c>
      <c r="C82" s="32" t="s">
        <v>255</v>
      </c>
      <c r="D82" s="70" t="s">
        <v>439</v>
      </c>
      <c r="E82" s="70"/>
      <c r="F82" s="32" t="s">
        <v>1194</v>
      </c>
      <c r="G82" s="9">
        <v>1.3490000000000002</v>
      </c>
      <c r="H82" s="37">
        <v>0</v>
      </c>
    </row>
    <row r="83" spans="1:8" ht="15" customHeight="1">
      <c r="A83" s="47"/>
      <c r="D83" s="50" t="s">
        <v>848</v>
      </c>
      <c r="E83" s="129" t="s">
        <v>852</v>
      </c>
      <c r="F83" s="129"/>
      <c r="G83" s="59">
        <v>1.3490000000000002</v>
      </c>
      <c r="H83" s="23"/>
    </row>
    <row r="84" spans="1:8" ht="15" customHeight="1">
      <c r="A84" s="16" t="s">
        <v>728</v>
      </c>
      <c r="B84" s="32" t="s">
        <v>5</v>
      </c>
      <c r="C84" s="32" t="s">
        <v>255</v>
      </c>
      <c r="D84" s="70" t="s">
        <v>1130</v>
      </c>
      <c r="E84" s="70"/>
      <c r="F84" s="32" t="s">
        <v>1194</v>
      </c>
      <c r="G84" s="9">
        <v>8.295</v>
      </c>
      <c r="H84" s="37">
        <v>0</v>
      </c>
    </row>
    <row r="85" spans="1:8" ht="15" customHeight="1">
      <c r="A85" s="47"/>
      <c r="D85" s="50" t="s">
        <v>314</v>
      </c>
      <c r="E85" s="129" t="s">
        <v>852</v>
      </c>
      <c r="F85" s="129"/>
      <c r="G85" s="59">
        <v>8.295</v>
      </c>
      <c r="H85" s="23"/>
    </row>
    <row r="86" spans="1:8" ht="15" customHeight="1">
      <c r="A86" s="16" t="s">
        <v>1045</v>
      </c>
      <c r="B86" s="32" t="s">
        <v>5</v>
      </c>
      <c r="C86" s="32" t="s">
        <v>194</v>
      </c>
      <c r="D86" s="70" t="s">
        <v>933</v>
      </c>
      <c r="E86" s="70"/>
      <c r="F86" s="32" t="s">
        <v>1194</v>
      </c>
      <c r="G86" s="9">
        <v>1.5350000000000001</v>
      </c>
      <c r="H86" s="37">
        <v>0</v>
      </c>
    </row>
    <row r="87" spans="1:8" ht="15" customHeight="1">
      <c r="A87" s="47"/>
      <c r="D87" s="50" t="s">
        <v>519</v>
      </c>
      <c r="E87" s="129" t="s">
        <v>852</v>
      </c>
      <c r="F87" s="129"/>
      <c r="G87" s="59">
        <v>1.5350000000000001</v>
      </c>
      <c r="H87" s="23"/>
    </row>
    <row r="88" spans="1:8" ht="15" customHeight="1">
      <c r="A88" s="16" t="s">
        <v>278</v>
      </c>
      <c r="B88" s="32" t="s">
        <v>5</v>
      </c>
      <c r="C88" s="32" t="s">
        <v>1226</v>
      </c>
      <c r="D88" s="70" t="s">
        <v>943</v>
      </c>
      <c r="E88" s="70"/>
      <c r="F88" s="32" t="s">
        <v>1194</v>
      </c>
      <c r="G88" s="9">
        <v>8.295</v>
      </c>
      <c r="H88" s="37">
        <v>0</v>
      </c>
    </row>
    <row r="89" spans="1:8" ht="15" customHeight="1">
      <c r="A89" s="47"/>
      <c r="D89" s="50" t="s">
        <v>314</v>
      </c>
      <c r="E89" s="129" t="s">
        <v>852</v>
      </c>
      <c r="F89" s="129"/>
      <c r="G89" s="59">
        <v>8.295</v>
      </c>
      <c r="H89" s="23"/>
    </row>
    <row r="90" spans="1:8" ht="15" customHeight="1">
      <c r="A90" s="16" t="s">
        <v>1399</v>
      </c>
      <c r="B90" s="32" t="s">
        <v>5</v>
      </c>
      <c r="C90" s="32" t="s">
        <v>715</v>
      </c>
      <c r="D90" s="70" t="s">
        <v>149</v>
      </c>
      <c r="E90" s="70"/>
      <c r="F90" s="32" t="s">
        <v>1213</v>
      </c>
      <c r="G90" s="9">
        <v>119.04</v>
      </c>
      <c r="H90" s="37">
        <v>0</v>
      </c>
    </row>
    <row r="91" spans="1:8" ht="15" customHeight="1">
      <c r="A91" s="47"/>
      <c r="D91" s="50" t="s">
        <v>1283</v>
      </c>
      <c r="E91" s="129" t="s">
        <v>852</v>
      </c>
      <c r="F91" s="129"/>
      <c r="G91" s="59">
        <v>110.14000000000001</v>
      </c>
      <c r="H91" s="23"/>
    </row>
    <row r="92" spans="1:8" ht="15" customHeight="1">
      <c r="A92" s="16" t="s">
        <v>852</v>
      </c>
      <c r="B92" s="32" t="s">
        <v>852</v>
      </c>
      <c r="C92" s="32" t="s">
        <v>852</v>
      </c>
      <c r="D92" s="50" t="s">
        <v>1375</v>
      </c>
      <c r="E92" s="129" t="s">
        <v>852</v>
      </c>
      <c r="F92" s="129"/>
      <c r="G92" s="59">
        <v>8.9</v>
      </c>
      <c r="H92" s="34" t="s">
        <v>852</v>
      </c>
    </row>
    <row r="93" spans="1:8" ht="15" customHeight="1">
      <c r="A93" s="16" t="s">
        <v>1096</v>
      </c>
      <c r="B93" s="32" t="s">
        <v>5</v>
      </c>
      <c r="C93" s="32" t="s">
        <v>100</v>
      </c>
      <c r="D93" s="70" t="s">
        <v>1102</v>
      </c>
      <c r="E93" s="70"/>
      <c r="F93" s="32" t="s">
        <v>1213</v>
      </c>
      <c r="G93" s="9">
        <v>8.702</v>
      </c>
      <c r="H93" s="37">
        <v>0</v>
      </c>
    </row>
    <row r="94" spans="1:8" ht="15" customHeight="1">
      <c r="A94" s="47"/>
      <c r="D94" s="50" t="s">
        <v>321</v>
      </c>
      <c r="E94" s="129" t="s">
        <v>852</v>
      </c>
      <c r="F94" s="129"/>
      <c r="G94" s="59">
        <v>3.974</v>
      </c>
      <c r="H94" s="23"/>
    </row>
    <row r="95" spans="1:8" ht="15" customHeight="1">
      <c r="A95" s="16" t="s">
        <v>852</v>
      </c>
      <c r="B95" s="32" t="s">
        <v>852</v>
      </c>
      <c r="C95" s="32" t="s">
        <v>852</v>
      </c>
      <c r="D95" s="50" t="s">
        <v>752</v>
      </c>
      <c r="E95" s="129" t="s">
        <v>852</v>
      </c>
      <c r="F95" s="129"/>
      <c r="G95" s="59">
        <v>4.728000000000001</v>
      </c>
      <c r="H95" s="34" t="s">
        <v>852</v>
      </c>
    </row>
    <row r="96" spans="1:8" ht="15" customHeight="1">
      <c r="A96" s="16" t="s">
        <v>724</v>
      </c>
      <c r="B96" s="32" t="s">
        <v>5</v>
      </c>
      <c r="C96" s="32" t="s">
        <v>931</v>
      </c>
      <c r="D96" s="70" t="s">
        <v>41</v>
      </c>
      <c r="E96" s="70"/>
      <c r="F96" s="32" t="s">
        <v>317</v>
      </c>
      <c r="G96" s="9">
        <v>18</v>
      </c>
      <c r="H96" s="37">
        <v>0</v>
      </c>
    </row>
    <row r="97" spans="1:8" ht="15" customHeight="1">
      <c r="A97" s="47"/>
      <c r="D97" s="50" t="s">
        <v>130</v>
      </c>
      <c r="E97" s="129" t="s">
        <v>852</v>
      </c>
      <c r="F97" s="129"/>
      <c r="G97" s="59">
        <v>14.000000000000002</v>
      </c>
      <c r="H97" s="23"/>
    </row>
    <row r="98" spans="1:8" ht="15" customHeight="1">
      <c r="A98" s="16" t="s">
        <v>852</v>
      </c>
      <c r="B98" s="32" t="s">
        <v>852</v>
      </c>
      <c r="C98" s="32" t="s">
        <v>852</v>
      </c>
      <c r="D98" s="50" t="s">
        <v>138</v>
      </c>
      <c r="E98" s="129" t="s">
        <v>852</v>
      </c>
      <c r="F98" s="129"/>
      <c r="G98" s="59">
        <v>4</v>
      </c>
      <c r="H98" s="34" t="s">
        <v>852</v>
      </c>
    </row>
    <row r="99" spans="1:8" ht="15" customHeight="1">
      <c r="A99" s="16" t="s">
        <v>1211</v>
      </c>
      <c r="B99" s="32" t="s">
        <v>5</v>
      </c>
      <c r="C99" s="32" t="s">
        <v>250</v>
      </c>
      <c r="D99" s="70" t="s">
        <v>1409</v>
      </c>
      <c r="E99" s="70"/>
      <c r="F99" s="32" t="s">
        <v>1213</v>
      </c>
      <c r="G99" s="9">
        <v>14.972000000000001</v>
      </c>
      <c r="H99" s="37">
        <v>0</v>
      </c>
    </row>
    <row r="100" spans="1:8" ht="15" customHeight="1">
      <c r="A100" s="47"/>
      <c r="D100" s="50" t="s">
        <v>478</v>
      </c>
      <c r="E100" s="129" t="s">
        <v>852</v>
      </c>
      <c r="F100" s="129"/>
      <c r="G100" s="59">
        <v>14.972000000000001</v>
      </c>
      <c r="H100" s="23"/>
    </row>
    <row r="101" spans="1:8" ht="15" customHeight="1">
      <c r="A101" s="16" t="s">
        <v>742</v>
      </c>
      <c r="B101" s="32" t="s">
        <v>5</v>
      </c>
      <c r="C101" s="32" t="s">
        <v>250</v>
      </c>
      <c r="D101" s="70" t="s">
        <v>10</v>
      </c>
      <c r="E101" s="70"/>
      <c r="F101" s="32" t="s">
        <v>1213</v>
      </c>
      <c r="G101" s="9">
        <v>9.456000000000001</v>
      </c>
      <c r="H101" s="37">
        <v>0</v>
      </c>
    </row>
    <row r="102" spans="1:8" ht="15" customHeight="1">
      <c r="A102" s="47"/>
      <c r="D102" s="50" t="s">
        <v>1305</v>
      </c>
      <c r="E102" s="129" t="s">
        <v>852</v>
      </c>
      <c r="F102" s="129"/>
      <c r="G102" s="59">
        <v>9.456000000000001</v>
      </c>
      <c r="H102" s="23"/>
    </row>
    <row r="103" spans="1:8" ht="15" customHeight="1">
      <c r="A103" s="16" t="s">
        <v>792</v>
      </c>
      <c r="B103" s="32" t="s">
        <v>5</v>
      </c>
      <c r="C103" s="32" t="s">
        <v>238</v>
      </c>
      <c r="D103" s="70" t="s">
        <v>1156</v>
      </c>
      <c r="E103" s="70"/>
      <c r="F103" s="32" t="s">
        <v>1213</v>
      </c>
      <c r="G103" s="9">
        <v>35.970000000000006</v>
      </c>
      <c r="H103" s="37">
        <v>0</v>
      </c>
    </row>
    <row r="104" spans="1:8" ht="15" customHeight="1">
      <c r="A104" s="47"/>
      <c r="D104" s="50" t="s">
        <v>391</v>
      </c>
      <c r="E104" s="129" t="s">
        <v>852</v>
      </c>
      <c r="F104" s="129"/>
      <c r="G104" s="59">
        <v>35.970000000000006</v>
      </c>
      <c r="H104" s="23"/>
    </row>
    <row r="105" spans="1:8" ht="15" customHeight="1">
      <c r="A105" s="16" t="s">
        <v>458</v>
      </c>
      <c r="B105" s="32" t="s">
        <v>5</v>
      </c>
      <c r="C105" s="32" t="s">
        <v>731</v>
      </c>
      <c r="D105" s="70" t="s">
        <v>640</v>
      </c>
      <c r="E105" s="70"/>
      <c r="F105" s="32" t="s">
        <v>1213</v>
      </c>
      <c r="G105" s="9">
        <v>90.80600000000001</v>
      </c>
      <c r="H105" s="37">
        <v>0</v>
      </c>
    </row>
    <row r="106" spans="1:8" ht="15" customHeight="1">
      <c r="A106" s="47"/>
      <c r="D106" s="50" t="s">
        <v>1385</v>
      </c>
      <c r="E106" s="129" t="s">
        <v>852</v>
      </c>
      <c r="F106" s="129"/>
      <c r="G106" s="59">
        <v>90.80600000000001</v>
      </c>
      <c r="H106" s="23"/>
    </row>
    <row r="107" spans="1:8" ht="15" customHeight="1">
      <c r="A107" s="16" t="s">
        <v>1214</v>
      </c>
      <c r="B107" s="32" t="s">
        <v>5</v>
      </c>
      <c r="C107" s="32" t="s">
        <v>984</v>
      </c>
      <c r="D107" s="70" t="s">
        <v>814</v>
      </c>
      <c r="E107" s="70"/>
      <c r="F107" s="32" t="s">
        <v>1213</v>
      </c>
      <c r="G107" s="9">
        <v>119.04</v>
      </c>
      <c r="H107" s="37">
        <v>0</v>
      </c>
    </row>
    <row r="108" spans="1:8" ht="15" customHeight="1">
      <c r="A108" s="47"/>
      <c r="D108" s="50" t="s">
        <v>1283</v>
      </c>
      <c r="E108" s="129" t="s">
        <v>852</v>
      </c>
      <c r="F108" s="129"/>
      <c r="G108" s="59">
        <v>110.14000000000001</v>
      </c>
      <c r="H108" s="23"/>
    </row>
    <row r="109" spans="1:8" ht="15" customHeight="1">
      <c r="A109" s="16" t="s">
        <v>852</v>
      </c>
      <c r="B109" s="32" t="s">
        <v>852</v>
      </c>
      <c r="C109" s="32" t="s">
        <v>852</v>
      </c>
      <c r="D109" s="50" t="s">
        <v>1375</v>
      </c>
      <c r="E109" s="129" t="s">
        <v>852</v>
      </c>
      <c r="F109" s="129"/>
      <c r="G109" s="59">
        <v>8.9</v>
      </c>
      <c r="H109" s="34" t="s">
        <v>852</v>
      </c>
    </row>
    <row r="110" spans="1:8" ht="15" customHeight="1">
      <c r="A110" s="16" t="s">
        <v>229</v>
      </c>
      <c r="B110" s="32" t="s">
        <v>5</v>
      </c>
      <c r="C110" s="32" t="s">
        <v>1407</v>
      </c>
      <c r="D110" s="70" t="s">
        <v>764</v>
      </c>
      <c r="E110" s="70"/>
      <c r="F110" s="32" t="s">
        <v>1213</v>
      </c>
      <c r="G110" s="9">
        <v>196.264</v>
      </c>
      <c r="H110" s="37">
        <v>0</v>
      </c>
    </row>
    <row r="111" spans="1:8" ht="15" customHeight="1">
      <c r="A111" s="47"/>
      <c r="D111" s="50" t="s">
        <v>799</v>
      </c>
      <c r="E111" s="129" t="s">
        <v>852</v>
      </c>
      <c r="F111" s="129"/>
      <c r="G111" s="59">
        <v>155.24800000000002</v>
      </c>
      <c r="H111" s="23"/>
    </row>
    <row r="112" spans="1:8" ht="15" customHeight="1">
      <c r="A112" s="16" t="s">
        <v>852</v>
      </c>
      <c r="B112" s="32" t="s">
        <v>852</v>
      </c>
      <c r="C112" s="32" t="s">
        <v>852</v>
      </c>
      <c r="D112" s="50" t="s">
        <v>1035</v>
      </c>
      <c r="E112" s="129" t="s">
        <v>852</v>
      </c>
      <c r="F112" s="129"/>
      <c r="G112" s="59">
        <v>41.016000000000005</v>
      </c>
      <c r="H112" s="34" t="s">
        <v>852</v>
      </c>
    </row>
    <row r="113" spans="1:8" ht="15" customHeight="1">
      <c r="A113" s="16" t="s">
        <v>435</v>
      </c>
      <c r="B113" s="32" t="s">
        <v>5</v>
      </c>
      <c r="C113" s="32" t="s">
        <v>251</v>
      </c>
      <c r="D113" s="70" t="s">
        <v>678</v>
      </c>
      <c r="E113" s="70"/>
      <c r="F113" s="32" t="s">
        <v>1213</v>
      </c>
      <c r="G113" s="9">
        <v>178.97000000000003</v>
      </c>
      <c r="H113" s="37">
        <v>0</v>
      </c>
    </row>
    <row r="114" spans="1:8" ht="15" customHeight="1">
      <c r="A114" s="47"/>
      <c r="D114" s="50" t="s">
        <v>417</v>
      </c>
      <c r="E114" s="129" t="s">
        <v>852</v>
      </c>
      <c r="F114" s="129"/>
      <c r="G114" s="59">
        <v>118.29</v>
      </c>
      <c r="H114" s="23"/>
    </row>
    <row r="115" spans="1:8" ht="15" customHeight="1">
      <c r="A115" s="16" t="s">
        <v>852</v>
      </c>
      <c r="B115" s="32" t="s">
        <v>852</v>
      </c>
      <c r="C115" s="32" t="s">
        <v>852</v>
      </c>
      <c r="D115" s="50" t="s">
        <v>1411</v>
      </c>
      <c r="E115" s="129" t="s">
        <v>852</v>
      </c>
      <c r="F115" s="129"/>
      <c r="G115" s="59">
        <v>60.68000000000001</v>
      </c>
      <c r="H115" s="34" t="s">
        <v>852</v>
      </c>
    </row>
    <row r="116" spans="1:8" ht="15" customHeight="1">
      <c r="A116" s="16" t="s">
        <v>567</v>
      </c>
      <c r="B116" s="32" t="s">
        <v>5</v>
      </c>
      <c r="C116" s="32" t="s">
        <v>520</v>
      </c>
      <c r="D116" s="70" t="s">
        <v>379</v>
      </c>
      <c r="E116" s="70"/>
      <c r="F116" s="32" t="s">
        <v>1213</v>
      </c>
      <c r="G116" s="9">
        <v>29.700000000000003</v>
      </c>
      <c r="H116" s="37">
        <v>0</v>
      </c>
    </row>
    <row r="117" spans="1:8" ht="15" customHeight="1">
      <c r="A117" s="47"/>
      <c r="D117" s="50" t="s">
        <v>437</v>
      </c>
      <c r="E117" s="129" t="s">
        <v>852</v>
      </c>
      <c r="F117" s="129"/>
      <c r="G117" s="59">
        <v>29.700000000000003</v>
      </c>
      <c r="H117" s="23"/>
    </row>
    <row r="118" spans="1:8" ht="15" customHeight="1">
      <c r="A118" s="16" t="s">
        <v>457</v>
      </c>
      <c r="B118" s="32" t="s">
        <v>5</v>
      </c>
      <c r="C118" s="32" t="s">
        <v>1369</v>
      </c>
      <c r="D118" s="70" t="s">
        <v>1003</v>
      </c>
      <c r="E118" s="70"/>
      <c r="F118" s="32" t="s">
        <v>594</v>
      </c>
      <c r="G118" s="9">
        <v>34.132000000000005</v>
      </c>
      <c r="H118" s="37">
        <v>0</v>
      </c>
    </row>
    <row r="119" spans="1:8" ht="15" customHeight="1">
      <c r="A119" s="47"/>
      <c r="D119" s="50" t="s">
        <v>966</v>
      </c>
      <c r="E119" s="129" t="s">
        <v>852</v>
      </c>
      <c r="F119" s="129"/>
      <c r="G119" s="59">
        <v>34.132000000000005</v>
      </c>
      <c r="H119" s="23"/>
    </row>
    <row r="120" spans="1:8" ht="15" customHeight="1">
      <c r="A120" s="16" t="s">
        <v>999</v>
      </c>
      <c r="B120" s="32" t="s">
        <v>5</v>
      </c>
      <c r="C120" s="32" t="s">
        <v>877</v>
      </c>
      <c r="D120" s="70" t="s">
        <v>908</v>
      </c>
      <c r="E120" s="70"/>
      <c r="F120" s="32" t="s">
        <v>594</v>
      </c>
      <c r="G120" s="9">
        <v>72.04100000000001</v>
      </c>
      <c r="H120" s="37">
        <v>0</v>
      </c>
    </row>
    <row r="121" spans="1:8" ht="15" customHeight="1">
      <c r="A121" s="47"/>
      <c r="D121" s="50" t="s">
        <v>949</v>
      </c>
      <c r="E121" s="129" t="s">
        <v>852</v>
      </c>
      <c r="F121" s="129"/>
      <c r="G121" s="59">
        <v>72.04100000000001</v>
      </c>
      <c r="H121" s="23"/>
    </row>
    <row r="122" spans="1:8" ht="15" customHeight="1">
      <c r="A122" s="16" t="s">
        <v>1282</v>
      </c>
      <c r="B122" s="32" t="s">
        <v>5</v>
      </c>
      <c r="C122" s="32" t="s">
        <v>809</v>
      </c>
      <c r="D122" s="70" t="s">
        <v>570</v>
      </c>
      <c r="E122" s="70"/>
      <c r="F122" s="32" t="s">
        <v>594</v>
      </c>
      <c r="G122" s="9">
        <v>216.12300000000002</v>
      </c>
      <c r="H122" s="37">
        <v>0</v>
      </c>
    </row>
    <row r="123" spans="1:8" ht="15" customHeight="1">
      <c r="A123" s="47"/>
      <c r="D123" s="50" t="s">
        <v>867</v>
      </c>
      <c r="E123" s="129" t="s">
        <v>852</v>
      </c>
      <c r="F123" s="129"/>
      <c r="G123" s="59">
        <v>216.12300000000002</v>
      </c>
      <c r="H123" s="23"/>
    </row>
    <row r="124" spans="1:8" ht="15" customHeight="1">
      <c r="A124" s="16" t="s">
        <v>90</v>
      </c>
      <c r="B124" s="32" t="s">
        <v>5</v>
      </c>
      <c r="C124" s="32" t="s">
        <v>1264</v>
      </c>
      <c r="D124" s="70" t="s">
        <v>336</v>
      </c>
      <c r="E124" s="70"/>
      <c r="F124" s="32" t="s">
        <v>594</v>
      </c>
      <c r="G124" s="9">
        <v>72.04100000000001</v>
      </c>
      <c r="H124" s="37">
        <v>0</v>
      </c>
    </row>
    <row r="125" spans="1:8" ht="15" customHeight="1">
      <c r="A125" s="47"/>
      <c r="D125" s="50" t="s">
        <v>1001</v>
      </c>
      <c r="E125" s="129" t="s">
        <v>852</v>
      </c>
      <c r="F125" s="129"/>
      <c r="G125" s="59">
        <v>72.04100000000001</v>
      </c>
      <c r="H125" s="23"/>
    </row>
    <row r="126" spans="1:8" ht="15" customHeight="1">
      <c r="A126" s="16" t="s">
        <v>963</v>
      </c>
      <c r="B126" s="32" t="s">
        <v>5</v>
      </c>
      <c r="C126" s="32" t="s">
        <v>262</v>
      </c>
      <c r="D126" s="70" t="s">
        <v>629</v>
      </c>
      <c r="E126" s="70"/>
      <c r="F126" s="32" t="s">
        <v>594</v>
      </c>
      <c r="G126" s="9">
        <v>504.28700000000003</v>
      </c>
      <c r="H126" s="37">
        <v>0</v>
      </c>
    </row>
    <row r="127" spans="1:8" ht="15" customHeight="1">
      <c r="A127" s="47"/>
      <c r="D127" s="50" t="s">
        <v>99</v>
      </c>
      <c r="E127" s="129" t="s">
        <v>852</v>
      </c>
      <c r="F127" s="129"/>
      <c r="G127" s="59">
        <v>504.28700000000003</v>
      </c>
      <c r="H127" s="23"/>
    </row>
    <row r="128" spans="1:8" ht="15" customHeight="1">
      <c r="A128" s="16" t="s">
        <v>1017</v>
      </c>
      <c r="B128" s="32" t="s">
        <v>5</v>
      </c>
      <c r="C128" s="32" t="s">
        <v>136</v>
      </c>
      <c r="D128" s="70" t="s">
        <v>1197</v>
      </c>
      <c r="E128" s="70"/>
      <c r="F128" s="32" t="s">
        <v>594</v>
      </c>
      <c r="G128" s="9">
        <v>72.04100000000001</v>
      </c>
      <c r="H128" s="37">
        <v>0</v>
      </c>
    </row>
    <row r="129" spans="1:8" ht="15" customHeight="1">
      <c r="A129" s="47"/>
      <c r="D129" s="50" t="s">
        <v>1001</v>
      </c>
      <c r="E129" s="129" t="s">
        <v>852</v>
      </c>
      <c r="F129" s="129"/>
      <c r="G129" s="59">
        <v>72.04100000000001</v>
      </c>
      <c r="H129" s="23"/>
    </row>
    <row r="130" spans="1:8" ht="15" customHeight="1">
      <c r="A130" s="16" t="s">
        <v>553</v>
      </c>
      <c r="B130" s="32" t="s">
        <v>5</v>
      </c>
      <c r="C130" s="32" t="s">
        <v>682</v>
      </c>
      <c r="D130" s="70" t="s">
        <v>1173</v>
      </c>
      <c r="E130" s="70"/>
      <c r="F130" s="32" t="s">
        <v>594</v>
      </c>
      <c r="G130" s="9">
        <v>72.04100000000001</v>
      </c>
      <c r="H130" s="37">
        <v>0</v>
      </c>
    </row>
    <row r="131" spans="1:8" ht="15" customHeight="1">
      <c r="A131" s="47"/>
      <c r="D131" s="50" t="s">
        <v>1001</v>
      </c>
      <c r="E131" s="129" t="s">
        <v>852</v>
      </c>
      <c r="F131" s="129"/>
      <c r="G131" s="59">
        <v>72.04100000000001</v>
      </c>
      <c r="H131" s="23"/>
    </row>
    <row r="132" spans="1:8" ht="15" customHeight="1">
      <c r="A132" s="16" t="s">
        <v>547</v>
      </c>
      <c r="B132" s="32" t="s">
        <v>5</v>
      </c>
      <c r="C132" s="32" t="s">
        <v>252</v>
      </c>
      <c r="D132" s="70" t="s">
        <v>749</v>
      </c>
      <c r="E132" s="70"/>
      <c r="F132" s="32" t="s">
        <v>594</v>
      </c>
      <c r="G132" s="9">
        <v>72.04100000000001</v>
      </c>
      <c r="H132" s="37">
        <v>0</v>
      </c>
    </row>
    <row r="133" spans="1:8" ht="15" customHeight="1">
      <c r="A133" s="47"/>
      <c r="D133" s="50" t="s">
        <v>1001</v>
      </c>
      <c r="E133" s="129" t="s">
        <v>852</v>
      </c>
      <c r="F133" s="129"/>
      <c r="G133" s="59">
        <v>72.04100000000001</v>
      </c>
      <c r="H133" s="23"/>
    </row>
    <row r="134" spans="1:8" ht="15" customHeight="1">
      <c r="A134" s="16" t="s">
        <v>602</v>
      </c>
      <c r="B134" s="32" t="s">
        <v>5</v>
      </c>
      <c r="C134" s="32" t="s">
        <v>215</v>
      </c>
      <c r="D134" s="70" t="s">
        <v>725</v>
      </c>
      <c r="E134" s="70"/>
      <c r="F134" s="32" t="s">
        <v>594</v>
      </c>
      <c r="G134" s="9">
        <v>67.135</v>
      </c>
      <c r="H134" s="37">
        <v>0</v>
      </c>
    </row>
    <row r="135" spans="1:8" ht="15" customHeight="1">
      <c r="A135" s="47"/>
      <c r="D135" s="50" t="s">
        <v>192</v>
      </c>
      <c r="E135" s="129" t="s">
        <v>852</v>
      </c>
      <c r="F135" s="129"/>
      <c r="G135" s="59">
        <v>67.135</v>
      </c>
      <c r="H135" s="23"/>
    </row>
    <row r="136" spans="1:8" ht="15" customHeight="1">
      <c r="A136" s="16" t="s">
        <v>1139</v>
      </c>
      <c r="B136" s="32" t="s">
        <v>5</v>
      </c>
      <c r="C136" s="32" t="s">
        <v>106</v>
      </c>
      <c r="D136" s="70" t="s">
        <v>1321</v>
      </c>
      <c r="E136" s="70"/>
      <c r="F136" s="32" t="s">
        <v>594</v>
      </c>
      <c r="G136" s="9">
        <v>4.401000000000001</v>
      </c>
      <c r="H136" s="37">
        <v>0</v>
      </c>
    </row>
    <row r="137" spans="1:8" ht="15" customHeight="1">
      <c r="A137" s="47"/>
      <c r="D137" s="50" t="s">
        <v>403</v>
      </c>
      <c r="E137" s="129" t="s">
        <v>852</v>
      </c>
      <c r="F137" s="129"/>
      <c r="G137" s="59">
        <v>4.401000000000001</v>
      </c>
      <c r="H137" s="23"/>
    </row>
    <row r="138" spans="1:8" ht="15" customHeight="1">
      <c r="A138" s="16" t="s">
        <v>812</v>
      </c>
      <c r="B138" s="32" t="s">
        <v>5</v>
      </c>
      <c r="C138" s="32" t="s">
        <v>1295</v>
      </c>
      <c r="D138" s="70" t="s">
        <v>170</v>
      </c>
      <c r="E138" s="70"/>
      <c r="F138" s="32" t="s">
        <v>594</v>
      </c>
      <c r="G138" s="9">
        <v>0.505</v>
      </c>
      <c r="H138" s="37">
        <v>0</v>
      </c>
    </row>
    <row r="139" spans="1:8" ht="15" customHeight="1">
      <c r="A139" s="47"/>
      <c r="D139" s="50" t="s">
        <v>300</v>
      </c>
      <c r="E139" s="129" t="s">
        <v>852</v>
      </c>
      <c r="F139" s="129"/>
      <c r="G139" s="59">
        <v>0.505</v>
      </c>
      <c r="H139" s="23"/>
    </row>
    <row r="140" spans="1:8" ht="15" customHeight="1">
      <c r="A140" s="16" t="s">
        <v>779</v>
      </c>
      <c r="B140" s="32" t="s">
        <v>5</v>
      </c>
      <c r="C140" s="32" t="s">
        <v>341</v>
      </c>
      <c r="D140" s="70" t="s">
        <v>228</v>
      </c>
      <c r="E140" s="70"/>
      <c r="F140" s="32" t="s">
        <v>594</v>
      </c>
      <c r="G140" s="9">
        <v>67.033</v>
      </c>
      <c r="H140" s="37">
        <v>0</v>
      </c>
    </row>
    <row r="141" spans="1:8" ht="15" customHeight="1">
      <c r="A141" s="47"/>
      <c r="D141" s="50" t="s">
        <v>51</v>
      </c>
      <c r="E141" s="129" t="s">
        <v>852</v>
      </c>
      <c r="F141" s="129"/>
      <c r="G141" s="59">
        <v>67.033</v>
      </c>
      <c r="H141" s="23"/>
    </row>
    <row r="142" spans="1:8" ht="15" customHeight="1">
      <c r="A142" s="16" t="s">
        <v>1165</v>
      </c>
      <c r="B142" s="32" t="s">
        <v>5</v>
      </c>
      <c r="C142" s="32" t="s">
        <v>585</v>
      </c>
      <c r="D142" s="70" t="s">
        <v>375</v>
      </c>
      <c r="E142" s="70"/>
      <c r="F142" s="32" t="s">
        <v>1213</v>
      </c>
      <c r="G142" s="9">
        <v>99.01</v>
      </c>
      <c r="H142" s="37">
        <v>0</v>
      </c>
    </row>
    <row r="143" spans="1:8" ht="15" customHeight="1">
      <c r="A143" s="47"/>
      <c r="D143" s="50" t="s">
        <v>499</v>
      </c>
      <c r="E143" s="129" t="s">
        <v>852</v>
      </c>
      <c r="F143" s="129"/>
      <c r="G143" s="59">
        <v>99.01</v>
      </c>
      <c r="H143" s="23"/>
    </row>
    <row r="144" spans="1:8" ht="15" customHeight="1">
      <c r="A144" s="16" t="s">
        <v>721</v>
      </c>
      <c r="B144" s="32" t="s">
        <v>5</v>
      </c>
      <c r="C144" s="32" t="s">
        <v>1184</v>
      </c>
      <c r="D144" s="70" t="s">
        <v>105</v>
      </c>
      <c r="E144" s="70"/>
      <c r="F144" s="32" t="s">
        <v>1159</v>
      </c>
      <c r="G144" s="9">
        <v>29.703000000000003</v>
      </c>
      <c r="H144" s="37">
        <v>0</v>
      </c>
    </row>
    <row r="145" spans="1:8" ht="15" customHeight="1">
      <c r="A145" s="47"/>
      <c r="D145" s="50" t="s">
        <v>712</v>
      </c>
      <c r="E145" s="129" t="s">
        <v>852</v>
      </c>
      <c r="F145" s="129"/>
      <c r="G145" s="59">
        <v>29.703000000000003</v>
      </c>
      <c r="H145" s="23"/>
    </row>
    <row r="146" spans="1:8" ht="15" customHeight="1">
      <c r="A146" s="16" t="s">
        <v>589</v>
      </c>
      <c r="B146" s="32" t="s">
        <v>5</v>
      </c>
      <c r="C146" s="32" t="s">
        <v>128</v>
      </c>
      <c r="D146" s="70" t="s">
        <v>730</v>
      </c>
      <c r="E146" s="70"/>
      <c r="F146" s="32" t="s">
        <v>1213</v>
      </c>
      <c r="G146" s="9">
        <v>103.69000000000001</v>
      </c>
      <c r="H146" s="37">
        <v>0</v>
      </c>
    </row>
    <row r="147" spans="1:8" ht="15" customHeight="1">
      <c r="A147" s="47"/>
      <c r="D147" s="50" t="s">
        <v>269</v>
      </c>
      <c r="E147" s="129" t="s">
        <v>852</v>
      </c>
      <c r="F147" s="129"/>
      <c r="G147" s="59">
        <v>103.69000000000001</v>
      </c>
      <c r="H147" s="23"/>
    </row>
    <row r="148" spans="1:8" ht="15" customHeight="1">
      <c r="A148" s="16" t="s">
        <v>150</v>
      </c>
      <c r="B148" s="32" t="s">
        <v>5</v>
      </c>
      <c r="C148" s="32" t="s">
        <v>8</v>
      </c>
      <c r="D148" s="70" t="s">
        <v>17</v>
      </c>
      <c r="E148" s="70"/>
      <c r="F148" s="32" t="s">
        <v>1213</v>
      </c>
      <c r="G148" s="9">
        <v>99.01</v>
      </c>
      <c r="H148" s="37">
        <v>0</v>
      </c>
    </row>
    <row r="149" spans="1:8" ht="15" customHeight="1">
      <c r="A149" s="47"/>
      <c r="D149" s="50" t="s">
        <v>499</v>
      </c>
      <c r="E149" s="129" t="s">
        <v>852</v>
      </c>
      <c r="F149" s="129"/>
      <c r="G149" s="59">
        <v>99.01</v>
      </c>
      <c r="H149" s="23"/>
    </row>
    <row r="150" spans="1:8" ht="15" customHeight="1">
      <c r="A150" s="16" t="s">
        <v>883</v>
      </c>
      <c r="B150" s="32" t="s">
        <v>5</v>
      </c>
      <c r="C150" s="32" t="s">
        <v>378</v>
      </c>
      <c r="D150" s="70" t="s">
        <v>286</v>
      </c>
      <c r="E150" s="70"/>
      <c r="F150" s="32" t="s">
        <v>1213</v>
      </c>
      <c r="G150" s="9">
        <v>108.91100000000002</v>
      </c>
      <c r="H150" s="37">
        <v>0</v>
      </c>
    </row>
    <row r="151" spans="1:8" ht="15" customHeight="1">
      <c r="A151" s="47"/>
      <c r="D151" s="50" t="s">
        <v>1420</v>
      </c>
      <c r="E151" s="129" t="s">
        <v>852</v>
      </c>
      <c r="F151" s="129"/>
      <c r="G151" s="59">
        <v>99.01</v>
      </c>
      <c r="H151" s="23"/>
    </row>
    <row r="152" spans="1:8" ht="15" customHeight="1">
      <c r="A152" s="16" t="s">
        <v>852</v>
      </c>
      <c r="B152" s="32" t="s">
        <v>852</v>
      </c>
      <c r="C152" s="32" t="s">
        <v>852</v>
      </c>
      <c r="D152" s="50" t="s">
        <v>423</v>
      </c>
      <c r="E152" s="129" t="s">
        <v>852</v>
      </c>
      <c r="F152" s="129"/>
      <c r="G152" s="59">
        <v>9.901000000000002</v>
      </c>
      <c r="H152" s="34" t="s">
        <v>852</v>
      </c>
    </row>
    <row r="153" spans="1:8" ht="15" customHeight="1">
      <c r="A153" s="16" t="s">
        <v>1400</v>
      </c>
      <c r="B153" s="32" t="s">
        <v>5</v>
      </c>
      <c r="C153" s="32" t="s">
        <v>1170</v>
      </c>
      <c r="D153" s="70" t="s">
        <v>975</v>
      </c>
      <c r="E153" s="70"/>
      <c r="F153" s="32" t="s">
        <v>594</v>
      </c>
      <c r="G153" s="9">
        <v>0.56</v>
      </c>
      <c r="H153" s="37">
        <v>0</v>
      </c>
    </row>
    <row r="154" spans="1:8" ht="15" customHeight="1">
      <c r="A154" s="47"/>
      <c r="D154" s="50" t="s">
        <v>856</v>
      </c>
      <c r="E154" s="129" t="s">
        <v>852</v>
      </c>
      <c r="F154" s="129"/>
      <c r="G154" s="59">
        <v>0.56</v>
      </c>
      <c r="H154" s="23"/>
    </row>
    <row r="155" spans="1:8" ht="15" customHeight="1">
      <c r="A155" s="16" t="s">
        <v>296</v>
      </c>
      <c r="B155" s="32" t="s">
        <v>5</v>
      </c>
      <c r="C155" s="32" t="s">
        <v>1011</v>
      </c>
      <c r="D155" s="70" t="s">
        <v>630</v>
      </c>
      <c r="E155" s="70"/>
      <c r="F155" s="32" t="s">
        <v>1026</v>
      </c>
      <c r="G155" s="9">
        <v>6.2</v>
      </c>
      <c r="H155" s="37">
        <v>0</v>
      </c>
    </row>
    <row r="156" spans="1:8" ht="15" customHeight="1">
      <c r="A156" s="16" t="s">
        <v>623</v>
      </c>
      <c r="B156" s="32" t="s">
        <v>5</v>
      </c>
      <c r="C156" s="32" t="s">
        <v>1117</v>
      </c>
      <c r="D156" s="70" t="s">
        <v>921</v>
      </c>
      <c r="E156" s="70"/>
      <c r="F156" s="32" t="s">
        <v>1026</v>
      </c>
      <c r="G156" s="9">
        <v>112.50000000000001</v>
      </c>
      <c r="H156" s="37">
        <v>0</v>
      </c>
    </row>
    <row r="157" spans="1:8" ht="15" customHeight="1">
      <c r="A157" s="16" t="s">
        <v>1390</v>
      </c>
      <c r="B157" s="32" t="s">
        <v>5</v>
      </c>
      <c r="C157" s="32" t="s">
        <v>431</v>
      </c>
      <c r="D157" s="70" t="s">
        <v>1005</v>
      </c>
      <c r="E157" s="70"/>
      <c r="F157" s="32" t="s">
        <v>861</v>
      </c>
      <c r="G157" s="9">
        <v>18</v>
      </c>
      <c r="H157" s="37">
        <v>0</v>
      </c>
    </row>
    <row r="158" spans="1:8" ht="15" customHeight="1">
      <c r="A158" s="16" t="s">
        <v>1300</v>
      </c>
      <c r="B158" s="32" t="s">
        <v>5</v>
      </c>
      <c r="C158" s="32" t="s">
        <v>837</v>
      </c>
      <c r="D158" s="70" t="s">
        <v>482</v>
      </c>
      <c r="E158" s="70"/>
      <c r="F158" s="32" t="s">
        <v>861</v>
      </c>
      <c r="G158" s="9">
        <v>14.000000000000002</v>
      </c>
      <c r="H158" s="37">
        <v>0</v>
      </c>
    </row>
    <row r="159" spans="1:8" ht="15" customHeight="1">
      <c r="A159" s="16" t="s">
        <v>23</v>
      </c>
      <c r="B159" s="32" t="s">
        <v>5</v>
      </c>
      <c r="C159" s="32" t="s">
        <v>442</v>
      </c>
      <c r="D159" s="70" t="s">
        <v>312</v>
      </c>
      <c r="E159" s="70"/>
      <c r="F159" s="32" t="s">
        <v>861</v>
      </c>
      <c r="G159" s="9">
        <v>2</v>
      </c>
      <c r="H159" s="37">
        <v>0</v>
      </c>
    </row>
    <row r="160" spans="1:8" ht="15" customHeight="1">
      <c r="A160" s="16" t="s">
        <v>208</v>
      </c>
      <c r="B160" s="32" t="s">
        <v>5</v>
      </c>
      <c r="C160" s="32" t="s">
        <v>578</v>
      </c>
      <c r="D160" s="70" t="s">
        <v>1365</v>
      </c>
      <c r="E160" s="70"/>
      <c r="F160" s="32" t="s">
        <v>861</v>
      </c>
      <c r="G160" s="9">
        <v>8</v>
      </c>
      <c r="H160" s="37">
        <v>0</v>
      </c>
    </row>
    <row r="161" spans="1:8" ht="15" customHeight="1">
      <c r="A161" s="16" t="s">
        <v>271</v>
      </c>
      <c r="B161" s="32" t="s">
        <v>5</v>
      </c>
      <c r="C161" s="32" t="s">
        <v>77</v>
      </c>
      <c r="D161" s="70" t="s">
        <v>854</v>
      </c>
      <c r="E161" s="70"/>
      <c r="F161" s="32" t="s">
        <v>861</v>
      </c>
      <c r="G161" s="9">
        <v>2</v>
      </c>
      <c r="H161" s="37">
        <v>0</v>
      </c>
    </row>
    <row r="162" spans="1:8" ht="15" customHeight="1">
      <c r="A162" s="16" t="s">
        <v>977</v>
      </c>
      <c r="B162" s="32" t="s">
        <v>5</v>
      </c>
      <c r="C162" s="32" t="s">
        <v>382</v>
      </c>
      <c r="D162" s="70" t="s">
        <v>665</v>
      </c>
      <c r="E162" s="70"/>
      <c r="F162" s="32" t="s">
        <v>1026</v>
      </c>
      <c r="G162" s="9">
        <v>5.500000000000001</v>
      </c>
      <c r="H162" s="37">
        <v>0</v>
      </c>
    </row>
    <row r="163" spans="1:8" ht="15" customHeight="1">
      <c r="A163" s="16" t="s">
        <v>110</v>
      </c>
      <c r="B163" s="32" t="s">
        <v>5</v>
      </c>
      <c r="C163" s="32" t="s">
        <v>1413</v>
      </c>
      <c r="D163" s="70" t="s">
        <v>109</v>
      </c>
      <c r="E163" s="70"/>
      <c r="F163" s="32" t="s">
        <v>1026</v>
      </c>
      <c r="G163" s="9">
        <v>5.500000000000001</v>
      </c>
      <c r="H163" s="37">
        <v>0</v>
      </c>
    </row>
    <row r="164" spans="1:8" ht="15" customHeight="1">
      <c r="A164" s="16" t="s">
        <v>965</v>
      </c>
      <c r="B164" s="32" t="s">
        <v>5</v>
      </c>
      <c r="C164" s="32" t="s">
        <v>440</v>
      </c>
      <c r="D164" s="70" t="s">
        <v>40</v>
      </c>
      <c r="E164" s="70"/>
      <c r="F164" s="32" t="s">
        <v>1026</v>
      </c>
      <c r="G164" s="9">
        <v>4.5</v>
      </c>
      <c r="H164" s="37">
        <v>0</v>
      </c>
    </row>
    <row r="165" spans="1:8" ht="15" customHeight="1">
      <c r="A165" s="16" t="s">
        <v>763</v>
      </c>
      <c r="B165" s="32" t="s">
        <v>5</v>
      </c>
      <c r="C165" s="32" t="s">
        <v>444</v>
      </c>
      <c r="D165" s="70" t="s">
        <v>42</v>
      </c>
      <c r="E165" s="70"/>
      <c r="F165" s="32" t="s">
        <v>1026</v>
      </c>
      <c r="G165" s="9">
        <v>45.50000000000001</v>
      </c>
      <c r="H165" s="37">
        <v>0</v>
      </c>
    </row>
    <row r="166" spans="1:8" ht="15" customHeight="1">
      <c r="A166" s="16" t="s">
        <v>1248</v>
      </c>
      <c r="B166" s="32" t="s">
        <v>5</v>
      </c>
      <c r="C166" s="32" t="s">
        <v>1229</v>
      </c>
      <c r="D166" s="70" t="s">
        <v>1376</v>
      </c>
      <c r="E166" s="70"/>
      <c r="F166" s="32" t="s">
        <v>1026</v>
      </c>
      <c r="G166" s="9">
        <v>21.5</v>
      </c>
      <c r="H166" s="37">
        <v>0</v>
      </c>
    </row>
    <row r="167" spans="1:8" ht="15" customHeight="1">
      <c r="A167" s="16" t="s">
        <v>1137</v>
      </c>
      <c r="B167" s="32" t="s">
        <v>5</v>
      </c>
      <c r="C167" s="32" t="s">
        <v>880</v>
      </c>
      <c r="D167" s="70" t="s">
        <v>738</v>
      </c>
      <c r="E167" s="70"/>
      <c r="F167" s="32" t="s">
        <v>1026</v>
      </c>
      <c r="G167" s="9">
        <v>94.50000000000001</v>
      </c>
      <c r="H167" s="37">
        <v>0</v>
      </c>
    </row>
    <row r="168" spans="1:8" ht="15" customHeight="1">
      <c r="A168" s="16" t="s">
        <v>825</v>
      </c>
      <c r="B168" s="32" t="s">
        <v>5</v>
      </c>
      <c r="C168" s="32" t="s">
        <v>469</v>
      </c>
      <c r="D168" s="70" t="s">
        <v>1193</v>
      </c>
      <c r="E168" s="70"/>
      <c r="F168" s="32" t="s">
        <v>1026</v>
      </c>
      <c r="G168" s="9">
        <v>4</v>
      </c>
      <c r="H168" s="37">
        <v>0</v>
      </c>
    </row>
    <row r="169" spans="1:8" ht="15" customHeight="1">
      <c r="A169" s="16" t="s">
        <v>644</v>
      </c>
      <c r="B169" s="32" t="s">
        <v>5</v>
      </c>
      <c r="C169" s="32" t="s">
        <v>834</v>
      </c>
      <c r="D169" s="70" t="s">
        <v>539</v>
      </c>
      <c r="E169" s="70"/>
      <c r="F169" s="32" t="s">
        <v>861</v>
      </c>
      <c r="G169" s="9">
        <v>58.00000000000001</v>
      </c>
      <c r="H169" s="37">
        <v>0</v>
      </c>
    </row>
    <row r="170" spans="1:8" ht="15" customHeight="1">
      <c r="A170" s="16" t="s">
        <v>290</v>
      </c>
      <c r="B170" s="32" t="s">
        <v>5</v>
      </c>
      <c r="C170" s="32" t="s">
        <v>1237</v>
      </c>
      <c r="D170" s="70" t="s">
        <v>509</v>
      </c>
      <c r="E170" s="70"/>
      <c r="F170" s="32" t="s">
        <v>861</v>
      </c>
      <c r="G170" s="9">
        <v>2</v>
      </c>
      <c r="H170" s="37">
        <v>0</v>
      </c>
    </row>
    <row r="171" spans="1:8" ht="15" customHeight="1">
      <c r="A171" s="16" t="s">
        <v>108</v>
      </c>
      <c r="B171" s="32" t="s">
        <v>5</v>
      </c>
      <c r="C171" s="32" t="s">
        <v>1273</v>
      </c>
      <c r="D171" s="70" t="s">
        <v>135</v>
      </c>
      <c r="E171" s="70"/>
      <c r="F171" s="32" t="s">
        <v>861</v>
      </c>
      <c r="G171" s="9">
        <v>9</v>
      </c>
      <c r="H171" s="37">
        <v>0</v>
      </c>
    </row>
    <row r="172" spans="1:8" ht="15" customHeight="1">
      <c r="A172" s="16" t="s">
        <v>1212</v>
      </c>
      <c r="B172" s="32" t="s">
        <v>5</v>
      </c>
      <c r="C172" s="32" t="s">
        <v>236</v>
      </c>
      <c r="D172" s="70" t="s">
        <v>563</v>
      </c>
      <c r="E172" s="70"/>
      <c r="F172" s="32" t="s">
        <v>861</v>
      </c>
      <c r="G172" s="9">
        <v>11.000000000000002</v>
      </c>
      <c r="H172" s="37">
        <v>0</v>
      </c>
    </row>
    <row r="173" spans="1:8" ht="15" customHeight="1">
      <c r="A173" s="16" t="s">
        <v>214</v>
      </c>
      <c r="B173" s="32" t="s">
        <v>5</v>
      </c>
      <c r="C173" s="32" t="s">
        <v>1309</v>
      </c>
      <c r="D173" s="70" t="s">
        <v>1111</v>
      </c>
      <c r="E173" s="70"/>
      <c r="F173" s="32" t="s">
        <v>861</v>
      </c>
      <c r="G173" s="9">
        <v>22.000000000000004</v>
      </c>
      <c r="H173" s="37">
        <v>0</v>
      </c>
    </row>
    <row r="174" spans="1:8" ht="15" customHeight="1">
      <c r="A174" s="16" t="s">
        <v>233</v>
      </c>
      <c r="B174" s="32" t="s">
        <v>5</v>
      </c>
      <c r="C174" s="32" t="s">
        <v>1424</v>
      </c>
      <c r="D174" s="70" t="s">
        <v>972</v>
      </c>
      <c r="E174" s="70"/>
      <c r="F174" s="32" t="s">
        <v>861</v>
      </c>
      <c r="G174" s="9">
        <v>2</v>
      </c>
      <c r="H174" s="37">
        <v>0</v>
      </c>
    </row>
    <row r="175" spans="1:8" ht="15" customHeight="1">
      <c r="A175" s="16" t="s">
        <v>1266</v>
      </c>
      <c r="B175" s="32" t="s">
        <v>5</v>
      </c>
      <c r="C175" s="32" t="s">
        <v>201</v>
      </c>
      <c r="D175" s="70" t="s">
        <v>131</v>
      </c>
      <c r="E175" s="70"/>
      <c r="F175" s="32" t="s">
        <v>861</v>
      </c>
      <c r="G175" s="9">
        <v>12.000000000000002</v>
      </c>
      <c r="H175" s="37">
        <v>0</v>
      </c>
    </row>
    <row r="176" spans="1:8" ht="15" customHeight="1">
      <c r="A176" s="16" t="s">
        <v>729</v>
      </c>
      <c r="B176" s="32" t="s">
        <v>5</v>
      </c>
      <c r="C176" s="32" t="s">
        <v>803</v>
      </c>
      <c r="D176" s="70" t="s">
        <v>1029</v>
      </c>
      <c r="E176" s="70"/>
      <c r="F176" s="32" t="s">
        <v>861</v>
      </c>
      <c r="G176" s="9">
        <v>2</v>
      </c>
      <c r="H176" s="37">
        <v>0</v>
      </c>
    </row>
    <row r="177" spans="1:8" ht="15" customHeight="1">
      <c r="A177" s="16" t="s">
        <v>621</v>
      </c>
      <c r="B177" s="32" t="s">
        <v>5</v>
      </c>
      <c r="C177" s="32" t="s">
        <v>422</v>
      </c>
      <c r="D177" s="70" t="s">
        <v>1080</v>
      </c>
      <c r="E177" s="70"/>
      <c r="F177" s="32" t="s">
        <v>861</v>
      </c>
      <c r="G177" s="9">
        <v>8</v>
      </c>
      <c r="H177" s="37">
        <v>0</v>
      </c>
    </row>
    <row r="178" spans="1:8" ht="15" customHeight="1">
      <c r="A178" s="16" t="s">
        <v>806</v>
      </c>
      <c r="B178" s="32" t="s">
        <v>5</v>
      </c>
      <c r="C178" s="32" t="s">
        <v>441</v>
      </c>
      <c r="D178" s="70" t="s">
        <v>1259</v>
      </c>
      <c r="E178" s="70"/>
      <c r="F178" s="32" t="s">
        <v>861</v>
      </c>
      <c r="G178" s="9">
        <v>2</v>
      </c>
      <c r="H178" s="37">
        <v>0</v>
      </c>
    </row>
    <row r="179" spans="1:8" ht="15" customHeight="1">
      <c r="A179" s="16" t="s">
        <v>59</v>
      </c>
      <c r="B179" s="32" t="s">
        <v>5</v>
      </c>
      <c r="C179" s="32" t="s">
        <v>1338</v>
      </c>
      <c r="D179" s="70" t="s">
        <v>164</v>
      </c>
      <c r="E179" s="70"/>
      <c r="F179" s="32" t="s">
        <v>861</v>
      </c>
      <c r="G179" s="9">
        <v>4</v>
      </c>
      <c r="H179" s="37">
        <v>0</v>
      </c>
    </row>
    <row r="180" spans="1:8" ht="15" customHeight="1">
      <c r="A180" s="16" t="s">
        <v>1346</v>
      </c>
      <c r="B180" s="32" t="s">
        <v>5</v>
      </c>
      <c r="C180" s="32" t="s">
        <v>1281</v>
      </c>
      <c r="D180" s="70" t="s">
        <v>1316</v>
      </c>
      <c r="E180" s="70"/>
      <c r="F180" s="32" t="s">
        <v>861</v>
      </c>
      <c r="G180" s="9">
        <v>3.0000000000000004</v>
      </c>
      <c r="H180" s="37">
        <v>0</v>
      </c>
    </row>
    <row r="181" spans="1:8" ht="15" customHeight="1">
      <c r="A181" s="16" t="s">
        <v>1329</v>
      </c>
      <c r="B181" s="32" t="s">
        <v>5</v>
      </c>
      <c r="C181" s="32" t="s">
        <v>1053</v>
      </c>
      <c r="D181" s="70" t="s">
        <v>132</v>
      </c>
      <c r="E181" s="70"/>
      <c r="F181" s="32" t="s">
        <v>861</v>
      </c>
      <c r="G181" s="9">
        <v>3.0000000000000004</v>
      </c>
      <c r="H181" s="37">
        <v>0</v>
      </c>
    </row>
    <row r="182" spans="1:8" ht="15" customHeight="1">
      <c r="A182" s="16" t="s">
        <v>1326</v>
      </c>
      <c r="B182" s="32" t="s">
        <v>5</v>
      </c>
      <c r="C182" s="32" t="s">
        <v>849</v>
      </c>
      <c r="D182" s="70" t="s">
        <v>1066</v>
      </c>
      <c r="E182" s="70"/>
      <c r="F182" s="32" t="s">
        <v>861</v>
      </c>
      <c r="G182" s="9">
        <v>4</v>
      </c>
      <c r="H182" s="37">
        <v>0</v>
      </c>
    </row>
    <row r="183" spans="1:8" ht="15" customHeight="1">
      <c r="A183" s="16" t="s">
        <v>56</v>
      </c>
      <c r="B183" s="32" t="s">
        <v>5</v>
      </c>
      <c r="C183" s="32" t="s">
        <v>521</v>
      </c>
      <c r="D183" s="70" t="s">
        <v>33</v>
      </c>
      <c r="E183" s="70"/>
      <c r="F183" s="32" t="s">
        <v>861</v>
      </c>
      <c r="G183" s="9">
        <v>2</v>
      </c>
      <c r="H183" s="37">
        <v>0</v>
      </c>
    </row>
    <row r="184" spans="1:8" ht="15" customHeight="1">
      <c r="A184" s="16" t="s">
        <v>3</v>
      </c>
      <c r="B184" s="32" t="s">
        <v>5</v>
      </c>
      <c r="C184" s="32" t="s">
        <v>1402</v>
      </c>
      <c r="D184" s="70" t="s">
        <v>616</v>
      </c>
      <c r="E184" s="70"/>
      <c r="F184" s="32" t="s">
        <v>861</v>
      </c>
      <c r="G184" s="9">
        <v>2</v>
      </c>
      <c r="H184" s="37">
        <v>0</v>
      </c>
    </row>
    <row r="185" spans="1:8" ht="15" customHeight="1">
      <c r="A185" s="16" t="s">
        <v>1121</v>
      </c>
      <c r="B185" s="32" t="s">
        <v>5</v>
      </c>
      <c r="C185" s="32" t="s">
        <v>498</v>
      </c>
      <c r="D185" s="70" t="s">
        <v>1174</v>
      </c>
      <c r="E185" s="70"/>
      <c r="F185" s="32" t="s">
        <v>861</v>
      </c>
      <c r="G185" s="9">
        <v>2</v>
      </c>
      <c r="H185" s="37">
        <v>0</v>
      </c>
    </row>
    <row r="186" spans="1:8" ht="15" customHeight="1">
      <c r="A186" s="16" t="s">
        <v>141</v>
      </c>
      <c r="B186" s="32" t="s">
        <v>5</v>
      </c>
      <c r="C186" s="32" t="s">
        <v>103</v>
      </c>
      <c r="D186" s="70" t="s">
        <v>1347</v>
      </c>
      <c r="E186" s="70"/>
      <c r="F186" s="32" t="s">
        <v>861</v>
      </c>
      <c r="G186" s="9">
        <v>2</v>
      </c>
      <c r="H186" s="37">
        <v>0</v>
      </c>
    </row>
    <row r="187" spans="1:8" ht="15" customHeight="1">
      <c r="A187" s="16" t="s">
        <v>522</v>
      </c>
      <c r="B187" s="32" t="s">
        <v>5</v>
      </c>
      <c r="C187" s="32" t="s">
        <v>364</v>
      </c>
      <c r="D187" s="70" t="s">
        <v>980</v>
      </c>
      <c r="E187" s="70"/>
      <c r="F187" s="32" t="s">
        <v>861</v>
      </c>
      <c r="G187" s="9">
        <v>2</v>
      </c>
      <c r="H187" s="37">
        <v>0</v>
      </c>
    </row>
    <row r="188" spans="1:8" ht="15" customHeight="1">
      <c r="A188" s="16" t="s">
        <v>686</v>
      </c>
      <c r="B188" s="32" t="s">
        <v>5</v>
      </c>
      <c r="C188" s="32" t="s">
        <v>1389</v>
      </c>
      <c r="D188" s="70" t="s">
        <v>25</v>
      </c>
      <c r="E188" s="70"/>
      <c r="F188" s="32" t="s">
        <v>1026</v>
      </c>
      <c r="G188" s="9">
        <v>50.00000000000001</v>
      </c>
      <c r="H188" s="37">
        <v>0</v>
      </c>
    </row>
    <row r="189" spans="1:8" ht="15" customHeight="1">
      <c r="A189" s="16" t="s">
        <v>139</v>
      </c>
      <c r="B189" s="32" t="s">
        <v>5</v>
      </c>
      <c r="C189" s="32" t="s">
        <v>667</v>
      </c>
      <c r="D189" s="70" t="s">
        <v>1349</v>
      </c>
      <c r="E189" s="70"/>
      <c r="F189" s="32" t="s">
        <v>861</v>
      </c>
      <c r="G189" s="9">
        <v>9</v>
      </c>
      <c r="H189" s="37">
        <v>0</v>
      </c>
    </row>
    <row r="190" spans="1:8" ht="15" customHeight="1">
      <c r="A190" s="16" t="s">
        <v>862</v>
      </c>
      <c r="B190" s="32" t="s">
        <v>5</v>
      </c>
      <c r="C190" s="32" t="s">
        <v>320</v>
      </c>
      <c r="D190" s="70" t="s">
        <v>744</v>
      </c>
      <c r="E190" s="70"/>
      <c r="F190" s="32" t="s">
        <v>861</v>
      </c>
      <c r="G190" s="9">
        <v>1</v>
      </c>
      <c r="H190" s="37">
        <v>0</v>
      </c>
    </row>
    <row r="191" spans="1:8" ht="15" customHeight="1">
      <c r="A191" s="16" t="s">
        <v>607</v>
      </c>
      <c r="B191" s="32" t="s">
        <v>5</v>
      </c>
      <c r="C191" s="32" t="s">
        <v>332</v>
      </c>
      <c r="D191" s="70" t="s">
        <v>817</v>
      </c>
      <c r="E191" s="70"/>
      <c r="F191" s="32" t="s">
        <v>798</v>
      </c>
      <c r="G191" s="9">
        <v>50.00000000000001</v>
      </c>
      <c r="H191" s="37">
        <v>0</v>
      </c>
    </row>
    <row r="192" spans="1:8" ht="15" customHeight="1">
      <c r="A192" s="16" t="s">
        <v>1015</v>
      </c>
      <c r="B192" s="32" t="s">
        <v>5</v>
      </c>
      <c r="C192" s="32" t="s">
        <v>505</v>
      </c>
      <c r="D192" s="70" t="s">
        <v>1288</v>
      </c>
      <c r="E192" s="70"/>
      <c r="F192" s="32" t="s">
        <v>1026</v>
      </c>
      <c r="G192" s="9">
        <v>181.00000000000003</v>
      </c>
      <c r="H192" s="37">
        <v>0</v>
      </c>
    </row>
    <row r="193" spans="1:8" ht="15" customHeight="1">
      <c r="A193" s="16" t="s">
        <v>1136</v>
      </c>
      <c r="B193" s="32" t="s">
        <v>5</v>
      </c>
      <c r="C193" s="32" t="s">
        <v>576</v>
      </c>
      <c r="D193" s="70" t="s">
        <v>1176</v>
      </c>
      <c r="E193" s="70"/>
      <c r="F193" s="32" t="s">
        <v>1026</v>
      </c>
      <c r="G193" s="9">
        <v>181.00000000000003</v>
      </c>
      <c r="H193" s="37">
        <v>0</v>
      </c>
    </row>
    <row r="194" spans="1:8" ht="15" customHeight="1">
      <c r="A194" s="16" t="s">
        <v>1076</v>
      </c>
      <c r="B194" s="32" t="s">
        <v>5</v>
      </c>
      <c r="C194" s="32" t="s">
        <v>625</v>
      </c>
      <c r="D194" s="70" t="s">
        <v>1277</v>
      </c>
      <c r="E194" s="70"/>
      <c r="F194" s="32" t="s">
        <v>1026</v>
      </c>
      <c r="G194" s="9">
        <v>181.00000000000003</v>
      </c>
      <c r="H194" s="37">
        <v>0</v>
      </c>
    </row>
    <row r="195" spans="1:8" ht="15" customHeight="1">
      <c r="A195" s="16" t="s">
        <v>38</v>
      </c>
      <c r="B195" s="32" t="s">
        <v>5</v>
      </c>
      <c r="C195" s="32" t="s">
        <v>681</v>
      </c>
      <c r="D195" s="70" t="s">
        <v>1061</v>
      </c>
      <c r="E195" s="70"/>
      <c r="F195" s="32" t="s">
        <v>861</v>
      </c>
      <c r="G195" s="9">
        <v>8</v>
      </c>
      <c r="H195" s="37">
        <v>0</v>
      </c>
    </row>
    <row r="196" spans="1:8" ht="15" customHeight="1">
      <c r="A196" s="16" t="s">
        <v>511</v>
      </c>
      <c r="B196" s="32" t="s">
        <v>5</v>
      </c>
      <c r="C196" s="32" t="s">
        <v>1308</v>
      </c>
      <c r="D196" s="70" t="s">
        <v>705</v>
      </c>
      <c r="E196" s="70"/>
      <c r="F196" s="32" t="s">
        <v>798</v>
      </c>
      <c r="G196" s="9">
        <v>25.000000000000004</v>
      </c>
      <c r="H196" s="37">
        <v>0</v>
      </c>
    </row>
    <row r="197" spans="1:8" ht="15" customHeight="1">
      <c r="A197" s="16" t="s">
        <v>158</v>
      </c>
      <c r="B197" s="32" t="s">
        <v>5</v>
      </c>
      <c r="C197" s="32" t="s">
        <v>544</v>
      </c>
      <c r="D197" s="70" t="s">
        <v>495</v>
      </c>
      <c r="E197" s="70"/>
      <c r="F197" s="32" t="s">
        <v>861</v>
      </c>
      <c r="G197" s="9">
        <v>1</v>
      </c>
      <c r="H197" s="37">
        <v>0</v>
      </c>
    </row>
    <row r="198" spans="1:8" ht="15" customHeight="1">
      <c r="A198" s="16" t="s">
        <v>1380</v>
      </c>
      <c r="B198" s="32" t="s">
        <v>5</v>
      </c>
      <c r="C198" s="32" t="s">
        <v>328</v>
      </c>
      <c r="D198" s="70" t="s">
        <v>1250</v>
      </c>
      <c r="E198" s="70"/>
      <c r="F198" s="32" t="s">
        <v>861</v>
      </c>
      <c r="G198" s="9">
        <v>1</v>
      </c>
      <c r="H198" s="37">
        <v>0</v>
      </c>
    </row>
    <row r="199" spans="1:8" ht="15" customHeight="1">
      <c r="A199" s="16" t="s">
        <v>612</v>
      </c>
      <c r="B199" s="32" t="s">
        <v>5</v>
      </c>
      <c r="C199" s="32" t="s">
        <v>1312</v>
      </c>
      <c r="D199" s="70" t="s">
        <v>1232</v>
      </c>
      <c r="E199" s="70"/>
      <c r="F199" s="32" t="s">
        <v>861</v>
      </c>
      <c r="G199" s="9">
        <v>1</v>
      </c>
      <c r="H199" s="37">
        <v>0</v>
      </c>
    </row>
    <row r="200" spans="1:8" ht="15" customHeight="1">
      <c r="A200" s="16" t="s">
        <v>1016</v>
      </c>
      <c r="B200" s="32" t="s">
        <v>5</v>
      </c>
      <c r="C200" s="32" t="s">
        <v>1100</v>
      </c>
      <c r="D200" s="70" t="s">
        <v>345</v>
      </c>
      <c r="E200" s="70"/>
      <c r="F200" s="32" t="s">
        <v>1026</v>
      </c>
      <c r="G200" s="9">
        <v>79.5</v>
      </c>
      <c r="H200" s="37">
        <v>0</v>
      </c>
    </row>
    <row r="201" spans="1:8" ht="15" customHeight="1">
      <c r="A201" s="16" t="s">
        <v>593</v>
      </c>
      <c r="B201" s="32" t="s">
        <v>5</v>
      </c>
      <c r="C201" s="32" t="s">
        <v>816</v>
      </c>
      <c r="D201" s="70" t="s">
        <v>1364</v>
      </c>
      <c r="E201" s="70"/>
      <c r="F201" s="32" t="s">
        <v>861</v>
      </c>
      <c r="G201" s="9">
        <v>8</v>
      </c>
      <c r="H201" s="37">
        <v>0</v>
      </c>
    </row>
    <row r="202" spans="1:8" ht="15" customHeight="1">
      <c r="A202" s="16" t="s">
        <v>789</v>
      </c>
      <c r="B202" s="32" t="s">
        <v>5</v>
      </c>
      <c r="C202" s="32" t="s">
        <v>688</v>
      </c>
      <c r="D202" s="70" t="s">
        <v>1382</v>
      </c>
      <c r="E202" s="70"/>
      <c r="F202" s="32" t="s">
        <v>861</v>
      </c>
      <c r="G202" s="9">
        <v>6.000000000000001</v>
      </c>
      <c r="H202" s="37">
        <v>0</v>
      </c>
    </row>
    <row r="203" spans="1:8" ht="15" customHeight="1">
      <c r="A203" s="16" t="s">
        <v>1359</v>
      </c>
      <c r="B203" s="32" t="s">
        <v>5</v>
      </c>
      <c r="C203" s="32" t="s">
        <v>1341</v>
      </c>
      <c r="D203" s="70" t="s">
        <v>1200</v>
      </c>
      <c r="E203" s="70"/>
      <c r="F203" s="32" t="s">
        <v>861</v>
      </c>
      <c r="G203" s="9">
        <v>4</v>
      </c>
      <c r="H203" s="37">
        <v>0</v>
      </c>
    </row>
    <row r="204" spans="1:8" ht="15" customHeight="1">
      <c r="A204" s="16" t="s">
        <v>864</v>
      </c>
      <c r="B204" s="32" t="s">
        <v>5</v>
      </c>
      <c r="C204" s="32" t="s">
        <v>1106</v>
      </c>
      <c r="D204" s="70" t="s">
        <v>1180</v>
      </c>
      <c r="E204" s="70"/>
      <c r="F204" s="32" t="s">
        <v>861</v>
      </c>
      <c r="G204" s="9">
        <v>1</v>
      </c>
      <c r="H204" s="37">
        <v>0</v>
      </c>
    </row>
    <row r="205" spans="1:8" ht="15" customHeight="1">
      <c r="A205" s="16" t="s">
        <v>1379</v>
      </c>
      <c r="B205" s="32" t="s">
        <v>5</v>
      </c>
      <c r="C205" s="32" t="s">
        <v>496</v>
      </c>
      <c r="D205" s="70" t="s">
        <v>1247</v>
      </c>
      <c r="E205" s="70"/>
      <c r="F205" s="32" t="s">
        <v>861</v>
      </c>
      <c r="G205" s="9">
        <v>1</v>
      </c>
      <c r="H205" s="37">
        <v>0</v>
      </c>
    </row>
    <row r="206" spans="1:8" ht="15" customHeight="1">
      <c r="A206" s="16" t="s">
        <v>1276</v>
      </c>
      <c r="B206" s="32" t="s">
        <v>5</v>
      </c>
      <c r="C206" s="32" t="s">
        <v>709</v>
      </c>
      <c r="D206" s="70" t="s">
        <v>39</v>
      </c>
      <c r="E206" s="70"/>
      <c r="F206" s="32" t="s">
        <v>1026</v>
      </c>
      <c r="G206" s="9">
        <v>199.50000000000003</v>
      </c>
      <c r="H206" s="37">
        <v>0</v>
      </c>
    </row>
    <row r="207" spans="1:8" ht="15" customHeight="1">
      <c r="A207" s="16" t="s">
        <v>1182</v>
      </c>
      <c r="B207" s="32" t="s">
        <v>5</v>
      </c>
      <c r="C207" s="32" t="s">
        <v>258</v>
      </c>
      <c r="D207" s="70" t="s">
        <v>1169</v>
      </c>
      <c r="E207" s="70"/>
      <c r="F207" s="32" t="s">
        <v>1026</v>
      </c>
      <c r="G207" s="9">
        <v>31.500000000000004</v>
      </c>
      <c r="H207" s="37">
        <v>0</v>
      </c>
    </row>
    <row r="208" spans="1:8" ht="15" customHeight="1">
      <c r="A208" s="16" t="s">
        <v>654</v>
      </c>
      <c r="B208" s="32" t="s">
        <v>5</v>
      </c>
      <c r="C208" s="32" t="s">
        <v>598</v>
      </c>
      <c r="D208" s="70" t="s">
        <v>213</v>
      </c>
      <c r="E208" s="70"/>
      <c r="F208" s="32" t="s">
        <v>1026</v>
      </c>
      <c r="G208" s="9">
        <v>15.000000000000002</v>
      </c>
      <c r="H208" s="37">
        <v>0</v>
      </c>
    </row>
    <row r="209" spans="1:8" ht="15" customHeight="1">
      <c r="A209" s="16" t="s">
        <v>596</v>
      </c>
      <c r="B209" s="32" t="s">
        <v>5</v>
      </c>
      <c r="C209" s="32" t="s">
        <v>923</v>
      </c>
      <c r="D209" s="70" t="s">
        <v>362</v>
      </c>
      <c r="E209" s="70"/>
      <c r="F209" s="32" t="s">
        <v>1026</v>
      </c>
      <c r="G209" s="9">
        <v>18.5</v>
      </c>
      <c r="H209" s="37">
        <v>0</v>
      </c>
    </row>
    <row r="210" spans="1:8" ht="15" customHeight="1">
      <c r="A210" s="16" t="s">
        <v>548</v>
      </c>
      <c r="B210" s="32" t="s">
        <v>5</v>
      </c>
      <c r="C210" s="32" t="s">
        <v>1268</v>
      </c>
      <c r="D210" s="70" t="s">
        <v>1163</v>
      </c>
      <c r="E210" s="70"/>
      <c r="F210" s="32" t="s">
        <v>1026</v>
      </c>
      <c r="G210" s="9">
        <v>199.50000000000003</v>
      </c>
      <c r="H210" s="37">
        <v>0</v>
      </c>
    </row>
    <row r="211" spans="1:8" ht="15" customHeight="1">
      <c r="A211" s="16" t="s">
        <v>224</v>
      </c>
      <c r="B211" s="32" t="s">
        <v>5</v>
      </c>
      <c r="C211" s="32" t="s">
        <v>1207</v>
      </c>
      <c r="D211" s="70" t="s">
        <v>802</v>
      </c>
      <c r="E211" s="70"/>
      <c r="F211" s="32" t="s">
        <v>1026</v>
      </c>
      <c r="G211" s="9">
        <v>31.500000000000004</v>
      </c>
      <c r="H211" s="37">
        <v>0</v>
      </c>
    </row>
    <row r="212" spans="1:8" ht="15" customHeight="1">
      <c r="A212" s="16" t="s">
        <v>295</v>
      </c>
      <c r="B212" s="32" t="s">
        <v>5</v>
      </c>
      <c r="C212" s="32" t="s">
        <v>579</v>
      </c>
      <c r="D212" s="70" t="s">
        <v>508</v>
      </c>
      <c r="E212" s="70"/>
      <c r="F212" s="32" t="s">
        <v>1026</v>
      </c>
      <c r="G212" s="9">
        <v>15.000000000000002</v>
      </c>
      <c r="H212" s="37">
        <v>0</v>
      </c>
    </row>
    <row r="213" spans="1:8" ht="15" customHeight="1">
      <c r="A213" s="16" t="s">
        <v>140</v>
      </c>
      <c r="B213" s="32" t="s">
        <v>5</v>
      </c>
      <c r="C213" s="32" t="s">
        <v>962</v>
      </c>
      <c r="D213" s="70" t="s">
        <v>152</v>
      </c>
      <c r="E213" s="70"/>
      <c r="F213" s="32" t="s">
        <v>1026</v>
      </c>
      <c r="G213" s="9">
        <v>18.5</v>
      </c>
      <c r="H213" s="37">
        <v>0</v>
      </c>
    </row>
    <row r="214" spans="1:8" ht="15" customHeight="1">
      <c r="A214" s="16" t="s">
        <v>175</v>
      </c>
      <c r="B214" s="32" t="s">
        <v>5</v>
      </c>
      <c r="C214" s="32" t="s">
        <v>494</v>
      </c>
      <c r="D214" s="70" t="s">
        <v>859</v>
      </c>
      <c r="E214" s="70"/>
      <c r="F214" s="32" t="s">
        <v>861</v>
      </c>
      <c r="G214" s="9">
        <v>20</v>
      </c>
      <c r="H214" s="37">
        <v>0</v>
      </c>
    </row>
    <row r="215" spans="1:8" ht="15" customHeight="1">
      <c r="A215" s="16" t="s">
        <v>1152</v>
      </c>
      <c r="B215" s="32" t="s">
        <v>5</v>
      </c>
      <c r="C215" s="32" t="s">
        <v>452</v>
      </c>
      <c r="D215" s="70" t="s">
        <v>1055</v>
      </c>
      <c r="E215" s="70"/>
      <c r="F215" s="32" t="s">
        <v>861</v>
      </c>
      <c r="G215" s="9">
        <v>2</v>
      </c>
      <c r="H215" s="37">
        <v>0</v>
      </c>
    </row>
    <row r="216" spans="1:8" ht="15" customHeight="1">
      <c r="A216" s="16" t="s">
        <v>897</v>
      </c>
      <c r="B216" s="32" t="s">
        <v>5</v>
      </c>
      <c r="C216" s="32" t="s">
        <v>550</v>
      </c>
      <c r="D216" s="70" t="s">
        <v>1113</v>
      </c>
      <c r="E216" s="70"/>
      <c r="F216" s="32" t="s">
        <v>861</v>
      </c>
      <c r="G216" s="9">
        <v>2</v>
      </c>
      <c r="H216" s="37">
        <v>0</v>
      </c>
    </row>
    <row r="217" spans="1:8" ht="15" customHeight="1">
      <c r="A217" s="16" t="s">
        <v>615</v>
      </c>
      <c r="B217" s="32" t="s">
        <v>5</v>
      </c>
      <c r="C217" s="32" t="s">
        <v>706</v>
      </c>
      <c r="D217" s="70" t="s">
        <v>685</v>
      </c>
      <c r="E217" s="70"/>
      <c r="F217" s="32" t="s">
        <v>861</v>
      </c>
      <c r="G217" s="9">
        <v>12.000000000000002</v>
      </c>
      <c r="H217" s="37">
        <v>0</v>
      </c>
    </row>
    <row r="218" spans="1:8" ht="15" customHeight="1">
      <c r="A218" s="16" t="s">
        <v>896</v>
      </c>
      <c r="B218" s="32" t="s">
        <v>5</v>
      </c>
      <c r="C218" s="32" t="s">
        <v>35</v>
      </c>
      <c r="D218" s="70" t="s">
        <v>1025</v>
      </c>
      <c r="E218" s="70"/>
      <c r="F218" s="32" t="s">
        <v>861</v>
      </c>
      <c r="G218" s="9">
        <v>2</v>
      </c>
      <c r="H218" s="37">
        <v>0</v>
      </c>
    </row>
    <row r="219" spans="1:8" ht="15" customHeight="1">
      <c r="A219" s="16" t="s">
        <v>430</v>
      </c>
      <c r="B219" s="32" t="s">
        <v>5</v>
      </c>
      <c r="C219" s="32" t="s">
        <v>1206</v>
      </c>
      <c r="D219" s="70" t="s">
        <v>1336</v>
      </c>
      <c r="E219" s="70"/>
      <c r="F219" s="32" t="s">
        <v>861</v>
      </c>
      <c r="G219" s="9">
        <v>8</v>
      </c>
      <c r="H219" s="37">
        <v>0</v>
      </c>
    </row>
    <row r="220" spans="1:8" ht="15" customHeight="1">
      <c r="A220" s="16" t="s">
        <v>586</v>
      </c>
      <c r="B220" s="32" t="s">
        <v>5</v>
      </c>
      <c r="C220" s="32" t="s">
        <v>507</v>
      </c>
      <c r="D220" s="70" t="s">
        <v>1090</v>
      </c>
      <c r="E220" s="70"/>
      <c r="F220" s="32" t="s">
        <v>861</v>
      </c>
      <c r="G220" s="9">
        <v>2</v>
      </c>
      <c r="H220" s="37">
        <v>0</v>
      </c>
    </row>
    <row r="221" spans="1:8" ht="15" customHeight="1">
      <c r="A221" s="16" t="s">
        <v>363</v>
      </c>
      <c r="B221" s="32" t="s">
        <v>5</v>
      </c>
      <c r="C221" s="32" t="s">
        <v>997</v>
      </c>
      <c r="D221" s="70" t="s">
        <v>333</v>
      </c>
      <c r="E221" s="70"/>
      <c r="F221" s="32" t="s">
        <v>861</v>
      </c>
      <c r="G221" s="9">
        <v>4</v>
      </c>
      <c r="H221" s="37">
        <v>0</v>
      </c>
    </row>
    <row r="222" spans="1:8" ht="15" customHeight="1">
      <c r="A222" s="16" t="s">
        <v>342</v>
      </c>
      <c r="B222" s="32" t="s">
        <v>5</v>
      </c>
      <c r="C222" s="32" t="s">
        <v>1262</v>
      </c>
      <c r="D222" s="70" t="s">
        <v>92</v>
      </c>
      <c r="E222" s="70"/>
      <c r="F222" s="32" t="s">
        <v>861</v>
      </c>
      <c r="G222" s="9">
        <v>2</v>
      </c>
      <c r="H222" s="37">
        <v>0</v>
      </c>
    </row>
    <row r="223" spans="1:8" ht="15" customHeight="1">
      <c r="A223" s="16" t="s">
        <v>1261</v>
      </c>
      <c r="B223" s="32" t="s">
        <v>5</v>
      </c>
      <c r="C223" s="32" t="s">
        <v>996</v>
      </c>
      <c r="D223" s="70" t="s">
        <v>273</v>
      </c>
      <c r="E223" s="70"/>
      <c r="F223" s="32" t="s">
        <v>861</v>
      </c>
      <c r="G223" s="9">
        <v>3.0000000000000004</v>
      </c>
      <c r="H223" s="37">
        <v>0</v>
      </c>
    </row>
    <row r="224" spans="1:8" ht="15" customHeight="1">
      <c r="A224" s="16" t="s">
        <v>483</v>
      </c>
      <c r="B224" s="32" t="s">
        <v>5</v>
      </c>
      <c r="C224" s="32" t="s">
        <v>1037</v>
      </c>
      <c r="D224" s="70" t="s">
        <v>546</v>
      </c>
      <c r="E224" s="70"/>
      <c r="F224" s="32" t="s">
        <v>861</v>
      </c>
      <c r="G224" s="9">
        <v>3.0000000000000004</v>
      </c>
      <c r="H224" s="37">
        <v>0</v>
      </c>
    </row>
    <row r="225" spans="1:8" ht="15" customHeight="1">
      <c r="A225" s="16" t="s">
        <v>351</v>
      </c>
      <c r="B225" s="32" t="s">
        <v>5</v>
      </c>
      <c r="C225" s="32" t="s">
        <v>1398</v>
      </c>
      <c r="D225" s="70" t="s">
        <v>257</v>
      </c>
      <c r="E225" s="70"/>
      <c r="F225" s="32" t="s">
        <v>861</v>
      </c>
      <c r="G225" s="9">
        <v>74</v>
      </c>
      <c r="H225" s="37">
        <v>0</v>
      </c>
    </row>
    <row r="226" spans="1:8" ht="15" customHeight="1">
      <c r="A226" s="16" t="s">
        <v>932</v>
      </c>
      <c r="B226" s="32" t="s">
        <v>5</v>
      </c>
      <c r="C226" s="32" t="s">
        <v>414</v>
      </c>
      <c r="D226" s="70" t="s">
        <v>643</v>
      </c>
      <c r="E226" s="70"/>
      <c r="F226" s="32" t="s">
        <v>861</v>
      </c>
      <c r="G226" s="9">
        <v>48.00000000000001</v>
      </c>
      <c r="H226" s="37">
        <v>0</v>
      </c>
    </row>
    <row r="227" spans="1:8" ht="15" customHeight="1">
      <c r="A227" s="16" t="s">
        <v>159</v>
      </c>
      <c r="B227" s="32" t="s">
        <v>5</v>
      </c>
      <c r="C227" s="32" t="s">
        <v>19</v>
      </c>
      <c r="D227" s="70" t="s">
        <v>549</v>
      </c>
      <c r="E227" s="70"/>
      <c r="F227" s="32" t="s">
        <v>861</v>
      </c>
      <c r="G227" s="9">
        <v>4</v>
      </c>
      <c r="H227" s="37">
        <v>0</v>
      </c>
    </row>
    <row r="228" spans="1:8" ht="15" customHeight="1">
      <c r="A228" s="16" t="s">
        <v>1147</v>
      </c>
      <c r="B228" s="32" t="s">
        <v>5</v>
      </c>
      <c r="C228" s="32" t="s">
        <v>914</v>
      </c>
      <c r="D228" s="70" t="s">
        <v>945</v>
      </c>
      <c r="E228" s="70"/>
      <c r="F228" s="32" t="s">
        <v>861</v>
      </c>
      <c r="G228" s="9">
        <v>4</v>
      </c>
      <c r="H228" s="37">
        <v>0</v>
      </c>
    </row>
    <row r="229" spans="1:8" ht="15" customHeight="1">
      <c r="A229" s="16" t="s">
        <v>309</v>
      </c>
      <c r="B229" s="32" t="s">
        <v>5</v>
      </c>
      <c r="C229" s="32" t="s">
        <v>265</v>
      </c>
      <c r="D229" s="70" t="s">
        <v>161</v>
      </c>
      <c r="E229" s="70"/>
      <c r="F229" s="32" t="s">
        <v>861</v>
      </c>
      <c r="G229" s="9">
        <v>1</v>
      </c>
      <c r="H229" s="37">
        <v>0</v>
      </c>
    </row>
    <row r="230" spans="1:8" ht="15" customHeight="1">
      <c r="A230" s="16" t="s">
        <v>186</v>
      </c>
      <c r="B230" s="32" t="s">
        <v>5</v>
      </c>
      <c r="C230" s="32" t="s">
        <v>21</v>
      </c>
      <c r="D230" s="70" t="s">
        <v>319</v>
      </c>
      <c r="E230" s="70"/>
      <c r="F230" s="32" t="s">
        <v>861</v>
      </c>
      <c r="G230" s="9">
        <v>2</v>
      </c>
      <c r="H230" s="37">
        <v>0</v>
      </c>
    </row>
    <row r="231" spans="1:8" ht="15" customHeight="1">
      <c r="A231" s="16" t="s">
        <v>360</v>
      </c>
      <c r="B231" s="32" t="s">
        <v>5</v>
      </c>
      <c r="C231" s="32" t="s">
        <v>1410</v>
      </c>
      <c r="D231" s="70" t="s">
        <v>1360</v>
      </c>
      <c r="E231" s="70"/>
      <c r="F231" s="32" t="s">
        <v>861</v>
      </c>
      <c r="G231" s="9">
        <v>1</v>
      </c>
      <c r="H231" s="37">
        <v>0</v>
      </c>
    </row>
    <row r="232" spans="1:8" ht="15" customHeight="1">
      <c r="A232" s="16" t="s">
        <v>406</v>
      </c>
      <c r="B232" s="32" t="s">
        <v>5</v>
      </c>
      <c r="C232" s="32" t="s">
        <v>930</v>
      </c>
      <c r="D232" s="70" t="s">
        <v>666</v>
      </c>
      <c r="E232" s="70"/>
      <c r="F232" s="32" t="s">
        <v>861</v>
      </c>
      <c r="G232" s="9">
        <v>2</v>
      </c>
      <c r="H232" s="37">
        <v>0</v>
      </c>
    </row>
    <row r="233" spans="1:8" ht="15" customHeight="1">
      <c r="A233" s="16" t="s">
        <v>275</v>
      </c>
      <c r="B233" s="32" t="s">
        <v>5</v>
      </c>
      <c r="C233" s="32" t="s">
        <v>608</v>
      </c>
      <c r="D233" s="70" t="s">
        <v>560</v>
      </c>
      <c r="E233" s="70"/>
      <c r="F233" s="32" t="s">
        <v>861</v>
      </c>
      <c r="G233" s="9">
        <v>1</v>
      </c>
      <c r="H233" s="37">
        <v>0</v>
      </c>
    </row>
    <row r="234" spans="1:8" ht="15" customHeight="1">
      <c r="A234" s="16" t="s">
        <v>530</v>
      </c>
      <c r="B234" s="32" t="s">
        <v>5</v>
      </c>
      <c r="C234" s="32" t="s">
        <v>1234</v>
      </c>
      <c r="D234" s="70" t="s">
        <v>771</v>
      </c>
      <c r="E234" s="70"/>
      <c r="F234" s="32" t="s">
        <v>861</v>
      </c>
      <c r="G234" s="9">
        <v>2</v>
      </c>
      <c r="H234" s="37">
        <v>0</v>
      </c>
    </row>
    <row r="235" spans="1:8" ht="15" customHeight="1">
      <c r="A235" s="16" t="s">
        <v>510</v>
      </c>
      <c r="B235" s="32" t="s">
        <v>5</v>
      </c>
      <c r="C235" s="32" t="s">
        <v>1315</v>
      </c>
      <c r="D235" s="70" t="s">
        <v>199</v>
      </c>
      <c r="E235" s="70"/>
      <c r="F235" s="32" t="s">
        <v>861</v>
      </c>
      <c r="G235" s="9">
        <v>1</v>
      </c>
      <c r="H235" s="37">
        <v>0</v>
      </c>
    </row>
    <row r="236" spans="1:8" ht="15" customHeight="1">
      <c r="A236" s="16" t="s">
        <v>670</v>
      </c>
      <c r="B236" s="32" t="s">
        <v>5</v>
      </c>
      <c r="C236" s="32" t="s">
        <v>365</v>
      </c>
      <c r="D236" s="70" t="s">
        <v>563</v>
      </c>
      <c r="E236" s="70"/>
      <c r="F236" s="32" t="s">
        <v>861</v>
      </c>
      <c r="G236" s="9">
        <v>8</v>
      </c>
      <c r="H236" s="37">
        <v>0</v>
      </c>
    </row>
    <row r="237" spans="1:8" ht="15" customHeight="1">
      <c r="A237" s="16" t="s">
        <v>143</v>
      </c>
      <c r="B237" s="32" t="s">
        <v>5</v>
      </c>
      <c r="C237" s="32" t="s">
        <v>1006</v>
      </c>
      <c r="D237" s="70" t="s">
        <v>1179</v>
      </c>
      <c r="E237" s="70"/>
      <c r="F237" s="32" t="s">
        <v>1026</v>
      </c>
      <c r="G237" s="9">
        <v>115.50000000000001</v>
      </c>
      <c r="H237" s="37">
        <v>0</v>
      </c>
    </row>
    <row r="238" spans="1:8" ht="15" customHeight="1">
      <c r="A238" s="16" t="s">
        <v>656</v>
      </c>
      <c r="B238" s="32" t="s">
        <v>5</v>
      </c>
      <c r="C238" s="32" t="s">
        <v>102</v>
      </c>
      <c r="D238" s="70" t="s">
        <v>1167</v>
      </c>
      <c r="E238" s="70"/>
      <c r="F238" s="32" t="s">
        <v>1026</v>
      </c>
      <c r="G238" s="9">
        <v>33.5</v>
      </c>
      <c r="H238" s="37">
        <v>0</v>
      </c>
    </row>
    <row r="239" spans="1:8" ht="15" customHeight="1">
      <c r="A239" s="16" t="s">
        <v>85</v>
      </c>
      <c r="B239" s="32" t="s">
        <v>5</v>
      </c>
      <c r="C239" s="32" t="s">
        <v>468</v>
      </c>
      <c r="D239" s="70" t="s">
        <v>601</v>
      </c>
      <c r="E239" s="70"/>
      <c r="F239" s="32" t="s">
        <v>861</v>
      </c>
      <c r="G239" s="9">
        <v>2</v>
      </c>
      <c r="H239" s="37">
        <v>0</v>
      </c>
    </row>
    <row r="240" spans="1:8" ht="15" customHeight="1">
      <c r="A240" s="16" t="s">
        <v>1350</v>
      </c>
      <c r="B240" s="32" t="s">
        <v>5</v>
      </c>
      <c r="C240" s="32" t="s">
        <v>191</v>
      </c>
      <c r="D240" s="70" t="s">
        <v>1357</v>
      </c>
      <c r="E240" s="70"/>
      <c r="F240" s="32" t="s">
        <v>861</v>
      </c>
      <c r="G240" s="9">
        <v>9</v>
      </c>
      <c r="H240" s="37">
        <v>0</v>
      </c>
    </row>
    <row r="241" spans="1:8" ht="15" customHeight="1">
      <c r="A241" s="16" t="s">
        <v>718</v>
      </c>
      <c r="B241" s="32" t="s">
        <v>5</v>
      </c>
      <c r="C241" s="32" t="s">
        <v>1104</v>
      </c>
      <c r="D241" s="70" t="s">
        <v>817</v>
      </c>
      <c r="E241" s="70"/>
      <c r="F241" s="32" t="s">
        <v>798</v>
      </c>
      <c r="G241" s="9">
        <v>40</v>
      </c>
      <c r="H241" s="37">
        <v>0</v>
      </c>
    </row>
    <row r="242" spans="1:8" ht="15" customHeight="1">
      <c r="A242" s="16" t="s">
        <v>537</v>
      </c>
      <c r="B242" s="32" t="s">
        <v>5</v>
      </c>
      <c r="C242" s="32" t="s">
        <v>127</v>
      </c>
      <c r="D242" s="70" t="s">
        <v>774</v>
      </c>
      <c r="E242" s="70"/>
      <c r="F242" s="32" t="s">
        <v>861</v>
      </c>
      <c r="G242" s="9">
        <v>1</v>
      </c>
      <c r="H242" s="37">
        <v>0</v>
      </c>
    </row>
    <row r="243" spans="1:8" ht="15" customHeight="1">
      <c r="A243" s="16" t="s">
        <v>368</v>
      </c>
      <c r="B243" s="32" t="s">
        <v>5</v>
      </c>
      <c r="C243" s="32" t="s">
        <v>1320</v>
      </c>
      <c r="D243" s="70" t="s">
        <v>790</v>
      </c>
      <c r="E243" s="70"/>
      <c r="F243" s="32" t="s">
        <v>861</v>
      </c>
      <c r="G243" s="9">
        <v>1</v>
      </c>
      <c r="H243" s="37">
        <v>0</v>
      </c>
    </row>
    <row r="244" spans="1:8" ht="15" customHeight="1">
      <c r="A244" s="16" t="s">
        <v>858</v>
      </c>
      <c r="B244" s="32" t="s">
        <v>5</v>
      </c>
      <c r="C244" s="32" t="s">
        <v>1177</v>
      </c>
      <c r="D244" s="70" t="s">
        <v>631</v>
      </c>
      <c r="E244" s="70"/>
      <c r="F244" s="32" t="s">
        <v>861</v>
      </c>
      <c r="G244" s="9">
        <v>2</v>
      </c>
      <c r="H244" s="37">
        <v>0</v>
      </c>
    </row>
    <row r="245" spans="1:8" ht="15" customHeight="1">
      <c r="A245" s="16" t="s">
        <v>1148</v>
      </c>
      <c r="B245" s="32" t="s">
        <v>5</v>
      </c>
      <c r="C245" s="32" t="s">
        <v>873</v>
      </c>
      <c r="D245" s="70" t="s">
        <v>920</v>
      </c>
      <c r="E245" s="70"/>
      <c r="F245" s="32" t="s">
        <v>1026</v>
      </c>
      <c r="G245" s="9">
        <v>264.5</v>
      </c>
      <c r="H245" s="37">
        <v>0</v>
      </c>
    </row>
    <row r="246" spans="1:8" ht="15" customHeight="1">
      <c r="A246" s="16" t="s">
        <v>305</v>
      </c>
      <c r="B246" s="32" t="s">
        <v>5</v>
      </c>
      <c r="C246" s="32" t="s">
        <v>534</v>
      </c>
      <c r="D246" s="70" t="s">
        <v>741</v>
      </c>
      <c r="E246" s="70"/>
      <c r="F246" s="32" t="s">
        <v>1026</v>
      </c>
      <c r="G246" s="9">
        <v>264.5</v>
      </c>
      <c r="H246" s="37">
        <v>0</v>
      </c>
    </row>
    <row r="247" spans="1:8" ht="15" customHeight="1">
      <c r="A247" s="16" t="s">
        <v>1324</v>
      </c>
      <c r="B247" s="32" t="s">
        <v>5</v>
      </c>
      <c r="C247" s="32" t="s">
        <v>492</v>
      </c>
      <c r="D247" s="70" t="s">
        <v>1070</v>
      </c>
      <c r="E247" s="70"/>
      <c r="F247" s="32" t="s">
        <v>1026</v>
      </c>
      <c r="G247" s="9">
        <v>264.5</v>
      </c>
      <c r="H247" s="37">
        <v>0</v>
      </c>
    </row>
    <row r="248" spans="1:8" ht="15" customHeight="1">
      <c r="A248" s="16" t="s">
        <v>533</v>
      </c>
      <c r="B248" s="32" t="s">
        <v>5</v>
      </c>
      <c r="C248" s="32" t="s">
        <v>1135</v>
      </c>
      <c r="D248" s="70" t="s">
        <v>705</v>
      </c>
      <c r="E248" s="70"/>
      <c r="F248" s="32" t="s">
        <v>798</v>
      </c>
      <c r="G248" s="9">
        <v>25.000000000000004</v>
      </c>
      <c r="H248" s="37">
        <v>0</v>
      </c>
    </row>
    <row r="249" spans="1:8" ht="15" customHeight="1">
      <c r="A249" s="16" t="s">
        <v>1132</v>
      </c>
      <c r="B249" s="32" t="s">
        <v>5</v>
      </c>
      <c r="C249" s="32" t="s">
        <v>1406</v>
      </c>
      <c r="D249" s="70" t="s">
        <v>495</v>
      </c>
      <c r="E249" s="70"/>
      <c r="F249" s="32" t="s">
        <v>861</v>
      </c>
      <c r="G249" s="9">
        <v>1</v>
      </c>
      <c r="H249" s="37">
        <v>0</v>
      </c>
    </row>
    <row r="250" spans="1:8" ht="15" customHeight="1">
      <c r="A250" s="16" t="s">
        <v>902</v>
      </c>
      <c r="B250" s="32" t="s">
        <v>5</v>
      </c>
      <c r="C250" s="32" t="s">
        <v>906</v>
      </c>
      <c r="D250" s="70" t="s">
        <v>1250</v>
      </c>
      <c r="E250" s="70"/>
      <c r="F250" s="32" t="s">
        <v>861</v>
      </c>
      <c r="G250" s="9">
        <v>1</v>
      </c>
      <c r="H250" s="37">
        <v>0</v>
      </c>
    </row>
    <row r="251" spans="1:8" ht="15" customHeight="1">
      <c r="A251" s="16" t="s">
        <v>1155</v>
      </c>
      <c r="B251" s="32" t="s">
        <v>5</v>
      </c>
      <c r="C251" s="32" t="s">
        <v>111</v>
      </c>
      <c r="D251" s="70" t="s">
        <v>1232</v>
      </c>
      <c r="E251" s="70"/>
      <c r="F251" s="32" t="s">
        <v>861</v>
      </c>
      <c r="G251" s="9">
        <v>1</v>
      </c>
      <c r="H251" s="37">
        <v>0</v>
      </c>
    </row>
    <row r="252" spans="1:8" ht="15" customHeight="1">
      <c r="A252" s="16" t="s">
        <v>225</v>
      </c>
      <c r="B252" s="32" t="s">
        <v>5</v>
      </c>
      <c r="C252" s="32" t="s">
        <v>1136</v>
      </c>
      <c r="D252" s="70" t="s">
        <v>343</v>
      </c>
      <c r="E252" s="70"/>
      <c r="F252" s="32" t="s">
        <v>861</v>
      </c>
      <c r="G252" s="9">
        <v>1</v>
      </c>
      <c r="H252" s="37">
        <v>0</v>
      </c>
    </row>
    <row r="253" spans="1:8" ht="15" customHeight="1">
      <c r="A253" s="16" t="s">
        <v>609</v>
      </c>
      <c r="B253" s="32" t="s">
        <v>5</v>
      </c>
      <c r="C253" s="32" t="s">
        <v>1344</v>
      </c>
      <c r="D253" s="70" t="s">
        <v>322</v>
      </c>
      <c r="E253" s="70"/>
      <c r="F253" s="32" t="s">
        <v>861</v>
      </c>
      <c r="G253" s="9">
        <v>1</v>
      </c>
      <c r="H253" s="37">
        <v>0</v>
      </c>
    </row>
    <row r="254" spans="1:8" ht="15" customHeight="1">
      <c r="A254" s="16" t="s">
        <v>679</v>
      </c>
      <c r="B254" s="32" t="s">
        <v>5</v>
      </c>
      <c r="C254" s="32" t="s">
        <v>230</v>
      </c>
      <c r="D254" s="70" t="s">
        <v>376</v>
      </c>
      <c r="E254" s="70"/>
      <c r="F254" s="32" t="s">
        <v>861</v>
      </c>
      <c r="G254" s="9">
        <v>1</v>
      </c>
      <c r="H254" s="37">
        <v>0</v>
      </c>
    </row>
    <row r="255" spans="1:8" ht="15" customHeight="1">
      <c r="A255" s="16" t="s">
        <v>1114</v>
      </c>
      <c r="B255" s="32" t="s">
        <v>5</v>
      </c>
      <c r="C255" s="32" t="s">
        <v>614</v>
      </c>
      <c r="D255" s="70" t="s">
        <v>702</v>
      </c>
      <c r="E255" s="70"/>
      <c r="F255" s="32" t="s">
        <v>861</v>
      </c>
      <c r="G255" s="9">
        <v>1</v>
      </c>
      <c r="H255" s="37">
        <v>0</v>
      </c>
    </row>
    <row r="256" spans="1:8" ht="15" customHeight="1">
      <c r="A256" s="16" t="s">
        <v>1257</v>
      </c>
      <c r="B256" s="32" t="s">
        <v>5</v>
      </c>
      <c r="C256" s="32" t="s">
        <v>511</v>
      </c>
      <c r="D256" s="70" t="s">
        <v>506</v>
      </c>
      <c r="E256" s="70"/>
      <c r="F256" s="32" t="s">
        <v>861</v>
      </c>
      <c r="G256" s="9">
        <v>3.0000000000000004</v>
      </c>
      <c r="H256" s="37">
        <v>0</v>
      </c>
    </row>
    <row r="257" spans="1:8" ht="15" customHeight="1">
      <c r="A257" s="16" t="s">
        <v>7</v>
      </c>
      <c r="B257" s="32" t="s">
        <v>5</v>
      </c>
      <c r="C257" s="32" t="s">
        <v>1293</v>
      </c>
      <c r="D257" s="70" t="s">
        <v>1074</v>
      </c>
      <c r="E257" s="70"/>
      <c r="F257" s="32" t="s">
        <v>861</v>
      </c>
      <c r="G257" s="9">
        <v>3.0000000000000004</v>
      </c>
      <c r="H257" s="37">
        <v>0</v>
      </c>
    </row>
    <row r="258" spans="1:8" ht="15" customHeight="1">
      <c r="A258" s="16" t="s">
        <v>48</v>
      </c>
      <c r="B258" s="32" t="s">
        <v>5</v>
      </c>
      <c r="C258" s="32" t="s">
        <v>1289</v>
      </c>
      <c r="D258" s="70" t="s">
        <v>702</v>
      </c>
      <c r="E258" s="70"/>
      <c r="F258" s="32" t="s">
        <v>861</v>
      </c>
      <c r="G258" s="9">
        <v>3.0000000000000004</v>
      </c>
      <c r="H258" s="37">
        <v>0</v>
      </c>
    </row>
    <row r="259" spans="1:8" ht="15" customHeight="1">
      <c r="A259" s="16" t="s">
        <v>74</v>
      </c>
      <c r="B259" s="32" t="s">
        <v>5</v>
      </c>
      <c r="C259" s="32" t="s">
        <v>158</v>
      </c>
      <c r="D259" s="70" t="s">
        <v>714</v>
      </c>
      <c r="E259" s="70"/>
      <c r="F259" s="32" t="s">
        <v>1026</v>
      </c>
      <c r="G259" s="9">
        <v>0.9</v>
      </c>
      <c r="H259" s="37">
        <v>0</v>
      </c>
    </row>
    <row r="260" spans="1:8" ht="15" customHeight="1">
      <c r="A260" s="16" t="s">
        <v>912</v>
      </c>
      <c r="B260" s="32" t="s">
        <v>5</v>
      </c>
      <c r="C260" s="32" t="s">
        <v>1380</v>
      </c>
      <c r="D260" s="70" t="s">
        <v>1140</v>
      </c>
      <c r="E260" s="70"/>
      <c r="F260" s="32" t="s">
        <v>1026</v>
      </c>
      <c r="G260" s="9">
        <v>3.6</v>
      </c>
      <c r="H260" s="37">
        <v>0</v>
      </c>
    </row>
    <row r="261" spans="1:8" ht="15" customHeight="1">
      <c r="A261" s="16" t="s">
        <v>1397</v>
      </c>
      <c r="B261" s="32" t="s">
        <v>5</v>
      </c>
      <c r="C261" s="32" t="s">
        <v>612</v>
      </c>
      <c r="D261" s="70" t="s">
        <v>173</v>
      </c>
      <c r="E261" s="70"/>
      <c r="F261" s="32" t="s">
        <v>1026</v>
      </c>
      <c r="G261" s="9">
        <v>18.5</v>
      </c>
      <c r="H261" s="37">
        <v>0</v>
      </c>
    </row>
    <row r="262" spans="1:8" ht="15" customHeight="1">
      <c r="A262" s="16" t="s">
        <v>355</v>
      </c>
      <c r="B262" s="32" t="s">
        <v>5</v>
      </c>
      <c r="C262" s="32" t="s">
        <v>789</v>
      </c>
      <c r="D262" s="70" t="s">
        <v>72</v>
      </c>
      <c r="E262" s="70"/>
      <c r="F262" s="32" t="s">
        <v>1026</v>
      </c>
      <c r="G262" s="9">
        <v>6.500000000000001</v>
      </c>
      <c r="H262" s="37">
        <v>0</v>
      </c>
    </row>
    <row r="263" spans="1:8" ht="15" customHeight="1">
      <c r="A263" s="16" t="s">
        <v>84</v>
      </c>
      <c r="B263" s="32" t="s">
        <v>5</v>
      </c>
      <c r="C263" s="32" t="s">
        <v>864</v>
      </c>
      <c r="D263" s="70" t="s">
        <v>49</v>
      </c>
      <c r="E263" s="70"/>
      <c r="F263" s="32" t="s">
        <v>861</v>
      </c>
      <c r="G263" s="9">
        <v>1</v>
      </c>
      <c r="H263" s="37">
        <v>0</v>
      </c>
    </row>
    <row r="264" spans="1:8" ht="15" customHeight="1">
      <c r="A264" s="16" t="s">
        <v>193</v>
      </c>
      <c r="B264" s="32" t="s">
        <v>5</v>
      </c>
      <c r="C264" s="32" t="s">
        <v>1379</v>
      </c>
      <c r="D264" s="70" t="s">
        <v>995</v>
      </c>
      <c r="E264" s="70"/>
      <c r="F264" s="32" t="s">
        <v>1026</v>
      </c>
      <c r="G264" s="9">
        <v>14.100000000000001</v>
      </c>
      <c r="H264" s="37">
        <v>0</v>
      </c>
    </row>
    <row r="265" spans="1:8" ht="15" customHeight="1">
      <c r="A265" s="16" t="s">
        <v>1129</v>
      </c>
      <c r="B265" s="32" t="s">
        <v>5</v>
      </c>
      <c r="C265" s="32" t="s">
        <v>1276</v>
      </c>
      <c r="D265" s="70" t="s">
        <v>648</v>
      </c>
      <c r="E265" s="70"/>
      <c r="F265" s="32" t="s">
        <v>861</v>
      </c>
      <c r="G265" s="9">
        <v>4</v>
      </c>
      <c r="H265" s="37">
        <v>0</v>
      </c>
    </row>
    <row r="266" spans="1:8" ht="15" customHeight="1">
      <c r="A266" s="16" t="s">
        <v>751</v>
      </c>
      <c r="B266" s="32" t="s">
        <v>5</v>
      </c>
      <c r="C266" s="32" t="s">
        <v>1182</v>
      </c>
      <c r="D266" s="70" t="s">
        <v>591</v>
      </c>
      <c r="E266" s="70"/>
      <c r="F266" s="32" t="s">
        <v>861</v>
      </c>
      <c r="G266" s="9">
        <v>2</v>
      </c>
      <c r="H266" s="37">
        <v>0</v>
      </c>
    </row>
    <row r="267" spans="1:8" ht="15" customHeight="1">
      <c r="A267" s="16" t="s">
        <v>354</v>
      </c>
      <c r="B267" s="32" t="s">
        <v>5</v>
      </c>
      <c r="C267" s="32" t="s">
        <v>654</v>
      </c>
      <c r="D267" s="70" t="s">
        <v>62</v>
      </c>
      <c r="E267" s="70"/>
      <c r="F267" s="32" t="s">
        <v>861</v>
      </c>
      <c r="G267" s="9">
        <v>4</v>
      </c>
      <c r="H267" s="37">
        <v>0</v>
      </c>
    </row>
    <row r="268" spans="1:8" ht="15" customHeight="1">
      <c r="A268" s="16" t="s">
        <v>1014</v>
      </c>
      <c r="B268" s="32" t="s">
        <v>5</v>
      </c>
      <c r="C268" s="32" t="s">
        <v>224</v>
      </c>
      <c r="D268" s="70" t="s">
        <v>835</v>
      </c>
      <c r="E268" s="70"/>
      <c r="F268" s="32" t="s">
        <v>861</v>
      </c>
      <c r="G268" s="9">
        <v>1</v>
      </c>
      <c r="H268" s="37">
        <v>0</v>
      </c>
    </row>
    <row r="269" spans="1:8" ht="15" customHeight="1">
      <c r="A269" s="16" t="s">
        <v>1297</v>
      </c>
      <c r="B269" s="32" t="s">
        <v>5</v>
      </c>
      <c r="C269" s="32" t="s">
        <v>175</v>
      </c>
      <c r="D269" s="70" t="s">
        <v>1298</v>
      </c>
      <c r="E269" s="70"/>
      <c r="F269" s="32" t="s">
        <v>861</v>
      </c>
      <c r="G269" s="9">
        <v>1</v>
      </c>
      <c r="H269" s="37">
        <v>0</v>
      </c>
    </row>
    <row r="270" spans="1:8" ht="15" customHeight="1">
      <c r="A270" s="16" t="s">
        <v>311</v>
      </c>
      <c r="B270" s="32" t="s">
        <v>5</v>
      </c>
      <c r="C270" s="32" t="s">
        <v>615</v>
      </c>
      <c r="D270" s="70" t="s">
        <v>886</v>
      </c>
      <c r="E270" s="70"/>
      <c r="F270" s="32" t="s">
        <v>861</v>
      </c>
      <c r="G270" s="9">
        <v>1</v>
      </c>
      <c r="H270" s="37">
        <v>0</v>
      </c>
    </row>
    <row r="271" spans="1:8" ht="15" customHeight="1">
      <c r="A271" s="16" t="s">
        <v>1340</v>
      </c>
      <c r="B271" s="32" t="s">
        <v>5</v>
      </c>
      <c r="C271" s="32" t="s">
        <v>586</v>
      </c>
      <c r="D271" s="70" t="s">
        <v>463</v>
      </c>
      <c r="E271" s="70"/>
      <c r="F271" s="32" t="s">
        <v>861</v>
      </c>
      <c r="G271" s="9">
        <v>1</v>
      </c>
      <c r="H271" s="37">
        <v>0</v>
      </c>
    </row>
    <row r="272" spans="1:8" ht="15" customHeight="1">
      <c r="A272" s="16" t="s">
        <v>420</v>
      </c>
      <c r="B272" s="32" t="s">
        <v>5</v>
      </c>
      <c r="C272" s="32" t="s">
        <v>1261</v>
      </c>
      <c r="D272" s="70" t="s">
        <v>260</v>
      </c>
      <c r="E272" s="70"/>
      <c r="F272" s="32" t="s">
        <v>861</v>
      </c>
      <c r="G272" s="9">
        <v>1</v>
      </c>
      <c r="H272" s="37">
        <v>0</v>
      </c>
    </row>
    <row r="273" spans="1:8" ht="15" customHeight="1">
      <c r="A273" s="16" t="s">
        <v>1004</v>
      </c>
      <c r="B273" s="32" t="s">
        <v>5</v>
      </c>
      <c r="C273" s="32" t="s">
        <v>932</v>
      </c>
      <c r="D273" s="70" t="s">
        <v>28</v>
      </c>
      <c r="E273" s="70"/>
      <c r="F273" s="32" t="s">
        <v>861</v>
      </c>
      <c r="G273" s="9">
        <v>4</v>
      </c>
      <c r="H273" s="37">
        <v>0</v>
      </c>
    </row>
    <row r="274" spans="1:8" ht="15" customHeight="1">
      <c r="A274" s="16" t="s">
        <v>657</v>
      </c>
      <c r="B274" s="32" t="s">
        <v>5</v>
      </c>
      <c r="C274" s="32" t="s">
        <v>309</v>
      </c>
      <c r="D274" s="70" t="s">
        <v>398</v>
      </c>
      <c r="E274" s="70"/>
      <c r="F274" s="32" t="s">
        <v>861</v>
      </c>
      <c r="G274" s="9">
        <v>8</v>
      </c>
      <c r="H274" s="37">
        <v>0</v>
      </c>
    </row>
    <row r="275" spans="1:8" ht="15" customHeight="1">
      <c r="A275" s="16" t="s">
        <v>32</v>
      </c>
      <c r="B275" s="32" t="s">
        <v>5</v>
      </c>
      <c r="C275" s="32" t="s">
        <v>186</v>
      </c>
      <c r="D275" s="70" t="s">
        <v>471</v>
      </c>
      <c r="E275" s="70"/>
      <c r="F275" s="32" t="s">
        <v>1213</v>
      </c>
      <c r="G275" s="9">
        <v>18.506</v>
      </c>
      <c r="H275" s="37">
        <v>0</v>
      </c>
    </row>
    <row r="276" spans="1:8" ht="15" customHeight="1">
      <c r="A276" s="16" t="s">
        <v>927</v>
      </c>
      <c r="B276" s="32" t="s">
        <v>5</v>
      </c>
      <c r="C276" s="32" t="s">
        <v>360</v>
      </c>
      <c r="D276" s="70" t="s">
        <v>833</v>
      </c>
      <c r="E276" s="70"/>
      <c r="F276" s="32" t="s">
        <v>1159</v>
      </c>
      <c r="G276" s="9">
        <v>27.000000000000004</v>
      </c>
      <c r="H276" s="37">
        <v>0</v>
      </c>
    </row>
    <row r="277" spans="1:8" ht="15" customHeight="1">
      <c r="A277" s="16" t="s">
        <v>1345</v>
      </c>
      <c r="B277" s="32" t="s">
        <v>5</v>
      </c>
      <c r="C277" s="32" t="s">
        <v>406</v>
      </c>
      <c r="D277" s="70" t="s">
        <v>329</v>
      </c>
      <c r="E277" s="70"/>
      <c r="F277" s="32" t="s">
        <v>1159</v>
      </c>
      <c r="G277" s="9">
        <v>18</v>
      </c>
      <c r="H277" s="37">
        <v>0</v>
      </c>
    </row>
    <row r="278" spans="1:8" ht="15" customHeight="1">
      <c r="A278" s="16" t="s">
        <v>1219</v>
      </c>
      <c r="B278" s="32" t="s">
        <v>5</v>
      </c>
      <c r="C278" s="32" t="s">
        <v>1318</v>
      </c>
      <c r="D278" s="70" t="s">
        <v>1149</v>
      </c>
      <c r="E278" s="70"/>
      <c r="F278" s="32" t="s">
        <v>317</v>
      </c>
      <c r="G278" s="9">
        <v>1</v>
      </c>
      <c r="H278" s="37">
        <v>0</v>
      </c>
    </row>
    <row r="279" spans="1:8" ht="15" customHeight="1">
      <c r="A279" s="16" t="s">
        <v>948</v>
      </c>
      <c r="B279" s="32" t="s">
        <v>5</v>
      </c>
      <c r="C279" s="32" t="s">
        <v>700</v>
      </c>
      <c r="D279" s="70" t="s">
        <v>487</v>
      </c>
      <c r="E279" s="70"/>
      <c r="F279" s="32" t="s">
        <v>317</v>
      </c>
      <c r="G279" s="9">
        <v>3.0000000000000004</v>
      </c>
      <c r="H279" s="37">
        <v>0</v>
      </c>
    </row>
    <row r="280" spans="1:8" ht="15" customHeight="1">
      <c r="A280" s="16" t="s">
        <v>777</v>
      </c>
      <c r="B280" s="32" t="s">
        <v>5</v>
      </c>
      <c r="C280" s="32" t="s">
        <v>664</v>
      </c>
      <c r="D280" s="70" t="s">
        <v>129</v>
      </c>
      <c r="E280" s="70"/>
      <c r="F280" s="32" t="s">
        <v>1026</v>
      </c>
      <c r="G280" s="9">
        <v>14.500000000000002</v>
      </c>
      <c r="H280" s="37">
        <v>0</v>
      </c>
    </row>
    <row r="281" spans="1:8" ht="15" customHeight="1">
      <c r="A281" s="16" t="s">
        <v>116</v>
      </c>
      <c r="B281" s="32" t="s">
        <v>5</v>
      </c>
      <c r="C281" s="32" t="s">
        <v>1396</v>
      </c>
      <c r="D281" s="70" t="s">
        <v>1073</v>
      </c>
      <c r="E281" s="70"/>
      <c r="F281" s="32" t="s">
        <v>861</v>
      </c>
      <c r="G281" s="9">
        <v>2</v>
      </c>
      <c r="H281" s="37">
        <v>0</v>
      </c>
    </row>
    <row r="282" spans="1:8" ht="15" customHeight="1">
      <c r="A282" s="16" t="s">
        <v>842</v>
      </c>
      <c r="B282" s="32" t="s">
        <v>5</v>
      </c>
      <c r="C282" s="32" t="s">
        <v>694</v>
      </c>
      <c r="D282" s="70" t="s">
        <v>1260</v>
      </c>
      <c r="E282" s="70"/>
      <c r="F282" s="32" t="s">
        <v>861</v>
      </c>
      <c r="G282" s="9">
        <v>8</v>
      </c>
      <c r="H282" s="37">
        <v>0</v>
      </c>
    </row>
    <row r="283" spans="1:8" ht="15" customHeight="1">
      <c r="A283" s="16" t="s">
        <v>955</v>
      </c>
      <c r="B283" s="32" t="s">
        <v>5</v>
      </c>
      <c r="C283" s="32" t="s">
        <v>1355</v>
      </c>
      <c r="D283" s="70" t="s">
        <v>392</v>
      </c>
      <c r="E283" s="70"/>
      <c r="F283" s="32" t="s">
        <v>264</v>
      </c>
      <c r="G283" s="9">
        <v>1</v>
      </c>
      <c r="H283" s="37">
        <v>0</v>
      </c>
    </row>
    <row r="284" spans="1:8" ht="15" customHeight="1">
      <c r="A284" s="16" t="s">
        <v>306</v>
      </c>
      <c r="B284" s="32" t="s">
        <v>5</v>
      </c>
      <c r="C284" s="32" t="s">
        <v>272</v>
      </c>
      <c r="D284" s="70" t="s">
        <v>817</v>
      </c>
      <c r="E284" s="70"/>
      <c r="F284" s="32" t="s">
        <v>798</v>
      </c>
      <c r="G284" s="9">
        <v>15.000000000000002</v>
      </c>
      <c r="H284" s="37">
        <v>0</v>
      </c>
    </row>
    <row r="285" spans="1:8" ht="15" customHeight="1">
      <c r="A285" s="16" t="s">
        <v>1401</v>
      </c>
      <c r="B285" s="32" t="s">
        <v>5</v>
      </c>
      <c r="C285" s="32" t="s">
        <v>735</v>
      </c>
      <c r="D285" s="70" t="s">
        <v>866</v>
      </c>
      <c r="E285" s="70"/>
      <c r="F285" s="32" t="s">
        <v>861</v>
      </c>
      <c r="G285" s="9">
        <v>1</v>
      </c>
      <c r="H285" s="37">
        <v>0</v>
      </c>
    </row>
    <row r="286" spans="1:8" ht="15" customHeight="1">
      <c r="A286" s="16" t="s">
        <v>707</v>
      </c>
      <c r="B286" s="32" t="s">
        <v>5</v>
      </c>
      <c r="C286" s="32" t="s">
        <v>918</v>
      </c>
      <c r="D286" s="70" t="s">
        <v>588</v>
      </c>
      <c r="E286" s="70"/>
      <c r="F286" s="32" t="s">
        <v>861</v>
      </c>
      <c r="G286" s="9">
        <v>1</v>
      </c>
      <c r="H286" s="37">
        <v>0</v>
      </c>
    </row>
    <row r="287" spans="1:8" ht="15" customHeight="1">
      <c r="A287" s="16" t="s">
        <v>316</v>
      </c>
      <c r="B287" s="32" t="s">
        <v>5</v>
      </c>
      <c r="C287" s="32" t="s">
        <v>210</v>
      </c>
      <c r="D287" s="70" t="s">
        <v>1093</v>
      </c>
      <c r="E287" s="70"/>
      <c r="F287" s="32" t="s">
        <v>861</v>
      </c>
      <c r="G287" s="9">
        <v>1</v>
      </c>
      <c r="H287" s="37">
        <v>0</v>
      </c>
    </row>
    <row r="288" spans="1:8" ht="15" customHeight="1">
      <c r="A288" s="16" t="s">
        <v>936</v>
      </c>
      <c r="B288" s="32" t="s">
        <v>5</v>
      </c>
      <c r="C288" s="32" t="s">
        <v>1075</v>
      </c>
      <c r="D288" s="70" t="s">
        <v>55</v>
      </c>
      <c r="E288" s="70"/>
      <c r="F288" s="32" t="s">
        <v>861</v>
      </c>
      <c r="G288" s="9">
        <v>1</v>
      </c>
      <c r="H288" s="37">
        <v>0</v>
      </c>
    </row>
    <row r="289" spans="1:8" ht="15" customHeight="1">
      <c r="A289" s="16" t="s">
        <v>636</v>
      </c>
      <c r="B289" s="32" t="s">
        <v>5</v>
      </c>
      <c r="C289" s="32" t="s">
        <v>857</v>
      </c>
      <c r="D289" s="70" t="s">
        <v>627</v>
      </c>
      <c r="E289" s="70"/>
      <c r="F289" s="32" t="s">
        <v>798</v>
      </c>
      <c r="G289" s="9">
        <v>50.00000000000001</v>
      </c>
      <c r="H289" s="37">
        <v>0</v>
      </c>
    </row>
    <row r="290" spans="1:8" ht="15" customHeight="1">
      <c r="A290" s="16" t="s">
        <v>13</v>
      </c>
      <c r="B290" s="32" t="s">
        <v>5</v>
      </c>
      <c r="C290" s="32" t="s">
        <v>350</v>
      </c>
      <c r="D290" s="70" t="s">
        <v>1423</v>
      </c>
      <c r="E290" s="70"/>
      <c r="F290" s="32" t="s">
        <v>798</v>
      </c>
      <c r="G290" s="9">
        <v>10</v>
      </c>
      <c r="H290" s="37">
        <v>0</v>
      </c>
    </row>
    <row r="291" spans="1:8" ht="15" customHeight="1">
      <c r="A291" s="16" t="s">
        <v>536</v>
      </c>
      <c r="B291" s="32" t="s">
        <v>5</v>
      </c>
      <c r="C291" s="32" t="s">
        <v>1133</v>
      </c>
      <c r="D291" s="70" t="s">
        <v>124</v>
      </c>
      <c r="E291" s="70"/>
      <c r="F291" s="32" t="s">
        <v>861</v>
      </c>
      <c r="G291" s="9">
        <v>1</v>
      </c>
      <c r="H291" s="37">
        <v>0</v>
      </c>
    </row>
    <row r="292" spans="1:8" ht="15" customHeight="1">
      <c r="A292" s="16" t="s">
        <v>436</v>
      </c>
      <c r="B292" s="32" t="s">
        <v>5</v>
      </c>
      <c r="C292" s="32" t="s">
        <v>1368</v>
      </c>
      <c r="D292" s="70" t="s">
        <v>705</v>
      </c>
      <c r="E292" s="70"/>
      <c r="F292" s="32" t="s">
        <v>798</v>
      </c>
      <c r="G292" s="9">
        <v>25.000000000000004</v>
      </c>
      <c r="H292" s="37">
        <v>0</v>
      </c>
    </row>
    <row r="293" spans="1:8" ht="15" customHeight="1">
      <c r="A293" s="16" t="s">
        <v>1318</v>
      </c>
      <c r="B293" s="32" t="s">
        <v>5</v>
      </c>
      <c r="C293" s="32" t="s">
        <v>885</v>
      </c>
      <c r="D293" s="70" t="s">
        <v>495</v>
      </c>
      <c r="E293" s="70"/>
      <c r="F293" s="32" t="s">
        <v>861</v>
      </c>
      <c r="G293" s="9">
        <v>1</v>
      </c>
      <c r="H293" s="37">
        <v>0</v>
      </c>
    </row>
    <row r="294" spans="1:8" ht="15" customHeight="1">
      <c r="A294" s="16" t="s">
        <v>700</v>
      </c>
      <c r="B294" s="32" t="s">
        <v>5</v>
      </c>
      <c r="C294" s="32" t="s">
        <v>1024</v>
      </c>
      <c r="D294" s="70" t="s">
        <v>1250</v>
      </c>
      <c r="E294" s="70"/>
      <c r="F294" s="32" t="s">
        <v>861</v>
      </c>
      <c r="G294" s="9">
        <v>1</v>
      </c>
      <c r="H294" s="37">
        <v>0</v>
      </c>
    </row>
    <row r="295" spans="1:8" ht="15" customHeight="1">
      <c r="A295" s="16" t="s">
        <v>664</v>
      </c>
      <c r="B295" s="32" t="s">
        <v>5</v>
      </c>
      <c r="C295" s="32" t="s">
        <v>831</v>
      </c>
      <c r="D295" s="70" t="s">
        <v>1232</v>
      </c>
      <c r="E295" s="70"/>
      <c r="F295" s="32" t="s">
        <v>861</v>
      </c>
      <c r="G295" s="9">
        <v>1</v>
      </c>
      <c r="H295" s="37">
        <v>0</v>
      </c>
    </row>
    <row r="296" spans="1:8" ht="15" customHeight="1">
      <c r="A296" s="16" t="s">
        <v>1048</v>
      </c>
      <c r="B296" s="32" t="s">
        <v>5</v>
      </c>
      <c r="C296" s="32" t="s">
        <v>577</v>
      </c>
      <c r="D296" s="70" t="s">
        <v>358</v>
      </c>
      <c r="E296" s="70"/>
      <c r="F296" s="32" t="s">
        <v>1026</v>
      </c>
      <c r="G296" s="9">
        <v>89.50000000000001</v>
      </c>
      <c r="H296" s="37">
        <v>0</v>
      </c>
    </row>
    <row r="297" spans="1:8" ht="15" customHeight="1">
      <c r="A297" s="16" t="s">
        <v>1141</v>
      </c>
      <c r="B297" s="32" t="s">
        <v>5</v>
      </c>
      <c r="C297" s="32" t="s">
        <v>947</v>
      </c>
      <c r="D297" s="70" t="s">
        <v>760</v>
      </c>
      <c r="E297" s="70"/>
      <c r="F297" s="32" t="s">
        <v>861</v>
      </c>
      <c r="G297" s="9">
        <v>8</v>
      </c>
      <c r="H297" s="37">
        <v>0</v>
      </c>
    </row>
    <row r="298" spans="1:8" ht="15" customHeight="1">
      <c r="A298" s="16" t="s">
        <v>1236</v>
      </c>
      <c r="B298" s="32" t="s">
        <v>5</v>
      </c>
      <c r="C298" s="32" t="s">
        <v>1377</v>
      </c>
      <c r="D298" s="70" t="s">
        <v>890</v>
      </c>
      <c r="E298" s="70"/>
      <c r="F298" s="32" t="s">
        <v>1026</v>
      </c>
      <c r="G298" s="9">
        <v>38.5</v>
      </c>
      <c r="H298" s="37">
        <v>0</v>
      </c>
    </row>
    <row r="299" spans="1:8" ht="15" customHeight="1">
      <c r="A299" s="16" t="s">
        <v>838</v>
      </c>
      <c r="B299" s="32" t="s">
        <v>5</v>
      </c>
      <c r="C299" s="32" t="s">
        <v>473</v>
      </c>
      <c r="D299" s="70" t="s">
        <v>701</v>
      </c>
      <c r="E299" s="70"/>
      <c r="F299" s="32" t="s">
        <v>1026</v>
      </c>
      <c r="G299" s="9">
        <v>13.500000000000002</v>
      </c>
      <c r="H299" s="37">
        <v>0</v>
      </c>
    </row>
    <row r="300" spans="1:8" ht="15" customHeight="1">
      <c r="A300" s="16" t="s">
        <v>1110</v>
      </c>
      <c r="B300" s="32" t="s">
        <v>5</v>
      </c>
      <c r="C300" s="32" t="s">
        <v>1245</v>
      </c>
      <c r="D300" s="70" t="s">
        <v>370</v>
      </c>
      <c r="E300" s="70"/>
      <c r="F300" s="32" t="s">
        <v>1026</v>
      </c>
      <c r="G300" s="9">
        <v>10.5</v>
      </c>
      <c r="H300" s="37">
        <v>0</v>
      </c>
    </row>
    <row r="301" spans="1:8" ht="15" customHeight="1">
      <c r="A301" s="16" t="s">
        <v>26</v>
      </c>
      <c r="B301" s="32" t="s">
        <v>5</v>
      </c>
      <c r="C301" s="32" t="s">
        <v>176</v>
      </c>
      <c r="D301" s="70" t="s">
        <v>1036</v>
      </c>
      <c r="E301" s="70"/>
      <c r="F301" s="32" t="s">
        <v>1026</v>
      </c>
      <c r="G301" s="9">
        <v>30.500000000000004</v>
      </c>
      <c r="H301" s="37">
        <v>0</v>
      </c>
    </row>
    <row r="302" spans="1:8" ht="15" customHeight="1">
      <c r="A302" s="16" t="s">
        <v>1328</v>
      </c>
      <c r="B302" s="32" t="s">
        <v>5</v>
      </c>
      <c r="C302" s="32" t="s">
        <v>1388</v>
      </c>
      <c r="D302" s="70" t="s">
        <v>58</v>
      </c>
      <c r="E302" s="70"/>
      <c r="F302" s="32" t="s">
        <v>1026</v>
      </c>
      <c r="G302" s="9">
        <v>1</v>
      </c>
      <c r="H302" s="37">
        <v>0</v>
      </c>
    </row>
    <row r="303" spans="1:8" ht="15" customHeight="1">
      <c r="A303" s="16" t="s">
        <v>934</v>
      </c>
      <c r="B303" s="32" t="s">
        <v>5</v>
      </c>
      <c r="C303" s="32" t="s">
        <v>126</v>
      </c>
      <c r="D303" s="70" t="s">
        <v>500</v>
      </c>
      <c r="E303" s="70"/>
      <c r="F303" s="32" t="s">
        <v>1026</v>
      </c>
      <c r="G303" s="9">
        <v>5.800000000000001</v>
      </c>
      <c r="H303" s="37">
        <v>0</v>
      </c>
    </row>
    <row r="304" spans="1:8" ht="15" customHeight="1">
      <c r="A304" s="16" t="s">
        <v>717</v>
      </c>
      <c r="B304" s="32" t="s">
        <v>5</v>
      </c>
      <c r="C304" s="32" t="s">
        <v>1239</v>
      </c>
      <c r="D304" s="70" t="s">
        <v>778</v>
      </c>
      <c r="E304" s="70"/>
      <c r="F304" s="32" t="s">
        <v>1026</v>
      </c>
      <c r="G304" s="9">
        <v>1.2000000000000002</v>
      </c>
      <c r="H304" s="37">
        <v>0</v>
      </c>
    </row>
    <row r="305" spans="1:8" ht="15" customHeight="1">
      <c r="A305" s="16" t="s">
        <v>1272</v>
      </c>
      <c r="B305" s="32" t="s">
        <v>5</v>
      </c>
      <c r="C305" s="32" t="s">
        <v>54</v>
      </c>
      <c r="D305" s="70" t="s">
        <v>1157</v>
      </c>
      <c r="E305" s="70"/>
      <c r="F305" s="32" t="s">
        <v>1026</v>
      </c>
      <c r="G305" s="9">
        <v>1.2000000000000002</v>
      </c>
      <c r="H305" s="37">
        <v>0</v>
      </c>
    </row>
    <row r="306" spans="1:8" ht="15" customHeight="1">
      <c r="A306" s="16" t="s">
        <v>1008</v>
      </c>
      <c r="B306" s="32" t="s">
        <v>5</v>
      </c>
      <c r="C306" s="32" t="s">
        <v>597</v>
      </c>
      <c r="D306" s="70" t="s">
        <v>1160</v>
      </c>
      <c r="E306" s="70"/>
      <c r="F306" s="32" t="s">
        <v>861</v>
      </c>
      <c r="G306" s="9">
        <v>2</v>
      </c>
      <c r="H306" s="37">
        <v>0</v>
      </c>
    </row>
    <row r="307" spans="1:8" ht="15" customHeight="1">
      <c r="A307" s="16" t="s">
        <v>1204</v>
      </c>
      <c r="B307" s="32" t="s">
        <v>5</v>
      </c>
      <c r="C307" s="32" t="s">
        <v>606</v>
      </c>
      <c r="D307" s="70" t="s">
        <v>776</v>
      </c>
      <c r="E307" s="70"/>
      <c r="F307" s="32" t="s">
        <v>861</v>
      </c>
      <c r="G307" s="9">
        <v>2</v>
      </c>
      <c r="H307" s="37">
        <v>0</v>
      </c>
    </row>
    <row r="308" spans="1:8" ht="15" customHeight="1">
      <c r="A308" s="16" t="s">
        <v>218</v>
      </c>
      <c r="B308" s="32" t="s">
        <v>5</v>
      </c>
      <c r="C308" s="32" t="s">
        <v>137</v>
      </c>
      <c r="D308" s="70" t="s">
        <v>1098</v>
      </c>
      <c r="E308" s="70"/>
      <c r="F308" s="32" t="s">
        <v>861</v>
      </c>
      <c r="G308" s="9">
        <v>4</v>
      </c>
      <c r="H308" s="37">
        <v>0</v>
      </c>
    </row>
    <row r="309" spans="1:8" ht="15" customHeight="1">
      <c r="A309" s="16" t="s">
        <v>1032</v>
      </c>
      <c r="B309" s="32" t="s">
        <v>5</v>
      </c>
      <c r="C309" s="32" t="s">
        <v>1265</v>
      </c>
      <c r="D309" s="70" t="s">
        <v>142</v>
      </c>
      <c r="E309" s="70"/>
      <c r="F309" s="32" t="s">
        <v>861</v>
      </c>
      <c r="G309" s="9">
        <v>8</v>
      </c>
      <c r="H309" s="37">
        <v>0</v>
      </c>
    </row>
    <row r="310" spans="1:8" ht="15" customHeight="1">
      <c r="A310" s="16" t="s">
        <v>1415</v>
      </c>
      <c r="B310" s="32" t="s">
        <v>5</v>
      </c>
      <c r="C310" s="32" t="s">
        <v>1039</v>
      </c>
      <c r="D310" s="70" t="s">
        <v>148</v>
      </c>
      <c r="E310" s="70"/>
      <c r="F310" s="32" t="s">
        <v>861</v>
      </c>
      <c r="G310" s="9">
        <v>8</v>
      </c>
      <c r="H310" s="37">
        <v>0</v>
      </c>
    </row>
    <row r="311" spans="1:8" ht="15" customHeight="1">
      <c r="A311" s="16" t="s">
        <v>324</v>
      </c>
      <c r="B311" s="32" t="s">
        <v>5</v>
      </c>
      <c r="C311" s="32" t="s">
        <v>37</v>
      </c>
      <c r="D311" s="70" t="s">
        <v>733</v>
      </c>
      <c r="E311" s="70"/>
      <c r="F311" s="32" t="s">
        <v>861</v>
      </c>
      <c r="G311" s="9">
        <v>8</v>
      </c>
      <c r="H311" s="37">
        <v>0</v>
      </c>
    </row>
    <row r="312" spans="1:8" ht="15" customHeight="1">
      <c r="A312" s="16" t="s">
        <v>488</v>
      </c>
      <c r="B312" s="32" t="s">
        <v>5</v>
      </c>
      <c r="C312" s="32" t="s">
        <v>958</v>
      </c>
      <c r="D312" s="70" t="s">
        <v>266</v>
      </c>
      <c r="E312" s="70"/>
      <c r="F312" s="32" t="s">
        <v>861</v>
      </c>
      <c r="G312" s="9">
        <v>8</v>
      </c>
      <c r="H312" s="37">
        <v>0</v>
      </c>
    </row>
    <row r="313" spans="1:8" ht="15" customHeight="1">
      <c r="A313" s="16" t="s">
        <v>451</v>
      </c>
      <c r="B313" s="32" t="s">
        <v>5</v>
      </c>
      <c r="C313" s="32" t="s">
        <v>383</v>
      </c>
      <c r="D313" s="70" t="s">
        <v>318</v>
      </c>
      <c r="E313" s="70"/>
      <c r="F313" s="32" t="s">
        <v>861</v>
      </c>
      <c r="G313" s="9">
        <v>8</v>
      </c>
      <c r="H313" s="37">
        <v>0</v>
      </c>
    </row>
    <row r="314" spans="1:8" ht="15" customHeight="1">
      <c r="A314" s="16" t="s">
        <v>808</v>
      </c>
      <c r="B314" s="32" t="s">
        <v>5</v>
      </c>
      <c r="C314" s="32" t="s">
        <v>361</v>
      </c>
      <c r="D314" s="70" t="s">
        <v>308</v>
      </c>
      <c r="E314" s="70"/>
      <c r="F314" s="32" t="s">
        <v>861</v>
      </c>
      <c r="G314" s="9">
        <v>8</v>
      </c>
      <c r="H314" s="37">
        <v>0</v>
      </c>
    </row>
    <row r="315" spans="1:8" ht="15" customHeight="1">
      <c r="A315" s="16" t="s">
        <v>198</v>
      </c>
      <c r="B315" s="32" t="s">
        <v>5</v>
      </c>
      <c r="C315" s="32" t="s">
        <v>919</v>
      </c>
      <c r="D315" s="70" t="s">
        <v>1373</v>
      </c>
      <c r="E315" s="70"/>
      <c r="F315" s="32" t="s">
        <v>861</v>
      </c>
      <c r="G315" s="9">
        <v>8</v>
      </c>
      <c r="H315" s="37">
        <v>0</v>
      </c>
    </row>
    <row r="316" spans="1:8" ht="15" customHeight="1">
      <c r="A316" s="16" t="s">
        <v>480</v>
      </c>
      <c r="B316" s="32" t="s">
        <v>5</v>
      </c>
      <c r="C316" s="32" t="s">
        <v>234</v>
      </c>
      <c r="D316" s="70" t="s">
        <v>635</v>
      </c>
      <c r="E316" s="70"/>
      <c r="F316" s="32" t="s">
        <v>861</v>
      </c>
      <c r="G316" s="9">
        <v>8</v>
      </c>
      <c r="H316" s="37">
        <v>0</v>
      </c>
    </row>
    <row r="317" spans="1:8" ht="15" customHeight="1">
      <c r="A317" s="16" t="s">
        <v>1033</v>
      </c>
      <c r="B317" s="32" t="s">
        <v>5</v>
      </c>
      <c r="C317" s="32" t="s">
        <v>372</v>
      </c>
      <c r="D317" s="70" t="s">
        <v>246</v>
      </c>
      <c r="E317" s="70"/>
      <c r="F317" s="32" t="s">
        <v>798</v>
      </c>
      <c r="G317" s="9">
        <v>10</v>
      </c>
      <c r="H317" s="37">
        <v>0</v>
      </c>
    </row>
    <row r="318" spans="1:8" ht="15" customHeight="1">
      <c r="A318" s="16" t="s">
        <v>29</v>
      </c>
      <c r="B318" s="32" t="s">
        <v>5</v>
      </c>
      <c r="C318" s="32" t="s">
        <v>212</v>
      </c>
      <c r="D318" s="70" t="s">
        <v>677</v>
      </c>
      <c r="E318" s="70"/>
      <c r="F318" s="32" t="s">
        <v>798</v>
      </c>
      <c r="G318" s="9">
        <v>15.000000000000002</v>
      </c>
      <c r="H318" s="37">
        <v>0</v>
      </c>
    </row>
    <row r="319" spans="1:8" ht="15" customHeight="1">
      <c r="A319" s="16" t="s">
        <v>559</v>
      </c>
      <c r="B319" s="32" t="s">
        <v>5</v>
      </c>
      <c r="C319" s="32" t="s">
        <v>1161</v>
      </c>
      <c r="D319" s="70" t="s">
        <v>330</v>
      </c>
      <c r="E319" s="70"/>
      <c r="F319" s="32" t="s">
        <v>861</v>
      </c>
      <c r="G319" s="9">
        <v>1</v>
      </c>
      <c r="H319" s="37">
        <v>0</v>
      </c>
    </row>
    <row r="320" spans="1:8" ht="15" customHeight="1">
      <c r="A320" s="16" t="s">
        <v>52</v>
      </c>
      <c r="B320" s="32" t="s">
        <v>5</v>
      </c>
      <c r="C320" s="32" t="s">
        <v>1185</v>
      </c>
      <c r="D320" s="70" t="s">
        <v>601</v>
      </c>
      <c r="E320" s="70"/>
      <c r="F320" s="32" t="s">
        <v>861</v>
      </c>
      <c r="G320" s="9">
        <v>2</v>
      </c>
      <c r="H320" s="37">
        <v>0</v>
      </c>
    </row>
    <row r="321" spans="1:8" ht="15" customHeight="1">
      <c r="A321" s="16" t="s">
        <v>242</v>
      </c>
      <c r="B321" s="32" t="s">
        <v>5</v>
      </c>
      <c r="C321" s="32" t="s">
        <v>219</v>
      </c>
      <c r="D321" s="70" t="s">
        <v>1357</v>
      </c>
      <c r="E321" s="70"/>
      <c r="F321" s="32" t="s">
        <v>861</v>
      </c>
      <c r="G321" s="9">
        <v>1</v>
      </c>
      <c r="H321" s="37">
        <v>0</v>
      </c>
    </row>
    <row r="322" spans="1:8" ht="15" customHeight="1">
      <c r="A322" s="16" t="s">
        <v>297</v>
      </c>
      <c r="B322" s="32" t="s">
        <v>5</v>
      </c>
      <c r="C322" s="32" t="s">
        <v>78</v>
      </c>
      <c r="D322" s="70" t="s">
        <v>1167</v>
      </c>
      <c r="E322" s="70"/>
      <c r="F322" s="32" t="s">
        <v>1026</v>
      </c>
      <c r="G322" s="9">
        <v>5.800000000000001</v>
      </c>
      <c r="H322" s="37">
        <v>0</v>
      </c>
    </row>
    <row r="323" spans="1:8" ht="15" customHeight="1">
      <c r="A323" s="16" t="s">
        <v>231</v>
      </c>
      <c r="B323" s="32" t="s">
        <v>5</v>
      </c>
      <c r="C323" s="32" t="s">
        <v>1068</v>
      </c>
      <c r="D323" s="70" t="s">
        <v>817</v>
      </c>
      <c r="E323" s="70"/>
      <c r="F323" s="32" t="s">
        <v>861</v>
      </c>
      <c r="G323" s="9">
        <v>0</v>
      </c>
      <c r="H323" s="37">
        <v>0</v>
      </c>
    </row>
    <row r="324" spans="1:8" ht="15" customHeight="1">
      <c r="A324" s="16" t="s">
        <v>395</v>
      </c>
      <c r="B324" s="32" t="s">
        <v>5</v>
      </c>
      <c r="C324" s="32" t="s">
        <v>650</v>
      </c>
      <c r="D324" s="70" t="s">
        <v>254</v>
      </c>
      <c r="E324" s="70"/>
      <c r="F324" s="32" t="s">
        <v>861</v>
      </c>
      <c r="G324" s="9">
        <v>1</v>
      </c>
      <c r="H324" s="37">
        <v>0</v>
      </c>
    </row>
    <row r="325" spans="1:8" ht="15" customHeight="1">
      <c r="A325" s="16" t="s">
        <v>645</v>
      </c>
      <c r="B325" s="32" t="s">
        <v>5</v>
      </c>
      <c r="C325" s="32" t="s">
        <v>374</v>
      </c>
      <c r="D325" s="70" t="s">
        <v>1012</v>
      </c>
      <c r="E325" s="70"/>
      <c r="F325" s="32" t="s">
        <v>861</v>
      </c>
      <c r="G325" s="9">
        <v>1</v>
      </c>
      <c r="H325" s="37">
        <v>0</v>
      </c>
    </row>
    <row r="326" spans="1:8" ht="15" customHeight="1">
      <c r="A326" s="16" t="s">
        <v>905</v>
      </c>
      <c r="B326" s="32" t="s">
        <v>5</v>
      </c>
      <c r="C326" s="32" t="s">
        <v>1286</v>
      </c>
      <c r="D326" s="70" t="s">
        <v>67</v>
      </c>
      <c r="E326" s="70"/>
      <c r="F326" s="32" t="s">
        <v>861</v>
      </c>
      <c r="G326" s="9">
        <v>2</v>
      </c>
      <c r="H326" s="37">
        <v>0</v>
      </c>
    </row>
    <row r="327" spans="1:8" ht="15" customHeight="1">
      <c r="A327" s="16" t="s">
        <v>155</v>
      </c>
      <c r="B327" s="32" t="s">
        <v>5</v>
      </c>
      <c r="C327" s="32" t="s">
        <v>501</v>
      </c>
      <c r="D327" s="70" t="s">
        <v>631</v>
      </c>
      <c r="E327" s="70"/>
      <c r="F327" s="32" t="s">
        <v>861</v>
      </c>
      <c r="G327" s="9">
        <v>4</v>
      </c>
      <c r="H327" s="37">
        <v>0</v>
      </c>
    </row>
    <row r="328" spans="1:8" ht="15" customHeight="1">
      <c r="A328" s="16" t="s">
        <v>1240</v>
      </c>
      <c r="B328" s="32" t="s">
        <v>5</v>
      </c>
      <c r="C328" s="32" t="s">
        <v>514</v>
      </c>
      <c r="D328" s="70" t="s">
        <v>1362</v>
      </c>
      <c r="E328" s="70"/>
      <c r="F328" s="32" t="s">
        <v>861</v>
      </c>
      <c r="G328" s="9">
        <v>2</v>
      </c>
      <c r="H328" s="37">
        <v>0</v>
      </c>
    </row>
    <row r="329" spans="1:8" ht="15" customHeight="1">
      <c r="A329" s="16" t="s">
        <v>66</v>
      </c>
      <c r="B329" s="32" t="s">
        <v>5</v>
      </c>
      <c r="C329" s="32" t="s">
        <v>824</v>
      </c>
      <c r="D329" s="70" t="s">
        <v>836</v>
      </c>
      <c r="E329" s="70"/>
      <c r="F329" s="32" t="s">
        <v>861</v>
      </c>
      <c r="G329" s="9">
        <v>4</v>
      </c>
      <c r="H329" s="37">
        <v>0</v>
      </c>
    </row>
    <row r="330" spans="1:8" ht="15" customHeight="1">
      <c r="A330" s="16" t="s">
        <v>684</v>
      </c>
      <c r="B330" s="32" t="s">
        <v>5</v>
      </c>
      <c r="C330" s="32" t="s">
        <v>1150</v>
      </c>
      <c r="D330" s="70" t="s">
        <v>352</v>
      </c>
      <c r="E330" s="70"/>
      <c r="F330" s="32" t="s">
        <v>861</v>
      </c>
      <c r="G330" s="9">
        <v>1</v>
      </c>
      <c r="H330" s="37">
        <v>0</v>
      </c>
    </row>
    <row r="331" spans="1:8" ht="15" customHeight="1">
      <c r="A331" s="16" t="s">
        <v>1370</v>
      </c>
      <c r="B331" s="32" t="s">
        <v>5</v>
      </c>
      <c r="C331" s="32" t="s">
        <v>805</v>
      </c>
      <c r="D331" s="70" t="s">
        <v>705</v>
      </c>
      <c r="E331" s="70"/>
      <c r="F331" s="32" t="s">
        <v>798</v>
      </c>
      <c r="G331" s="9">
        <v>25.000000000000004</v>
      </c>
      <c r="H331" s="37">
        <v>0</v>
      </c>
    </row>
    <row r="332" spans="1:8" ht="15" customHeight="1">
      <c r="A332" s="16" t="s">
        <v>1043</v>
      </c>
      <c r="B332" s="32" t="s">
        <v>5</v>
      </c>
      <c r="C332" s="32" t="s">
        <v>216</v>
      </c>
      <c r="D332" s="70" t="s">
        <v>495</v>
      </c>
      <c r="E332" s="70"/>
      <c r="F332" s="32" t="s">
        <v>861</v>
      </c>
      <c r="G332" s="9">
        <v>1</v>
      </c>
      <c r="H332" s="37">
        <v>0</v>
      </c>
    </row>
    <row r="333" spans="1:8" ht="15" customHeight="1">
      <c r="A333" s="16" t="s">
        <v>794</v>
      </c>
      <c r="B333" s="32" t="s">
        <v>5</v>
      </c>
      <c r="C333" s="32" t="s">
        <v>971</v>
      </c>
      <c r="D333" s="70" t="s">
        <v>1250</v>
      </c>
      <c r="E333" s="70"/>
      <c r="F333" s="32" t="s">
        <v>861</v>
      </c>
      <c r="G333" s="9">
        <v>1</v>
      </c>
      <c r="H333" s="37">
        <v>0</v>
      </c>
    </row>
    <row r="334" spans="1:8" ht="15" customHeight="1">
      <c r="A334" s="16" t="s">
        <v>197</v>
      </c>
      <c r="B334" s="32" t="s">
        <v>5</v>
      </c>
      <c r="C334" s="32" t="s">
        <v>302</v>
      </c>
      <c r="D334" s="70" t="s">
        <v>1232</v>
      </c>
      <c r="E334" s="70"/>
      <c r="F334" s="32" t="s">
        <v>861</v>
      </c>
      <c r="G334" s="9">
        <v>1</v>
      </c>
      <c r="H334" s="37">
        <v>0</v>
      </c>
    </row>
    <row r="335" spans="1:8" ht="15" customHeight="1">
      <c r="A335" s="16" t="s">
        <v>613</v>
      </c>
      <c r="B335" s="32" t="s">
        <v>5</v>
      </c>
      <c r="C335" s="32" t="s">
        <v>769</v>
      </c>
      <c r="D335" s="70" t="s">
        <v>428</v>
      </c>
      <c r="E335" s="70"/>
      <c r="F335" s="32" t="s">
        <v>317</v>
      </c>
      <c r="G335" s="9">
        <v>2</v>
      </c>
      <c r="H335" s="37">
        <v>0</v>
      </c>
    </row>
    <row r="336" spans="1:8" ht="15" customHeight="1">
      <c r="A336" s="47"/>
      <c r="D336" s="50" t="s">
        <v>209</v>
      </c>
      <c r="E336" s="129" t="s">
        <v>852</v>
      </c>
      <c r="F336" s="129"/>
      <c r="G336" s="59">
        <v>2</v>
      </c>
      <c r="H336" s="23"/>
    </row>
    <row r="337" spans="1:8" ht="15" customHeight="1">
      <c r="A337" s="16" t="s">
        <v>1394</v>
      </c>
      <c r="B337" s="32" t="s">
        <v>5</v>
      </c>
      <c r="C337" s="32" t="s">
        <v>359</v>
      </c>
      <c r="D337" s="70" t="s">
        <v>680</v>
      </c>
      <c r="E337" s="70"/>
      <c r="F337" s="32" t="s">
        <v>317</v>
      </c>
      <c r="G337" s="9">
        <v>2</v>
      </c>
      <c r="H337" s="37">
        <v>0</v>
      </c>
    </row>
    <row r="338" spans="1:8" ht="15" customHeight="1">
      <c r="A338" s="47"/>
      <c r="D338" s="50" t="s">
        <v>209</v>
      </c>
      <c r="E338" s="129" t="s">
        <v>852</v>
      </c>
      <c r="F338" s="129"/>
      <c r="G338" s="59">
        <v>2</v>
      </c>
      <c r="H338" s="23"/>
    </row>
    <row r="339" spans="1:8" ht="15" customHeight="1">
      <c r="A339" s="16" t="s">
        <v>1330</v>
      </c>
      <c r="B339" s="32" t="s">
        <v>5</v>
      </c>
      <c r="C339" s="32" t="s">
        <v>147</v>
      </c>
      <c r="D339" s="70" t="s">
        <v>479</v>
      </c>
      <c r="E339" s="70"/>
      <c r="F339" s="32" t="s">
        <v>317</v>
      </c>
      <c r="G339" s="9">
        <v>4</v>
      </c>
      <c r="H339" s="37">
        <v>0</v>
      </c>
    </row>
    <row r="340" spans="1:8" ht="15" customHeight="1">
      <c r="A340" s="47"/>
      <c r="D340" s="50" t="s">
        <v>1426</v>
      </c>
      <c r="E340" s="129" t="s">
        <v>852</v>
      </c>
      <c r="F340" s="129"/>
      <c r="G340" s="59">
        <v>4</v>
      </c>
      <c r="H340" s="23"/>
    </row>
    <row r="341" spans="1:8" ht="15" customHeight="1">
      <c r="A341" s="16" t="s">
        <v>603</v>
      </c>
      <c r="B341" s="32" t="s">
        <v>5</v>
      </c>
      <c r="C341" s="32" t="s">
        <v>34</v>
      </c>
      <c r="D341" s="70" t="s">
        <v>335</v>
      </c>
      <c r="E341" s="70"/>
      <c r="F341" s="32" t="s">
        <v>317</v>
      </c>
      <c r="G341" s="9">
        <v>1</v>
      </c>
      <c r="H341" s="37">
        <v>0</v>
      </c>
    </row>
    <row r="342" spans="1:8" ht="15" customHeight="1">
      <c r="A342" s="47"/>
      <c r="D342" s="50" t="s">
        <v>1231</v>
      </c>
      <c r="E342" s="129" t="s">
        <v>852</v>
      </c>
      <c r="F342" s="129"/>
      <c r="G342" s="59">
        <v>1</v>
      </c>
      <c r="H342" s="23"/>
    </row>
    <row r="343" spans="1:8" ht="15" customHeight="1">
      <c r="A343" s="16" t="s">
        <v>1325</v>
      </c>
      <c r="B343" s="32" t="s">
        <v>5</v>
      </c>
      <c r="C343" s="32" t="s">
        <v>1233</v>
      </c>
      <c r="D343" s="70" t="s">
        <v>479</v>
      </c>
      <c r="E343" s="70"/>
      <c r="F343" s="32" t="s">
        <v>317</v>
      </c>
      <c r="G343" s="9">
        <v>1</v>
      </c>
      <c r="H343" s="37">
        <v>0</v>
      </c>
    </row>
    <row r="344" spans="1:8" ht="15" customHeight="1">
      <c r="A344" s="47"/>
      <c r="D344" s="50" t="s">
        <v>1231</v>
      </c>
      <c r="E344" s="129" t="s">
        <v>852</v>
      </c>
      <c r="F344" s="129"/>
      <c r="G344" s="59">
        <v>1</v>
      </c>
      <c r="H344" s="23"/>
    </row>
    <row r="345" spans="1:8" ht="15" customHeight="1">
      <c r="A345" s="16" t="s">
        <v>668</v>
      </c>
      <c r="B345" s="32" t="s">
        <v>5</v>
      </c>
      <c r="C345" s="32" t="s">
        <v>952</v>
      </c>
      <c r="D345" s="70" t="s">
        <v>898</v>
      </c>
      <c r="E345" s="70"/>
      <c r="F345" s="32" t="s">
        <v>317</v>
      </c>
      <c r="G345" s="9">
        <v>1</v>
      </c>
      <c r="H345" s="37">
        <v>0</v>
      </c>
    </row>
    <row r="346" spans="1:8" ht="15" customHeight="1">
      <c r="A346" s="47"/>
      <c r="D346" s="50" t="s">
        <v>1231</v>
      </c>
      <c r="E346" s="129" t="s">
        <v>852</v>
      </c>
      <c r="F346" s="129"/>
      <c r="G346" s="59">
        <v>1</v>
      </c>
      <c r="H346" s="23"/>
    </row>
    <row r="347" spans="1:8" ht="15" customHeight="1">
      <c r="A347" s="16" t="s">
        <v>929</v>
      </c>
      <c r="B347" s="32" t="s">
        <v>5</v>
      </c>
      <c r="C347" s="32" t="s">
        <v>1280</v>
      </c>
      <c r="D347" s="70" t="s">
        <v>765</v>
      </c>
      <c r="E347" s="70"/>
      <c r="F347" s="32" t="s">
        <v>317</v>
      </c>
      <c r="G347" s="9">
        <v>1</v>
      </c>
      <c r="H347" s="37">
        <v>0</v>
      </c>
    </row>
    <row r="348" spans="1:8" ht="15" customHeight="1">
      <c r="A348" s="47"/>
      <c r="D348" s="50" t="s">
        <v>1231</v>
      </c>
      <c r="E348" s="129" t="s">
        <v>852</v>
      </c>
      <c r="F348" s="129"/>
      <c r="G348" s="59">
        <v>1</v>
      </c>
      <c r="H348" s="23"/>
    </row>
    <row r="349" spans="1:8" ht="15" customHeight="1">
      <c r="A349" s="16" t="s">
        <v>590</v>
      </c>
      <c r="B349" s="32" t="s">
        <v>5</v>
      </c>
      <c r="C349" s="32" t="s">
        <v>232</v>
      </c>
      <c r="D349" s="70" t="s">
        <v>134</v>
      </c>
      <c r="E349" s="70"/>
      <c r="F349" s="32" t="s">
        <v>317</v>
      </c>
      <c r="G349" s="9">
        <v>2</v>
      </c>
      <c r="H349" s="37">
        <v>0</v>
      </c>
    </row>
    <row r="350" spans="1:8" ht="15" customHeight="1">
      <c r="A350" s="47"/>
      <c r="D350" s="50" t="s">
        <v>209</v>
      </c>
      <c r="E350" s="129" t="s">
        <v>852</v>
      </c>
      <c r="F350" s="129"/>
      <c r="G350" s="59">
        <v>2</v>
      </c>
      <c r="H350" s="23"/>
    </row>
    <row r="351" spans="1:8" ht="15" customHeight="1">
      <c r="A351" s="16" t="s">
        <v>1224</v>
      </c>
      <c r="B351" s="32" t="s">
        <v>5</v>
      </c>
      <c r="C351" s="32" t="s">
        <v>1419</v>
      </c>
      <c r="D351" s="70" t="s">
        <v>617</v>
      </c>
      <c r="E351" s="70"/>
      <c r="F351" s="32" t="s">
        <v>317</v>
      </c>
      <c r="G351" s="9">
        <v>6.000000000000001</v>
      </c>
      <c r="H351" s="37">
        <v>0</v>
      </c>
    </row>
    <row r="352" spans="1:8" ht="15" customHeight="1">
      <c r="A352" s="47"/>
      <c r="D352" s="50" t="s">
        <v>377</v>
      </c>
      <c r="E352" s="129" t="s">
        <v>852</v>
      </c>
      <c r="F352" s="129"/>
      <c r="G352" s="59">
        <v>6.000000000000001</v>
      </c>
      <c r="H352" s="23"/>
    </row>
    <row r="353" spans="1:8" ht="15" customHeight="1">
      <c r="A353" s="16" t="s">
        <v>532</v>
      </c>
      <c r="B353" s="32" t="s">
        <v>5</v>
      </c>
      <c r="C353" s="32" t="s">
        <v>1050</v>
      </c>
      <c r="D353" s="70" t="s">
        <v>992</v>
      </c>
      <c r="E353" s="70"/>
      <c r="F353" s="32" t="s">
        <v>594</v>
      </c>
      <c r="G353" s="9">
        <v>2.169</v>
      </c>
      <c r="H353" s="37">
        <v>0</v>
      </c>
    </row>
    <row r="354" spans="1:8" ht="15" customHeight="1">
      <c r="A354" s="47"/>
      <c r="D354" s="50" t="s">
        <v>80</v>
      </c>
      <c r="E354" s="129" t="s">
        <v>852</v>
      </c>
      <c r="F354" s="129"/>
      <c r="G354" s="59">
        <v>2.169</v>
      </c>
      <c r="H354" s="23"/>
    </row>
    <row r="355" spans="1:8" ht="15" customHeight="1">
      <c r="A355" s="16" t="s">
        <v>166</v>
      </c>
      <c r="B355" s="32" t="s">
        <v>5</v>
      </c>
      <c r="C355" s="32" t="s">
        <v>633</v>
      </c>
      <c r="D355" s="70" t="s">
        <v>1351</v>
      </c>
      <c r="E355" s="70"/>
      <c r="F355" s="32" t="s">
        <v>317</v>
      </c>
      <c r="G355" s="9">
        <v>8</v>
      </c>
      <c r="H355" s="37">
        <v>0</v>
      </c>
    </row>
    <row r="356" spans="1:8" ht="15" customHeight="1">
      <c r="A356" s="47"/>
      <c r="D356" s="50" t="s">
        <v>153</v>
      </c>
      <c r="E356" s="129" t="s">
        <v>852</v>
      </c>
      <c r="F356" s="129"/>
      <c r="G356" s="59">
        <v>8</v>
      </c>
      <c r="H356" s="23"/>
    </row>
    <row r="357" spans="1:8" ht="15" customHeight="1">
      <c r="A357" s="16" t="s">
        <v>353</v>
      </c>
      <c r="B357" s="32" t="s">
        <v>5</v>
      </c>
      <c r="C357" s="32" t="s">
        <v>98</v>
      </c>
      <c r="D357" s="70" t="s">
        <v>815</v>
      </c>
      <c r="E357" s="70"/>
      <c r="F357" s="32" t="s">
        <v>317</v>
      </c>
      <c r="G357" s="9">
        <v>16</v>
      </c>
      <c r="H357" s="37">
        <v>0</v>
      </c>
    </row>
    <row r="358" spans="1:8" ht="15" customHeight="1">
      <c r="A358" s="47"/>
      <c r="D358" s="50" t="s">
        <v>1021</v>
      </c>
      <c r="E358" s="129" t="s">
        <v>852</v>
      </c>
      <c r="F358" s="129"/>
      <c r="G358" s="59">
        <v>16</v>
      </c>
      <c r="H358" s="23"/>
    </row>
    <row r="359" spans="1:8" ht="15" customHeight="1">
      <c r="A359" s="16" t="s">
        <v>634</v>
      </c>
      <c r="B359" s="32" t="s">
        <v>5</v>
      </c>
      <c r="C359" s="32" t="s">
        <v>237</v>
      </c>
      <c r="D359" s="70" t="s">
        <v>415</v>
      </c>
      <c r="E359" s="70"/>
      <c r="F359" s="32" t="s">
        <v>317</v>
      </c>
      <c r="G359" s="9">
        <v>18</v>
      </c>
      <c r="H359" s="37">
        <v>0</v>
      </c>
    </row>
    <row r="360" spans="1:8" ht="15" customHeight="1">
      <c r="A360" s="47"/>
      <c r="D360" s="50" t="s">
        <v>307</v>
      </c>
      <c r="E360" s="129" t="s">
        <v>852</v>
      </c>
      <c r="F360" s="129"/>
      <c r="G360" s="59">
        <v>18</v>
      </c>
      <c r="H360" s="23"/>
    </row>
    <row r="361" spans="1:8" ht="15" customHeight="1">
      <c r="A361" s="16" t="s">
        <v>768</v>
      </c>
      <c r="B361" s="32" t="s">
        <v>5</v>
      </c>
      <c r="C361" s="32" t="s">
        <v>968</v>
      </c>
      <c r="D361" s="70" t="s">
        <v>1227</v>
      </c>
      <c r="E361" s="70"/>
      <c r="F361" s="32" t="s">
        <v>317</v>
      </c>
      <c r="G361" s="9">
        <v>6.000000000000001</v>
      </c>
      <c r="H361" s="37">
        <v>0</v>
      </c>
    </row>
    <row r="362" spans="1:8" ht="15" customHeight="1">
      <c r="A362" s="47"/>
      <c r="D362" s="50" t="s">
        <v>377</v>
      </c>
      <c r="E362" s="129" t="s">
        <v>852</v>
      </c>
      <c r="F362" s="129"/>
      <c r="G362" s="59">
        <v>6.000000000000001</v>
      </c>
      <c r="H362" s="23"/>
    </row>
    <row r="363" spans="1:8" ht="15" customHeight="1">
      <c r="A363" s="16" t="s">
        <v>1166</v>
      </c>
      <c r="B363" s="32" t="s">
        <v>5</v>
      </c>
      <c r="C363" s="32" t="s">
        <v>1414</v>
      </c>
      <c r="D363" s="70" t="s">
        <v>486</v>
      </c>
      <c r="E363" s="70"/>
      <c r="F363" s="32" t="s">
        <v>317</v>
      </c>
      <c r="G363" s="9">
        <v>6.000000000000001</v>
      </c>
      <c r="H363" s="37">
        <v>0</v>
      </c>
    </row>
    <row r="364" spans="1:8" ht="15" customHeight="1">
      <c r="A364" s="47"/>
      <c r="D364" s="50" t="s">
        <v>377</v>
      </c>
      <c r="E364" s="129" t="s">
        <v>852</v>
      </c>
      <c r="F364" s="129"/>
      <c r="G364" s="59">
        <v>6.000000000000001</v>
      </c>
      <c r="H364" s="23"/>
    </row>
    <row r="365" spans="1:8" ht="15" customHeight="1">
      <c r="A365" s="16" t="s">
        <v>281</v>
      </c>
      <c r="B365" s="32" t="s">
        <v>5</v>
      </c>
      <c r="C365" s="32" t="s">
        <v>280</v>
      </c>
      <c r="D365" s="70" t="s">
        <v>557</v>
      </c>
      <c r="E365" s="70"/>
      <c r="F365" s="32" t="s">
        <v>317</v>
      </c>
      <c r="G365" s="9">
        <v>2</v>
      </c>
      <c r="H365" s="37">
        <v>0</v>
      </c>
    </row>
    <row r="366" spans="1:8" ht="15" customHeight="1">
      <c r="A366" s="47"/>
      <c r="D366" s="50" t="s">
        <v>209</v>
      </c>
      <c r="E366" s="129" t="s">
        <v>852</v>
      </c>
      <c r="F366" s="129"/>
      <c r="G366" s="59">
        <v>2</v>
      </c>
      <c r="H366" s="23"/>
    </row>
    <row r="367" spans="1:8" ht="15" customHeight="1">
      <c r="A367" s="16" t="s">
        <v>1199</v>
      </c>
      <c r="B367" s="32" t="s">
        <v>5</v>
      </c>
      <c r="C367" s="32" t="s">
        <v>390</v>
      </c>
      <c r="D367" s="70" t="s">
        <v>18</v>
      </c>
      <c r="E367" s="70"/>
      <c r="F367" s="32" t="s">
        <v>317</v>
      </c>
      <c r="G367" s="9">
        <v>14.000000000000002</v>
      </c>
      <c r="H367" s="37">
        <v>0</v>
      </c>
    </row>
    <row r="368" spans="1:8" ht="15" customHeight="1">
      <c r="A368" s="47"/>
      <c r="D368" s="50" t="s">
        <v>637</v>
      </c>
      <c r="E368" s="129" t="s">
        <v>852</v>
      </c>
      <c r="F368" s="129"/>
      <c r="G368" s="59">
        <v>14.000000000000002</v>
      </c>
      <c r="H368" s="23"/>
    </row>
    <row r="369" spans="1:8" ht="15" customHeight="1">
      <c r="A369" s="16" t="s">
        <v>541</v>
      </c>
      <c r="B369" s="32" t="s">
        <v>5</v>
      </c>
      <c r="C369" s="32" t="s">
        <v>288</v>
      </c>
      <c r="D369" s="70" t="s">
        <v>662</v>
      </c>
      <c r="E369" s="70"/>
      <c r="F369" s="32" t="s">
        <v>317</v>
      </c>
      <c r="G369" s="9">
        <v>4</v>
      </c>
      <c r="H369" s="37">
        <v>0</v>
      </c>
    </row>
    <row r="370" spans="1:8" ht="15" customHeight="1">
      <c r="A370" s="47"/>
      <c r="D370" s="50" t="s">
        <v>1426</v>
      </c>
      <c r="E370" s="129" t="s">
        <v>852</v>
      </c>
      <c r="F370" s="129"/>
      <c r="G370" s="59">
        <v>4</v>
      </c>
      <c r="H370" s="23"/>
    </row>
    <row r="371" spans="1:8" ht="15" customHeight="1">
      <c r="A371" s="16" t="s">
        <v>15</v>
      </c>
      <c r="B371" s="32" t="s">
        <v>5</v>
      </c>
      <c r="C371" s="32" t="s">
        <v>288</v>
      </c>
      <c r="D371" s="70" t="s">
        <v>1186</v>
      </c>
      <c r="E371" s="70"/>
      <c r="F371" s="32" t="s">
        <v>317</v>
      </c>
      <c r="G371" s="9">
        <v>4</v>
      </c>
      <c r="H371" s="37">
        <v>0</v>
      </c>
    </row>
    <row r="372" spans="1:8" ht="15" customHeight="1">
      <c r="A372" s="47"/>
      <c r="D372" s="50" t="s">
        <v>1426</v>
      </c>
      <c r="E372" s="129" t="s">
        <v>852</v>
      </c>
      <c r="F372" s="129"/>
      <c r="G372" s="59">
        <v>4</v>
      </c>
      <c r="H372" s="23"/>
    </row>
    <row r="373" spans="1:8" ht="15" customHeight="1">
      <c r="A373" s="16" t="s">
        <v>583</v>
      </c>
      <c r="B373" s="32" t="s">
        <v>5</v>
      </c>
      <c r="C373" s="32" t="s">
        <v>73</v>
      </c>
      <c r="D373" s="70" t="s">
        <v>804</v>
      </c>
      <c r="E373" s="70"/>
      <c r="F373" s="32" t="s">
        <v>594</v>
      </c>
      <c r="G373" s="9">
        <v>0.27</v>
      </c>
      <c r="H373" s="37">
        <v>0</v>
      </c>
    </row>
    <row r="374" spans="1:8" ht="15" customHeight="1">
      <c r="A374" s="16" t="s">
        <v>283</v>
      </c>
      <c r="B374" s="32" t="s">
        <v>5</v>
      </c>
      <c r="C374" s="32" t="s">
        <v>174</v>
      </c>
      <c r="D374" s="70" t="s">
        <v>196</v>
      </c>
      <c r="E374" s="70"/>
      <c r="F374" s="32" t="s">
        <v>1213</v>
      </c>
      <c r="G374" s="9">
        <v>114.36000000000001</v>
      </c>
      <c r="H374" s="37">
        <v>0</v>
      </c>
    </row>
    <row r="375" spans="1:8" ht="15" customHeight="1">
      <c r="A375" s="47"/>
      <c r="D375" s="50" t="s">
        <v>1144</v>
      </c>
      <c r="E375" s="129" t="s">
        <v>852</v>
      </c>
      <c r="F375" s="129"/>
      <c r="G375" s="59">
        <v>105.46000000000001</v>
      </c>
      <c r="H375" s="23"/>
    </row>
    <row r="376" spans="1:8" ht="15" customHeight="1">
      <c r="A376" s="16" t="s">
        <v>852</v>
      </c>
      <c r="B376" s="32" t="s">
        <v>852</v>
      </c>
      <c r="C376" s="32" t="s">
        <v>852</v>
      </c>
      <c r="D376" s="50" t="s">
        <v>558</v>
      </c>
      <c r="E376" s="129" t="s">
        <v>852</v>
      </c>
      <c r="F376" s="129"/>
      <c r="G376" s="59">
        <v>8.9</v>
      </c>
      <c r="H376" s="34" t="s">
        <v>852</v>
      </c>
    </row>
    <row r="377" spans="1:8" ht="15" customHeight="1">
      <c r="A377" s="16" t="s">
        <v>671</v>
      </c>
      <c r="B377" s="32" t="s">
        <v>5</v>
      </c>
      <c r="C377" s="32" t="s">
        <v>652</v>
      </c>
      <c r="D377" s="70" t="s">
        <v>1378</v>
      </c>
      <c r="E377" s="70"/>
      <c r="F377" s="32" t="s">
        <v>1026</v>
      </c>
      <c r="G377" s="9">
        <v>162.22000000000003</v>
      </c>
      <c r="H377" s="37">
        <v>0</v>
      </c>
    </row>
    <row r="378" spans="1:8" ht="15" customHeight="1">
      <c r="A378" s="47"/>
      <c r="D378" s="50" t="s">
        <v>651</v>
      </c>
      <c r="E378" s="129" t="s">
        <v>852</v>
      </c>
      <c r="F378" s="129"/>
      <c r="G378" s="59">
        <v>142.42000000000002</v>
      </c>
      <c r="H378" s="23"/>
    </row>
    <row r="379" spans="1:8" ht="15" customHeight="1">
      <c r="A379" s="16" t="s">
        <v>852</v>
      </c>
      <c r="B379" s="32" t="s">
        <v>852</v>
      </c>
      <c r="C379" s="32" t="s">
        <v>852</v>
      </c>
      <c r="D379" s="50" t="s">
        <v>1253</v>
      </c>
      <c r="E379" s="129" t="s">
        <v>852</v>
      </c>
      <c r="F379" s="129"/>
      <c r="G379" s="59">
        <v>19.8</v>
      </c>
      <c r="H379" s="34" t="s">
        <v>852</v>
      </c>
    </row>
    <row r="380" spans="1:8" ht="15" customHeight="1">
      <c r="A380" s="16" t="s">
        <v>1196</v>
      </c>
      <c r="B380" s="32" t="s">
        <v>5</v>
      </c>
      <c r="C380" s="32" t="s">
        <v>43</v>
      </c>
      <c r="D380" s="70" t="s">
        <v>46</v>
      </c>
      <c r="E380" s="70"/>
      <c r="F380" s="32" t="s">
        <v>1213</v>
      </c>
      <c r="G380" s="9">
        <v>114.36000000000001</v>
      </c>
      <c r="H380" s="37">
        <v>0</v>
      </c>
    </row>
    <row r="381" spans="1:8" ht="15" customHeight="1">
      <c r="A381" s="16" t="s">
        <v>988</v>
      </c>
      <c r="B381" s="32" t="s">
        <v>5</v>
      </c>
      <c r="C381" s="32" t="s">
        <v>1243</v>
      </c>
      <c r="D381" s="70" t="s">
        <v>935</v>
      </c>
      <c r="E381" s="70"/>
      <c r="F381" s="32" t="s">
        <v>1213</v>
      </c>
      <c r="G381" s="9">
        <v>114.36000000000001</v>
      </c>
      <c r="H381" s="37">
        <v>0</v>
      </c>
    </row>
    <row r="382" spans="1:8" ht="15" customHeight="1">
      <c r="A382" s="47"/>
      <c r="D382" s="50" t="s">
        <v>1144</v>
      </c>
      <c r="E382" s="129" t="s">
        <v>852</v>
      </c>
      <c r="F382" s="129"/>
      <c r="G382" s="59">
        <v>105.46000000000001</v>
      </c>
      <c r="H382" s="23"/>
    </row>
    <row r="383" spans="1:8" ht="15" customHeight="1">
      <c r="A383" s="16" t="s">
        <v>852</v>
      </c>
      <c r="B383" s="32" t="s">
        <v>852</v>
      </c>
      <c r="C383" s="32" t="s">
        <v>852</v>
      </c>
      <c r="D383" s="50" t="s">
        <v>1422</v>
      </c>
      <c r="E383" s="129" t="s">
        <v>852</v>
      </c>
      <c r="F383" s="129"/>
      <c r="G383" s="59">
        <v>8.9</v>
      </c>
      <c r="H383" s="34" t="s">
        <v>852</v>
      </c>
    </row>
    <row r="384" spans="1:8" ht="15" customHeight="1">
      <c r="A384" s="16" t="s">
        <v>976</v>
      </c>
      <c r="B384" s="32" t="s">
        <v>5</v>
      </c>
      <c r="C384" s="32" t="s">
        <v>120</v>
      </c>
      <c r="D384" s="70" t="s">
        <v>722</v>
      </c>
      <c r="E384" s="70"/>
      <c r="F384" s="32" t="s">
        <v>1213</v>
      </c>
      <c r="G384" s="9">
        <v>120.078</v>
      </c>
      <c r="H384" s="37">
        <v>0</v>
      </c>
    </row>
    <row r="385" spans="1:8" ht="15" customHeight="1">
      <c r="A385" s="47"/>
      <c r="D385" s="50" t="s">
        <v>669</v>
      </c>
      <c r="E385" s="129" t="s">
        <v>852</v>
      </c>
      <c r="F385" s="129"/>
      <c r="G385" s="59">
        <v>114.36000000000001</v>
      </c>
      <c r="H385" s="23"/>
    </row>
    <row r="386" spans="1:8" ht="15" customHeight="1">
      <c r="A386" s="16" t="s">
        <v>852</v>
      </c>
      <c r="B386" s="32" t="s">
        <v>852</v>
      </c>
      <c r="C386" s="32" t="s">
        <v>852</v>
      </c>
      <c r="D386" s="50" t="s">
        <v>1010</v>
      </c>
      <c r="E386" s="129" t="s">
        <v>852</v>
      </c>
      <c r="F386" s="129"/>
      <c r="G386" s="59">
        <v>5.718000000000001</v>
      </c>
      <c r="H386" s="34" t="s">
        <v>852</v>
      </c>
    </row>
    <row r="387" spans="1:8" ht="15" customHeight="1">
      <c r="A387" s="16" t="s">
        <v>182</v>
      </c>
      <c r="B387" s="32" t="s">
        <v>5</v>
      </c>
      <c r="C387" s="32" t="s">
        <v>847</v>
      </c>
      <c r="D387" s="70" t="s">
        <v>456</v>
      </c>
      <c r="E387" s="70"/>
      <c r="F387" s="32" t="s">
        <v>1026</v>
      </c>
      <c r="G387" s="9">
        <v>162.22000000000003</v>
      </c>
      <c r="H387" s="37">
        <v>0</v>
      </c>
    </row>
    <row r="388" spans="1:8" ht="15" customHeight="1">
      <c r="A388" s="16" t="s">
        <v>562</v>
      </c>
      <c r="B388" s="32" t="s">
        <v>5</v>
      </c>
      <c r="C388" s="32" t="s">
        <v>384</v>
      </c>
      <c r="D388" s="70" t="s">
        <v>828</v>
      </c>
      <c r="E388" s="70"/>
      <c r="F388" s="32" t="s">
        <v>1213</v>
      </c>
      <c r="G388" s="9">
        <v>25.94</v>
      </c>
      <c r="H388" s="37">
        <v>0</v>
      </c>
    </row>
    <row r="389" spans="1:8" ht="15" customHeight="1">
      <c r="A389" s="47"/>
      <c r="D389" s="50" t="s">
        <v>639</v>
      </c>
      <c r="E389" s="129" t="s">
        <v>852</v>
      </c>
      <c r="F389" s="129"/>
      <c r="G389" s="59">
        <v>17.040000000000003</v>
      </c>
      <c r="H389" s="23"/>
    </row>
    <row r="390" spans="1:8" ht="15" customHeight="1">
      <c r="A390" s="16" t="s">
        <v>852</v>
      </c>
      <c r="B390" s="32" t="s">
        <v>852</v>
      </c>
      <c r="C390" s="32" t="s">
        <v>852</v>
      </c>
      <c r="D390" s="50" t="s">
        <v>1422</v>
      </c>
      <c r="E390" s="129" t="s">
        <v>852</v>
      </c>
      <c r="F390" s="129"/>
      <c r="G390" s="59">
        <v>8.9</v>
      </c>
      <c r="H390" s="34" t="s">
        <v>852</v>
      </c>
    </row>
    <row r="391" spans="1:8" ht="15" customHeight="1">
      <c r="A391" s="16" t="s">
        <v>279</v>
      </c>
      <c r="B391" s="32" t="s">
        <v>5</v>
      </c>
      <c r="C391" s="32" t="s">
        <v>1256</v>
      </c>
      <c r="D391" s="70" t="s">
        <v>167</v>
      </c>
      <c r="E391" s="70"/>
      <c r="F391" s="32" t="s">
        <v>1213</v>
      </c>
      <c r="G391" s="9">
        <v>114.36000000000001</v>
      </c>
      <c r="H391" s="37">
        <v>0</v>
      </c>
    </row>
    <row r="392" spans="1:8" ht="15" customHeight="1">
      <c r="A392" s="16" t="s">
        <v>552</v>
      </c>
      <c r="B392" s="32" t="s">
        <v>5</v>
      </c>
      <c r="C392" s="32" t="s">
        <v>405</v>
      </c>
      <c r="D392" s="70" t="s">
        <v>957</v>
      </c>
      <c r="E392" s="70"/>
      <c r="F392" s="32" t="s">
        <v>594</v>
      </c>
      <c r="G392" s="9">
        <v>3.027</v>
      </c>
      <c r="H392" s="37">
        <v>0</v>
      </c>
    </row>
    <row r="393" spans="1:8" ht="15" customHeight="1">
      <c r="A393" s="47"/>
      <c r="D393" s="50" t="s">
        <v>1299</v>
      </c>
      <c r="E393" s="129" t="s">
        <v>852</v>
      </c>
      <c r="F393" s="129"/>
      <c r="G393" s="59">
        <v>3.027</v>
      </c>
      <c r="H393" s="23"/>
    </row>
    <row r="394" spans="1:8" ht="15" customHeight="1">
      <c r="A394" s="16" t="s">
        <v>27</v>
      </c>
      <c r="B394" s="32" t="s">
        <v>5</v>
      </c>
      <c r="C394" s="32" t="s">
        <v>1013</v>
      </c>
      <c r="D394" s="70" t="s">
        <v>44</v>
      </c>
      <c r="E394" s="70"/>
      <c r="F394" s="32" t="s">
        <v>1213</v>
      </c>
      <c r="G394" s="9">
        <v>48.666000000000004</v>
      </c>
      <c r="H394" s="37">
        <v>0</v>
      </c>
    </row>
    <row r="395" spans="1:8" ht="15" customHeight="1">
      <c r="A395" s="47"/>
      <c r="D395" s="50" t="s">
        <v>460</v>
      </c>
      <c r="E395" s="129" t="s">
        <v>852</v>
      </c>
      <c r="F395" s="129"/>
      <c r="G395" s="59">
        <v>42.726000000000006</v>
      </c>
      <c r="H395" s="23"/>
    </row>
    <row r="396" spans="1:8" ht="15" customHeight="1">
      <c r="A396" s="16" t="s">
        <v>852</v>
      </c>
      <c r="B396" s="32" t="s">
        <v>852</v>
      </c>
      <c r="C396" s="32" t="s">
        <v>852</v>
      </c>
      <c r="D396" s="50" t="s">
        <v>1270</v>
      </c>
      <c r="E396" s="129" t="s">
        <v>852</v>
      </c>
      <c r="F396" s="129"/>
      <c r="G396" s="59">
        <v>5.94</v>
      </c>
      <c r="H396" s="34" t="s">
        <v>852</v>
      </c>
    </row>
    <row r="397" spans="1:8" ht="15" customHeight="1">
      <c r="A397" s="16" t="s">
        <v>1064</v>
      </c>
      <c r="B397" s="32" t="s">
        <v>5</v>
      </c>
      <c r="C397" s="32" t="s">
        <v>959</v>
      </c>
      <c r="D397" s="70" t="s">
        <v>675</v>
      </c>
      <c r="E397" s="70"/>
      <c r="F397" s="32" t="s">
        <v>1213</v>
      </c>
      <c r="G397" s="9">
        <v>333.574</v>
      </c>
      <c r="H397" s="37">
        <v>0</v>
      </c>
    </row>
    <row r="398" spans="1:8" ht="15" customHeight="1">
      <c r="A398" s="47"/>
      <c r="D398" s="50" t="s">
        <v>759</v>
      </c>
      <c r="E398" s="129" t="s">
        <v>852</v>
      </c>
      <c r="F398" s="129"/>
      <c r="G398" s="59">
        <v>291.658</v>
      </c>
      <c r="H398" s="23"/>
    </row>
    <row r="399" spans="1:8" ht="15" customHeight="1">
      <c r="A399" s="16" t="s">
        <v>852</v>
      </c>
      <c r="B399" s="32" t="s">
        <v>852</v>
      </c>
      <c r="C399" s="32" t="s">
        <v>852</v>
      </c>
      <c r="D399" s="50" t="s">
        <v>1175</v>
      </c>
      <c r="E399" s="129" t="s">
        <v>852</v>
      </c>
      <c r="F399" s="129"/>
      <c r="G399" s="59">
        <v>41.916000000000004</v>
      </c>
      <c r="H399" s="34" t="s">
        <v>852</v>
      </c>
    </row>
    <row r="400" spans="1:8" ht="15" customHeight="1">
      <c r="A400" s="16" t="s">
        <v>1118</v>
      </c>
      <c r="B400" s="32" t="s">
        <v>5</v>
      </c>
      <c r="C400" s="32" t="s">
        <v>901</v>
      </c>
      <c r="D400" s="70" t="s">
        <v>195</v>
      </c>
      <c r="E400" s="70"/>
      <c r="F400" s="32" t="s">
        <v>1026</v>
      </c>
      <c r="G400" s="9">
        <v>44.440000000000005</v>
      </c>
      <c r="H400" s="37">
        <v>0</v>
      </c>
    </row>
    <row r="401" spans="1:8" ht="15" customHeight="1">
      <c r="A401" s="47"/>
      <c r="D401" s="50" t="s">
        <v>983</v>
      </c>
      <c r="E401" s="129" t="s">
        <v>852</v>
      </c>
      <c r="F401" s="129"/>
      <c r="G401" s="59">
        <v>40.84</v>
      </c>
      <c r="H401" s="23"/>
    </row>
    <row r="402" spans="1:8" ht="15" customHeight="1">
      <c r="A402" s="16" t="s">
        <v>852</v>
      </c>
      <c r="B402" s="32" t="s">
        <v>852</v>
      </c>
      <c r="C402" s="32" t="s">
        <v>852</v>
      </c>
      <c r="D402" s="50" t="s">
        <v>1022</v>
      </c>
      <c r="E402" s="129" t="s">
        <v>852</v>
      </c>
      <c r="F402" s="129"/>
      <c r="G402" s="59">
        <v>3.6</v>
      </c>
      <c r="H402" s="34" t="s">
        <v>852</v>
      </c>
    </row>
    <row r="403" spans="1:8" ht="15" customHeight="1">
      <c r="A403" s="16" t="s">
        <v>969</v>
      </c>
      <c r="B403" s="32" t="s">
        <v>5</v>
      </c>
      <c r="C403" s="32" t="s">
        <v>348</v>
      </c>
      <c r="D403" s="70" t="s">
        <v>524</v>
      </c>
      <c r="E403" s="70"/>
      <c r="F403" s="32" t="s">
        <v>317</v>
      </c>
      <c r="G403" s="9">
        <v>62.00000000000001</v>
      </c>
      <c r="H403" s="37">
        <v>0</v>
      </c>
    </row>
    <row r="404" spans="1:8" ht="15" customHeight="1">
      <c r="A404" s="47"/>
      <c r="D404" s="50" t="s">
        <v>181</v>
      </c>
      <c r="E404" s="129" t="s">
        <v>852</v>
      </c>
      <c r="F404" s="129"/>
      <c r="G404" s="59">
        <v>62.00000000000001</v>
      </c>
      <c r="H404" s="23"/>
    </row>
    <row r="405" spans="1:8" ht="15" customHeight="1">
      <c r="A405" s="16" t="s">
        <v>448</v>
      </c>
      <c r="B405" s="32" t="s">
        <v>5</v>
      </c>
      <c r="C405" s="32" t="s">
        <v>1103</v>
      </c>
      <c r="D405" s="70" t="s">
        <v>331</v>
      </c>
      <c r="E405" s="70"/>
      <c r="F405" s="32" t="s">
        <v>317</v>
      </c>
      <c r="G405" s="9">
        <v>42</v>
      </c>
      <c r="H405" s="37">
        <v>0</v>
      </c>
    </row>
    <row r="406" spans="1:8" ht="15" customHeight="1">
      <c r="A406" s="47"/>
      <c r="D406" s="50" t="s">
        <v>298</v>
      </c>
      <c r="E406" s="129" t="s">
        <v>852</v>
      </c>
      <c r="F406" s="129"/>
      <c r="G406" s="59">
        <v>42</v>
      </c>
      <c r="H406" s="23"/>
    </row>
    <row r="407" spans="1:8" ht="15" customHeight="1">
      <c r="A407" s="16" t="s">
        <v>978</v>
      </c>
      <c r="B407" s="32" t="s">
        <v>5</v>
      </c>
      <c r="C407" s="32" t="s">
        <v>438</v>
      </c>
      <c r="D407" s="70" t="s">
        <v>399</v>
      </c>
      <c r="E407" s="70"/>
      <c r="F407" s="32" t="s">
        <v>1026</v>
      </c>
      <c r="G407" s="9">
        <v>28.8</v>
      </c>
      <c r="H407" s="37">
        <v>0</v>
      </c>
    </row>
    <row r="408" spans="1:8" ht="15" customHeight="1">
      <c r="A408" s="47"/>
      <c r="D408" s="50" t="s">
        <v>810</v>
      </c>
      <c r="E408" s="129" t="s">
        <v>852</v>
      </c>
      <c r="F408" s="129"/>
      <c r="G408" s="59">
        <v>28.8</v>
      </c>
      <c r="H408" s="23"/>
    </row>
    <row r="409" spans="1:8" ht="15" customHeight="1">
      <c r="A409" s="16" t="s">
        <v>807</v>
      </c>
      <c r="B409" s="32" t="s">
        <v>5</v>
      </c>
      <c r="C409" s="32" t="s">
        <v>795</v>
      </c>
      <c r="D409" s="70" t="s">
        <v>994</v>
      </c>
      <c r="E409" s="70"/>
      <c r="F409" s="32" t="s">
        <v>1213</v>
      </c>
      <c r="G409" s="9">
        <v>5.760000000000001</v>
      </c>
      <c r="H409" s="37">
        <v>0</v>
      </c>
    </row>
    <row r="410" spans="1:8" ht="15" customHeight="1">
      <c r="A410" s="47"/>
      <c r="D410" s="50" t="s">
        <v>206</v>
      </c>
      <c r="E410" s="129" t="s">
        <v>852</v>
      </c>
      <c r="F410" s="129"/>
      <c r="G410" s="59">
        <v>5.760000000000001</v>
      </c>
      <c r="H410" s="23"/>
    </row>
    <row r="411" spans="1:8" ht="15" customHeight="1">
      <c r="A411" s="16" t="s">
        <v>1125</v>
      </c>
      <c r="B411" s="32" t="s">
        <v>5</v>
      </c>
      <c r="C411" s="32" t="s">
        <v>1134</v>
      </c>
      <c r="D411" s="70" t="s">
        <v>1367</v>
      </c>
      <c r="E411" s="70"/>
      <c r="F411" s="32" t="s">
        <v>1026</v>
      </c>
      <c r="G411" s="9">
        <v>13.64</v>
      </c>
      <c r="H411" s="37">
        <v>0</v>
      </c>
    </row>
    <row r="412" spans="1:8" ht="15" customHeight="1">
      <c r="A412" s="47"/>
      <c r="D412" s="50" t="s">
        <v>697</v>
      </c>
      <c r="E412" s="129" t="s">
        <v>852</v>
      </c>
      <c r="F412" s="129"/>
      <c r="G412" s="59">
        <v>10.040000000000001</v>
      </c>
      <c r="H412" s="23"/>
    </row>
    <row r="413" spans="1:8" ht="15" customHeight="1">
      <c r="A413" s="16" t="s">
        <v>852</v>
      </c>
      <c r="B413" s="32" t="s">
        <v>852</v>
      </c>
      <c r="C413" s="32" t="s">
        <v>852</v>
      </c>
      <c r="D413" s="50" t="s">
        <v>1022</v>
      </c>
      <c r="E413" s="129" t="s">
        <v>852</v>
      </c>
      <c r="F413" s="129"/>
      <c r="G413" s="59">
        <v>3.6</v>
      </c>
      <c r="H413" s="34" t="s">
        <v>852</v>
      </c>
    </row>
    <row r="414" spans="1:8" ht="15" customHeight="1">
      <c r="A414" s="16" t="s">
        <v>1060</v>
      </c>
      <c r="B414" s="32" t="s">
        <v>5</v>
      </c>
      <c r="C414" s="32" t="s">
        <v>795</v>
      </c>
      <c r="D414" s="70" t="s">
        <v>994</v>
      </c>
      <c r="E414" s="70"/>
      <c r="F414" s="32" t="s">
        <v>1213</v>
      </c>
      <c r="G414" s="9">
        <v>3.0080000000000005</v>
      </c>
      <c r="H414" s="37">
        <v>0</v>
      </c>
    </row>
    <row r="415" spans="1:8" ht="15" customHeight="1">
      <c r="A415" s="47"/>
      <c r="D415" s="50" t="s">
        <v>1122</v>
      </c>
      <c r="E415" s="129" t="s">
        <v>852</v>
      </c>
      <c r="F415" s="129"/>
      <c r="G415" s="59">
        <v>2.406</v>
      </c>
      <c r="H415" s="23"/>
    </row>
    <row r="416" spans="1:8" ht="15" customHeight="1">
      <c r="A416" s="16" t="s">
        <v>852</v>
      </c>
      <c r="B416" s="32" t="s">
        <v>852</v>
      </c>
      <c r="C416" s="32" t="s">
        <v>852</v>
      </c>
      <c r="D416" s="50" t="s">
        <v>450</v>
      </c>
      <c r="E416" s="129" t="s">
        <v>852</v>
      </c>
      <c r="F416" s="129"/>
      <c r="G416" s="59">
        <v>0.6020000000000001</v>
      </c>
      <c r="H416" s="34" t="s">
        <v>852</v>
      </c>
    </row>
    <row r="417" spans="1:8" ht="15" customHeight="1">
      <c r="A417" s="16" t="s">
        <v>347</v>
      </c>
      <c r="B417" s="32" t="s">
        <v>5</v>
      </c>
      <c r="C417" s="32" t="s">
        <v>189</v>
      </c>
      <c r="D417" s="70" t="s">
        <v>696</v>
      </c>
      <c r="E417" s="70"/>
      <c r="F417" s="32" t="s">
        <v>1213</v>
      </c>
      <c r="G417" s="9">
        <v>333.574</v>
      </c>
      <c r="H417" s="37">
        <v>0</v>
      </c>
    </row>
    <row r="418" spans="1:8" ht="15" customHeight="1">
      <c r="A418" s="16" t="s">
        <v>592</v>
      </c>
      <c r="B418" s="32" t="s">
        <v>5</v>
      </c>
      <c r="C418" s="32" t="s">
        <v>987</v>
      </c>
      <c r="D418" s="70" t="s">
        <v>346</v>
      </c>
      <c r="E418" s="70"/>
      <c r="F418" s="32" t="s">
        <v>1213</v>
      </c>
      <c r="G418" s="9">
        <v>333.574</v>
      </c>
      <c r="H418" s="37">
        <v>0</v>
      </c>
    </row>
    <row r="419" spans="1:8" ht="15" customHeight="1">
      <c r="A419" s="16" t="s">
        <v>30</v>
      </c>
      <c r="B419" s="32" t="s">
        <v>5</v>
      </c>
      <c r="C419" s="32" t="s">
        <v>795</v>
      </c>
      <c r="D419" s="70" t="s">
        <v>994</v>
      </c>
      <c r="E419" s="70"/>
      <c r="F419" s="32" t="s">
        <v>1213</v>
      </c>
      <c r="G419" s="9">
        <v>350.25300000000004</v>
      </c>
      <c r="H419" s="37">
        <v>0</v>
      </c>
    </row>
    <row r="420" spans="1:8" ht="15" customHeight="1">
      <c r="A420" s="47"/>
      <c r="D420" s="50" t="s">
        <v>1307</v>
      </c>
      <c r="E420" s="129" t="s">
        <v>852</v>
      </c>
      <c r="F420" s="129"/>
      <c r="G420" s="59">
        <v>333.574</v>
      </c>
      <c r="H420" s="23"/>
    </row>
    <row r="421" spans="1:8" ht="15" customHeight="1">
      <c r="A421" s="16" t="s">
        <v>852</v>
      </c>
      <c r="B421" s="32" t="s">
        <v>852</v>
      </c>
      <c r="C421" s="32" t="s">
        <v>852</v>
      </c>
      <c r="D421" s="50" t="s">
        <v>1267</v>
      </c>
      <c r="E421" s="129" t="s">
        <v>852</v>
      </c>
      <c r="F421" s="129"/>
      <c r="G421" s="59">
        <v>16.679000000000002</v>
      </c>
      <c r="H421" s="34" t="s">
        <v>852</v>
      </c>
    </row>
    <row r="422" spans="1:8" ht="15" customHeight="1">
      <c r="A422" s="16" t="s">
        <v>723</v>
      </c>
      <c r="B422" s="32" t="s">
        <v>5</v>
      </c>
      <c r="C422" s="32" t="s">
        <v>1153</v>
      </c>
      <c r="D422" s="70" t="s">
        <v>543</v>
      </c>
      <c r="E422" s="70"/>
      <c r="F422" s="32" t="s">
        <v>1026</v>
      </c>
      <c r="G422" s="9">
        <v>463.98</v>
      </c>
      <c r="H422" s="37">
        <v>0</v>
      </c>
    </row>
    <row r="423" spans="1:8" ht="15" customHeight="1">
      <c r="A423" s="47"/>
      <c r="D423" s="50" t="s">
        <v>937</v>
      </c>
      <c r="E423" s="129" t="s">
        <v>852</v>
      </c>
      <c r="F423" s="129"/>
      <c r="G423" s="59">
        <v>166.82000000000002</v>
      </c>
      <c r="H423" s="23"/>
    </row>
    <row r="424" spans="1:8" ht="15" customHeight="1">
      <c r="A424" s="16" t="s">
        <v>852</v>
      </c>
      <c r="B424" s="32" t="s">
        <v>852</v>
      </c>
      <c r="C424" s="32" t="s">
        <v>852</v>
      </c>
      <c r="D424" s="50" t="s">
        <v>443</v>
      </c>
      <c r="E424" s="129" t="s">
        <v>852</v>
      </c>
      <c r="F424" s="129"/>
      <c r="G424" s="59">
        <v>171</v>
      </c>
      <c r="H424" s="34" t="s">
        <v>852</v>
      </c>
    </row>
    <row r="425" spans="1:8" ht="15" customHeight="1">
      <c r="A425" s="16" t="s">
        <v>852</v>
      </c>
      <c r="B425" s="32" t="s">
        <v>852</v>
      </c>
      <c r="C425" s="32" t="s">
        <v>852</v>
      </c>
      <c r="D425" s="50" t="s">
        <v>203</v>
      </c>
      <c r="E425" s="129" t="s">
        <v>852</v>
      </c>
      <c r="F425" s="129"/>
      <c r="G425" s="59">
        <v>126.16000000000001</v>
      </c>
      <c r="H425" s="34" t="s">
        <v>852</v>
      </c>
    </row>
    <row r="426" spans="1:8" ht="15" customHeight="1">
      <c r="A426" s="16" t="s">
        <v>1124</v>
      </c>
      <c r="B426" s="32" t="s">
        <v>5</v>
      </c>
      <c r="C426" s="32" t="s">
        <v>418</v>
      </c>
      <c r="D426" s="70" t="s">
        <v>207</v>
      </c>
      <c r="E426" s="70"/>
      <c r="F426" s="32" t="s">
        <v>1026</v>
      </c>
      <c r="G426" s="9">
        <v>183.502</v>
      </c>
      <c r="H426" s="37">
        <v>0</v>
      </c>
    </row>
    <row r="427" spans="1:8" ht="15" customHeight="1">
      <c r="A427" s="47"/>
      <c r="D427" s="50" t="s">
        <v>1339</v>
      </c>
      <c r="E427" s="129" t="s">
        <v>852</v>
      </c>
      <c r="F427" s="129"/>
      <c r="G427" s="59">
        <v>166.82000000000002</v>
      </c>
      <c r="H427" s="23"/>
    </row>
    <row r="428" spans="1:8" ht="15" customHeight="1">
      <c r="A428" s="16" t="s">
        <v>852</v>
      </c>
      <c r="B428" s="32" t="s">
        <v>852</v>
      </c>
      <c r="C428" s="32" t="s">
        <v>852</v>
      </c>
      <c r="D428" s="50" t="s">
        <v>887</v>
      </c>
      <c r="E428" s="129" t="s">
        <v>852</v>
      </c>
      <c r="F428" s="129"/>
      <c r="G428" s="59">
        <v>16.682000000000002</v>
      </c>
      <c r="H428" s="34" t="s">
        <v>852</v>
      </c>
    </row>
    <row r="429" spans="1:8" ht="15" customHeight="1">
      <c r="A429" s="16" t="s">
        <v>649</v>
      </c>
      <c r="B429" s="32" t="s">
        <v>5</v>
      </c>
      <c r="C429" s="32" t="s">
        <v>1088</v>
      </c>
      <c r="D429" s="70" t="s">
        <v>432</v>
      </c>
      <c r="E429" s="70"/>
      <c r="F429" s="32" t="s">
        <v>1026</v>
      </c>
      <c r="G429" s="9">
        <v>188.10000000000002</v>
      </c>
      <c r="H429" s="37">
        <v>0</v>
      </c>
    </row>
    <row r="430" spans="1:8" ht="15" customHeight="1">
      <c r="A430" s="47"/>
      <c r="D430" s="50" t="s">
        <v>1284</v>
      </c>
      <c r="E430" s="129" t="s">
        <v>852</v>
      </c>
      <c r="F430" s="129"/>
      <c r="G430" s="59">
        <v>171</v>
      </c>
      <c r="H430" s="23"/>
    </row>
    <row r="431" spans="1:8" ht="15" customHeight="1">
      <c r="A431" s="16" t="s">
        <v>852</v>
      </c>
      <c r="B431" s="32" t="s">
        <v>852</v>
      </c>
      <c r="C431" s="32" t="s">
        <v>852</v>
      </c>
      <c r="D431" s="50" t="s">
        <v>393</v>
      </c>
      <c r="E431" s="129" t="s">
        <v>852</v>
      </c>
      <c r="F431" s="129"/>
      <c r="G431" s="59">
        <v>17.1</v>
      </c>
      <c r="H431" s="34" t="s">
        <v>852</v>
      </c>
    </row>
    <row r="432" spans="1:8" ht="15" customHeight="1">
      <c r="A432" s="16" t="s">
        <v>1109</v>
      </c>
      <c r="B432" s="32" t="s">
        <v>5</v>
      </c>
      <c r="C432" s="32" t="s">
        <v>843</v>
      </c>
      <c r="D432" s="70" t="s">
        <v>349</v>
      </c>
      <c r="E432" s="70"/>
      <c r="F432" s="32" t="s">
        <v>1026</v>
      </c>
      <c r="G432" s="9">
        <v>136.79600000000002</v>
      </c>
      <c r="H432" s="37">
        <v>0</v>
      </c>
    </row>
    <row r="433" spans="1:8" ht="15" customHeight="1">
      <c r="A433" s="47"/>
      <c r="D433" s="50" t="s">
        <v>871</v>
      </c>
      <c r="E433" s="129" t="s">
        <v>852</v>
      </c>
      <c r="F433" s="129"/>
      <c r="G433" s="59">
        <v>124.36000000000001</v>
      </c>
      <c r="H433" s="23"/>
    </row>
    <row r="434" spans="1:8" ht="15" customHeight="1">
      <c r="A434" s="16" t="s">
        <v>852</v>
      </c>
      <c r="B434" s="32" t="s">
        <v>852</v>
      </c>
      <c r="C434" s="32" t="s">
        <v>852</v>
      </c>
      <c r="D434" s="50" t="s">
        <v>513</v>
      </c>
      <c r="E434" s="129" t="s">
        <v>852</v>
      </c>
      <c r="F434" s="129"/>
      <c r="G434" s="59">
        <v>12.436000000000002</v>
      </c>
      <c r="H434" s="34" t="s">
        <v>852</v>
      </c>
    </row>
    <row r="435" spans="1:8" ht="15" customHeight="1">
      <c r="A435" s="16" t="s">
        <v>1311</v>
      </c>
      <c r="B435" s="32" t="s">
        <v>5</v>
      </c>
      <c r="C435" s="32" t="s">
        <v>64</v>
      </c>
      <c r="D435" s="70" t="s">
        <v>65</v>
      </c>
      <c r="E435" s="70"/>
      <c r="F435" s="32" t="s">
        <v>594</v>
      </c>
      <c r="G435" s="9">
        <v>9.030000000000001</v>
      </c>
      <c r="H435" s="37">
        <v>0</v>
      </c>
    </row>
    <row r="436" spans="1:8" ht="15" customHeight="1">
      <c r="A436" s="47"/>
      <c r="D436" s="50" t="s">
        <v>551</v>
      </c>
      <c r="E436" s="129" t="s">
        <v>852</v>
      </c>
      <c r="F436" s="129"/>
      <c r="G436" s="59">
        <v>9.030000000000001</v>
      </c>
      <c r="H436" s="23"/>
    </row>
    <row r="437" spans="1:8" ht="15" customHeight="1">
      <c r="A437" s="16" t="s">
        <v>386</v>
      </c>
      <c r="B437" s="32" t="s">
        <v>5</v>
      </c>
      <c r="C437" s="32" t="s">
        <v>96</v>
      </c>
      <c r="D437" s="70" t="s">
        <v>289</v>
      </c>
      <c r="E437" s="70"/>
      <c r="F437" s="32" t="s">
        <v>1213</v>
      </c>
      <c r="G437" s="9">
        <v>90.108</v>
      </c>
      <c r="H437" s="37">
        <v>0</v>
      </c>
    </row>
    <row r="438" spans="1:8" ht="15" customHeight="1">
      <c r="A438" s="47"/>
      <c r="D438" s="50" t="s">
        <v>632</v>
      </c>
      <c r="E438" s="129" t="s">
        <v>852</v>
      </c>
      <c r="F438" s="129"/>
      <c r="G438" s="59">
        <v>44.88</v>
      </c>
      <c r="H438" s="23"/>
    </row>
    <row r="439" spans="1:8" ht="15" customHeight="1">
      <c r="A439" s="16" t="s">
        <v>852</v>
      </c>
      <c r="B439" s="32" t="s">
        <v>852</v>
      </c>
      <c r="C439" s="32" t="s">
        <v>852</v>
      </c>
      <c r="D439" s="50" t="s">
        <v>770</v>
      </c>
      <c r="E439" s="129" t="s">
        <v>852</v>
      </c>
      <c r="F439" s="129"/>
      <c r="G439" s="59">
        <v>45.228</v>
      </c>
      <c r="H439" s="34" t="s">
        <v>852</v>
      </c>
    </row>
    <row r="440" spans="1:8" ht="15" customHeight="1">
      <c r="A440" s="16" t="s">
        <v>827</v>
      </c>
      <c r="B440" s="32" t="s">
        <v>5</v>
      </c>
      <c r="C440" s="32" t="s">
        <v>1386</v>
      </c>
      <c r="D440" s="70" t="s">
        <v>1271</v>
      </c>
      <c r="E440" s="70"/>
      <c r="F440" s="32" t="s">
        <v>1213</v>
      </c>
      <c r="G440" s="9">
        <v>25.94</v>
      </c>
      <c r="H440" s="37">
        <v>0</v>
      </c>
    </row>
    <row r="441" spans="1:8" ht="15" customHeight="1">
      <c r="A441" s="47"/>
      <c r="D441" s="50" t="s">
        <v>639</v>
      </c>
      <c r="E441" s="129" t="s">
        <v>852</v>
      </c>
      <c r="F441" s="129"/>
      <c r="G441" s="59">
        <v>17.040000000000003</v>
      </c>
      <c r="H441" s="23"/>
    </row>
    <row r="442" spans="1:8" ht="15" customHeight="1">
      <c r="A442" s="16" t="s">
        <v>852</v>
      </c>
      <c r="B442" s="32" t="s">
        <v>852</v>
      </c>
      <c r="C442" s="32" t="s">
        <v>852</v>
      </c>
      <c r="D442" s="50" t="s">
        <v>1375</v>
      </c>
      <c r="E442" s="129" t="s">
        <v>852</v>
      </c>
      <c r="F442" s="129"/>
      <c r="G442" s="59">
        <v>8.9</v>
      </c>
      <c r="H442" s="34" t="s">
        <v>852</v>
      </c>
    </row>
    <row r="443" spans="1:8" ht="15" customHeight="1">
      <c r="A443" s="16" t="s">
        <v>185</v>
      </c>
      <c r="B443" s="32" t="s">
        <v>5</v>
      </c>
      <c r="C443" s="32" t="s">
        <v>373</v>
      </c>
      <c r="D443" s="70" t="s">
        <v>1126</v>
      </c>
      <c r="E443" s="70"/>
      <c r="F443" s="32" t="s">
        <v>1213</v>
      </c>
      <c r="G443" s="9">
        <v>293.872</v>
      </c>
      <c r="H443" s="37">
        <v>0</v>
      </c>
    </row>
    <row r="444" spans="1:8" ht="15" customHeight="1">
      <c r="A444" s="47"/>
      <c r="D444" s="50" t="s">
        <v>811</v>
      </c>
      <c r="E444" s="129" t="s">
        <v>852</v>
      </c>
      <c r="F444" s="129"/>
      <c r="G444" s="59">
        <v>23.292</v>
      </c>
      <c r="H444" s="23"/>
    </row>
    <row r="445" spans="1:8" ht="15" customHeight="1">
      <c r="A445" s="16" t="s">
        <v>852</v>
      </c>
      <c r="B445" s="32" t="s">
        <v>852</v>
      </c>
      <c r="C445" s="32" t="s">
        <v>852</v>
      </c>
      <c r="D445" s="50" t="s">
        <v>956</v>
      </c>
      <c r="E445" s="129" t="s">
        <v>852</v>
      </c>
      <c r="F445" s="129"/>
      <c r="G445" s="59">
        <v>26.1</v>
      </c>
      <c r="H445" s="34" t="s">
        <v>852</v>
      </c>
    </row>
    <row r="446" spans="1:8" ht="15" customHeight="1">
      <c r="A446" s="16" t="s">
        <v>852</v>
      </c>
      <c r="B446" s="32" t="s">
        <v>852</v>
      </c>
      <c r="C446" s="32" t="s">
        <v>852</v>
      </c>
      <c r="D446" s="50" t="s">
        <v>243</v>
      </c>
      <c r="E446" s="129" t="s">
        <v>852</v>
      </c>
      <c r="F446" s="129"/>
      <c r="G446" s="59">
        <v>43.48800000000001</v>
      </c>
      <c r="H446" s="34" t="s">
        <v>852</v>
      </c>
    </row>
    <row r="447" spans="1:8" ht="15" customHeight="1">
      <c r="A447" s="16" t="s">
        <v>852</v>
      </c>
      <c r="B447" s="32" t="s">
        <v>852</v>
      </c>
      <c r="C447" s="32" t="s">
        <v>852</v>
      </c>
      <c r="D447" s="50" t="s">
        <v>632</v>
      </c>
      <c r="E447" s="129" t="s">
        <v>852</v>
      </c>
      <c r="F447" s="129"/>
      <c r="G447" s="59">
        <v>44.88</v>
      </c>
      <c r="H447" s="34" t="s">
        <v>852</v>
      </c>
    </row>
    <row r="448" spans="1:8" ht="15" customHeight="1">
      <c r="A448" s="16" t="s">
        <v>852</v>
      </c>
      <c r="B448" s="32" t="s">
        <v>852</v>
      </c>
      <c r="C448" s="32" t="s">
        <v>852</v>
      </c>
      <c r="D448" s="50" t="s">
        <v>770</v>
      </c>
      <c r="E448" s="129" t="s">
        <v>852</v>
      </c>
      <c r="F448" s="129"/>
      <c r="G448" s="59">
        <v>45.228</v>
      </c>
      <c r="H448" s="34" t="s">
        <v>852</v>
      </c>
    </row>
    <row r="449" spans="1:8" ht="15" customHeight="1">
      <c r="A449" s="16" t="s">
        <v>852</v>
      </c>
      <c r="B449" s="32" t="s">
        <v>852</v>
      </c>
      <c r="C449" s="32" t="s">
        <v>852</v>
      </c>
      <c r="D449" s="50" t="s">
        <v>1304</v>
      </c>
      <c r="E449" s="129" t="s">
        <v>852</v>
      </c>
      <c r="F449" s="129"/>
      <c r="G449" s="59">
        <v>28.464000000000002</v>
      </c>
      <c r="H449" s="34" t="s">
        <v>852</v>
      </c>
    </row>
    <row r="450" spans="1:8" ht="15" customHeight="1">
      <c r="A450" s="16" t="s">
        <v>852</v>
      </c>
      <c r="B450" s="32" t="s">
        <v>852</v>
      </c>
      <c r="C450" s="32" t="s">
        <v>852</v>
      </c>
      <c r="D450" s="50" t="s">
        <v>1371</v>
      </c>
      <c r="E450" s="129" t="s">
        <v>852</v>
      </c>
      <c r="F450" s="129"/>
      <c r="G450" s="59">
        <v>82.42</v>
      </c>
      <c r="H450" s="34" t="s">
        <v>852</v>
      </c>
    </row>
    <row r="451" spans="1:8" ht="15" customHeight="1">
      <c r="A451" s="16" t="s">
        <v>338</v>
      </c>
      <c r="B451" s="32" t="s">
        <v>5</v>
      </c>
      <c r="C451" s="32" t="s">
        <v>276</v>
      </c>
      <c r="D451" s="70" t="s">
        <v>429</v>
      </c>
      <c r="E451" s="70"/>
      <c r="F451" s="32" t="s">
        <v>317</v>
      </c>
      <c r="G451" s="9">
        <v>21</v>
      </c>
      <c r="H451" s="37">
        <v>0</v>
      </c>
    </row>
    <row r="452" spans="1:8" ht="15" customHeight="1">
      <c r="A452" s="16" t="s">
        <v>1427</v>
      </c>
      <c r="B452" s="32" t="s">
        <v>5</v>
      </c>
      <c r="C452" s="32" t="s">
        <v>1255</v>
      </c>
      <c r="D452" s="70" t="s">
        <v>427</v>
      </c>
      <c r="E452" s="70"/>
      <c r="F452" s="32" t="s">
        <v>317</v>
      </c>
      <c r="G452" s="9">
        <v>14.000000000000002</v>
      </c>
      <c r="H452" s="37">
        <v>0</v>
      </c>
    </row>
    <row r="453" spans="1:8" ht="15" customHeight="1">
      <c r="A453" s="16" t="s">
        <v>1292</v>
      </c>
      <c r="B453" s="32" t="s">
        <v>5</v>
      </c>
      <c r="C453" s="32" t="s">
        <v>515</v>
      </c>
      <c r="D453" s="70" t="s">
        <v>989</v>
      </c>
      <c r="E453" s="70"/>
      <c r="F453" s="32" t="s">
        <v>317</v>
      </c>
      <c r="G453" s="9">
        <v>72</v>
      </c>
      <c r="H453" s="37">
        <v>0</v>
      </c>
    </row>
    <row r="454" spans="1:8" ht="15" customHeight="1">
      <c r="A454" s="16" t="s">
        <v>605</v>
      </c>
      <c r="B454" s="32" t="s">
        <v>5</v>
      </c>
      <c r="C454" s="32" t="s">
        <v>1051</v>
      </c>
      <c r="D454" s="70" t="s">
        <v>1158</v>
      </c>
      <c r="E454" s="70"/>
      <c r="F454" s="32" t="s">
        <v>1026</v>
      </c>
      <c r="G454" s="9">
        <v>122.00000000000001</v>
      </c>
      <c r="H454" s="37">
        <v>0</v>
      </c>
    </row>
    <row r="455" spans="1:8" ht="15" customHeight="1">
      <c r="A455" s="16" t="s">
        <v>1095</v>
      </c>
      <c r="B455" s="32" t="s">
        <v>5</v>
      </c>
      <c r="C455" s="32" t="s">
        <v>1054</v>
      </c>
      <c r="D455" s="70" t="s">
        <v>1218</v>
      </c>
      <c r="E455" s="70"/>
      <c r="F455" s="32" t="s">
        <v>1026</v>
      </c>
      <c r="G455" s="9">
        <v>23.000000000000004</v>
      </c>
      <c r="H455" s="37">
        <v>0</v>
      </c>
    </row>
    <row r="456" spans="1:8" ht="15" customHeight="1">
      <c r="A456" s="16" t="s">
        <v>14</v>
      </c>
      <c r="B456" s="32" t="s">
        <v>5</v>
      </c>
      <c r="C456" s="32" t="s">
        <v>1059</v>
      </c>
      <c r="D456" s="70" t="s">
        <v>622</v>
      </c>
      <c r="E456" s="70"/>
      <c r="F456" s="32" t="s">
        <v>317</v>
      </c>
      <c r="G456" s="9">
        <v>1</v>
      </c>
      <c r="H456" s="37">
        <v>0</v>
      </c>
    </row>
    <row r="457" spans="1:8" ht="15" customHeight="1">
      <c r="A457" s="16" t="s">
        <v>925</v>
      </c>
      <c r="B457" s="32" t="s">
        <v>5</v>
      </c>
      <c r="C457" s="32" t="s">
        <v>274</v>
      </c>
      <c r="D457" s="70" t="s">
        <v>1078</v>
      </c>
      <c r="E457" s="70"/>
      <c r="F457" s="32" t="s">
        <v>798</v>
      </c>
      <c r="G457" s="9">
        <v>32</v>
      </c>
      <c r="H457" s="37">
        <v>0</v>
      </c>
    </row>
    <row r="458" spans="1:8" ht="15" customHeight="1">
      <c r="A458" s="16" t="s">
        <v>695</v>
      </c>
      <c r="B458" s="32" t="s">
        <v>5</v>
      </c>
      <c r="C458" s="32" t="s">
        <v>1097</v>
      </c>
      <c r="D458" s="70" t="s">
        <v>1018</v>
      </c>
      <c r="E458" s="70"/>
      <c r="F458" s="32" t="s">
        <v>861</v>
      </c>
      <c r="G458" s="9">
        <v>3.0000000000000004</v>
      </c>
      <c r="H458" s="37">
        <v>0</v>
      </c>
    </row>
    <row r="459" spans="1:8" ht="15" customHeight="1">
      <c r="A459" s="16" t="s">
        <v>1057</v>
      </c>
      <c r="B459" s="32" t="s">
        <v>5</v>
      </c>
      <c r="C459" s="32" t="s">
        <v>1363</v>
      </c>
      <c r="D459" s="70" t="s">
        <v>366</v>
      </c>
      <c r="E459" s="70"/>
      <c r="F459" s="32" t="s">
        <v>951</v>
      </c>
      <c r="G459" s="9">
        <v>3.0000000000000004</v>
      </c>
      <c r="H459" s="37">
        <v>0</v>
      </c>
    </row>
    <row r="460" spans="1:8" ht="15" customHeight="1">
      <c r="A460" s="16" t="s">
        <v>1396</v>
      </c>
      <c r="B460" s="32" t="s">
        <v>5</v>
      </c>
      <c r="C460" s="32" t="s">
        <v>767</v>
      </c>
      <c r="D460" s="70" t="s">
        <v>1332</v>
      </c>
      <c r="E460" s="70"/>
      <c r="F460" s="32" t="s">
        <v>798</v>
      </c>
      <c r="G460" s="9">
        <v>10</v>
      </c>
      <c r="H460" s="37">
        <v>0</v>
      </c>
    </row>
    <row r="461" spans="1:8" ht="15" customHeight="1">
      <c r="A461" s="16" t="s">
        <v>694</v>
      </c>
      <c r="B461" s="32" t="s">
        <v>5</v>
      </c>
      <c r="C461" s="32" t="s">
        <v>1171</v>
      </c>
      <c r="D461" s="70" t="s">
        <v>1107</v>
      </c>
      <c r="E461" s="70"/>
      <c r="F461" s="32" t="s">
        <v>1026</v>
      </c>
      <c r="G461" s="9">
        <v>60.00000000000001</v>
      </c>
      <c r="H461" s="37">
        <v>0</v>
      </c>
    </row>
    <row r="462" spans="1:8" ht="15" customHeight="1">
      <c r="A462" s="16" t="s">
        <v>1355</v>
      </c>
      <c r="B462" s="32" t="s">
        <v>5</v>
      </c>
      <c r="C462" s="32" t="s">
        <v>163</v>
      </c>
      <c r="D462" s="70" t="s">
        <v>45</v>
      </c>
      <c r="E462" s="70"/>
      <c r="F462" s="32" t="s">
        <v>1026</v>
      </c>
      <c r="G462" s="9">
        <v>6.000000000000001</v>
      </c>
      <c r="H462" s="37">
        <v>0</v>
      </c>
    </row>
    <row r="463" spans="1:8" ht="15" customHeight="1">
      <c r="A463" s="16" t="s">
        <v>272</v>
      </c>
      <c r="B463" s="32" t="s">
        <v>5</v>
      </c>
      <c r="C463" s="32" t="s">
        <v>426</v>
      </c>
      <c r="D463" s="70" t="s">
        <v>726</v>
      </c>
      <c r="E463" s="70"/>
      <c r="F463" s="32" t="s">
        <v>1026</v>
      </c>
      <c r="G463" s="9">
        <v>20</v>
      </c>
      <c r="H463" s="37">
        <v>0</v>
      </c>
    </row>
    <row r="464" spans="1:8" ht="15" customHeight="1">
      <c r="A464" s="16" t="s">
        <v>735</v>
      </c>
      <c r="B464" s="32" t="s">
        <v>5</v>
      </c>
      <c r="C464" s="32" t="s">
        <v>893</v>
      </c>
      <c r="D464" s="70" t="s">
        <v>1168</v>
      </c>
      <c r="E464" s="70"/>
      <c r="F464" s="32" t="s">
        <v>1026</v>
      </c>
      <c r="G464" s="9">
        <v>20</v>
      </c>
      <c r="H464" s="37">
        <v>0</v>
      </c>
    </row>
    <row r="465" spans="1:8" ht="15" customHeight="1">
      <c r="A465" s="16" t="s">
        <v>918</v>
      </c>
      <c r="B465" s="32" t="s">
        <v>5</v>
      </c>
      <c r="C465" s="32" t="s">
        <v>1405</v>
      </c>
      <c r="D465" s="70" t="s">
        <v>1082</v>
      </c>
      <c r="E465" s="70"/>
      <c r="F465" s="32" t="s">
        <v>861</v>
      </c>
      <c r="G465" s="9">
        <v>103.00000000000001</v>
      </c>
      <c r="H465" s="37">
        <v>0</v>
      </c>
    </row>
    <row r="466" spans="1:8" ht="15" customHeight="1">
      <c r="A466" s="16" t="s">
        <v>210</v>
      </c>
      <c r="B466" s="32" t="s">
        <v>5</v>
      </c>
      <c r="C466" s="32" t="s">
        <v>114</v>
      </c>
      <c r="D466" s="70" t="s">
        <v>1143</v>
      </c>
      <c r="E466" s="70"/>
      <c r="F466" s="32" t="s">
        <v>317</v>
      </c>
      <c r="G466" s="9">
        <v>69</v>
      </c>
      <c r="H466" s="37">
        <v>0</v>
      </c>
    </row>
    <row r="467" spans="1:8" ht="15" customHeight="1">
      <c r="A467" s="16" t="s">
        <v>1075</v>
      </c>
      <c r="B467" s="32" t="s">
        <v>5</v>
      </c>
      <c r="C467" s="32" t="s">
        <v>982</v>
      </c>
      <c r="D467" s="70" t="s">
        <v>1303</v>
      </c>
      <c r="E467" s="70"/>
      <c r="F467" s="32" t="s">
        <v>317</v>
      </c>
      <c r="G467" s="9">
        <v>28.000000000000004</v>
      </c>
      <c r="H467" s="37">
        <v>0</v>
      </c>
    </row>
    <row r="468" spans="1:8" ht="15" customHeight="1">
      <c r="A468" s="16" t="s">
        <v>857</v>
      </c>
      <c r="B468" s="32" t="s">
        <v>5</v>
      </c>
      <c r="C468" s="32" t="s">
        <v>168</v>
      </c>
      <c r="D468" s="70" t="s">
        <v>292</v>
      </c>
      <c r="E468" s="70"/>
      <c r="F468" s="32" t="s">
        <v>317</v>
      </c>
      <c r="G468" s="9">
        <v>3.0000000000000004</v>
      </c>
      <c r="H468" s="37">
        <v>0</v>
      </c>
    </row>
    <row r="469" spans="1:8" ht="15" customHeight="1">
      <c r="A469" s="16" t="s">
        <v>350</v>
      </c>
      <c r="B469" s="32" t="s">
        <v>5</v>
      </c>
      <c r="C469" s="32" t="s">
        <v>869</v>
      </c>
      <c r="D469" s="70" t="s">
        <v>832</v>
      </c>
      <c r="E469" s="70"/>
      <c r="F469" s="32" t="s">
        <v>317</v>
      </c>
      <c r="G469" s="9">
        <v>3.0000000000000004</v>
      </c>
      <c r="H469" s="37">
        <v>0</v>
      </c>
    </row>
    <row r="470" spans="1:8" ht="15" customHeight="1">
      <c r="A470" s="16" t="s">
        <v>1133</v>
      </c>
      <c r="B470" s="32" t="s">
        <v>5</v>
      </c>
      <c r="C470" s="32" t="s">
        <v>818</v>
      </c>
      <c r="D470" s="70" t="s">
        <v>183</v>
      </c>
      <c r="E470" s="70"/>
      <c r="F470" s="32" t="s">
        <v>317</v>
      </c>
      <c r="G470" s="9">
        <v>3.0000000000000004</v>
      </c>
      <c r="H470" s="37">
        <v>0</v>
      </c>
    </row>
    <row r="471" spans="1:8" ht="15" customHeight="1">
      <c r="A471" s="16" t="s">
        <v>1368</v>
      </c>
      <c r="B471" s="32" t="s">
        <v>5</v>
      </c>
      <c r="C471" s="32" t="s">
        <v>284</v>
      </c>
      <c r="D471" s="70" t="s">
        <v>1244</v>
      </c>
      <c r="E471" s="70"/>
      <c r="F471" s="32" t="s">
        <v>317</v>
      </c>
      <c r="G471" s="9">
        <v>3.0000000000000004</v>
      </c>
      <c r="H471" s="37">
        <v>0</v>
      </c>
    </row>
    <row r="472" spans="1:8" ht="15" customHeight="1">
      <c r="A472" s="16" t="s">
        <v>885</v>
      </c>
      <c r="B472" s="32" t="s">
        <v>5</v>
      </c>
      <c r="C472" s="32" t="s">
        <v>1101</v>
      </c>
      <c r="D472" s="70" t="s">
        <v>1009</v>
      </c>
      <c r="E472" s="70"/>
      <c r="F472" s="32" t="s">
        <v>798</v>
      </c>
      <c r="G472" s="9">
        <v>29.000000000000004</v>
      </c>
      <c r="H472" s="37">
        <v>0</v>
      </c>
    </row>
    <row r="473" spans="1:8" ht="15" customHeight="1">
      <c r="A473" s="16" t="s">
        <v>1024</v>
      </c>
      <c r="B473" s="32" t="s">
        <v>5</v>
      </c>
      <c r="C473" s="32" t="s">
        <v>822</v>
      </c>
      <c r="D473" s="70" t="s">
        <v>334</v>
      </c>
      <c r="E473" s="70"/>
      <c r="F473" s="32" t="s">
        <v>1026</v>
      </c>
      <c r="G473" s="9">
        <v>180.00000000000003</v>
      </c>
      <c r="H473" s="37">
        <v>0</v>
      </c>
    </row>
    <row r="474" spans="1:8" ht="15" customHeight="1">
      <c r="A474" s="16" t="s">
        <v>831</v>
      </c>
      <c r="B474" s="32" t="s">
        <v>5</v>
      </c>
      <c r="C474" s="32" t="s">
        <v>820</v>
      </c>
      <c r="D474" s="70" t="s">
        <v>761</v>
      </c>
      <c r="E474" s="70"/>
      <c r="F474" s="32" t="s">
        <v>1026</v>
      </c>
      <c r="G474" s="9">
        <v>120.00000000000001</v>
      </c>
      <c r="H474" s="37">
        <v>0</v>
      </c>
    </row>
    <row r="475" spans="1:8" ht="15" customHeight="1">
      <c r="A475" s="16" t="s">
        <v>687</v>
      </c>
      <c r="B475" s="32" t="s">
        <v>5</v>
      </c>
      <c r="C475" s="32" t="s">
        <v>1069</v>
      </c>
      <c r="D475" s="70" t="s">
        <v>459</v>
      </c>
      <c r="E475" s="70"/>
      <c r="F475" s="32" t="s">
        <v>1026</v>
      </c>
      <c r="G475" s="9">
        <v>60.00000000000001</v>
      </c>
      <c r="H475" s="37">
        <v>0</v>
      </c>
    </row>
    <row r="476" spans="1:8" ht="15" customHeight="1">
      <c r="A476" s="16" t="s">
        <v>953</v>
      </c>
      <c r="B476" s="32" t="s">
        <v>5</v>
      </c>
      <c r="C476" s="32" t="s">
        <v>1361</v>
      </c>
      <c r="D476" s="70" t="s">
        <v>1042</v>
      </c>
      <c r="E476" s="70"/>
      <c r="F476" s="32" t="s">
        <v>1026</v>
      </c>
      <c r="G476" s="9">
        <v>1250</v>
      </c>
      <c r="H476" s="37">
        <v>0</v>
      </c>
    </row>
    <row r="477" spans="1:8" ht="15" customHeight="1">
      <c r="A477" s="16" t="s">
        <v>939</v>
      </c>
      <c r="B477" s="32" t="s">
        <v>5</v>
      </c>
      <c r="C477" s="32" t="s">
        <v>850</v>
      </c>
      <c r="D477" s="70" t="s">
        <v>611</v>
      </c>
      <c r="E477" s="70"/>
      <c r="F477" s="32" t="s">
        <v>1026</v>
      </c>
      <c r="G477" s="9">
        <v>810.0000000000001</v>
      </c>
      <c r="H477" s="37">
        <v>0</v>
      </c>
    </row>
    <row r="478" spans="1:8" ht="15" customHeight="1">
      <c r="A478" s="16" t="s">
        <v>465</v>
      </c>
      <c r="B478" s="32" t="s">
        <v>5</v>
      </c>
      <c r="C478" s="32" t="s">
        <v>1164</v>
      </c>
      <c r="D478" s="70" t="s">
        <v>841</v>
      </c>
      <c r="E478" s="70"/>
      <c r="F478" s="32" t="s">
        <v>1026</v>
      </c>
      <c r="G478" s="9">
        <v>360.00000000000006</v>
      </c>
      <c r="H478" s="37">
        <v>0</v>
      </c>
    </row>
    <row r="479" spans="1:8" ht="15" customHeight="1">
      <c r="A479" s="16" t="s">
        <v>504</v>
      </c>
      <c r="B479" s="32" t="s">
        <v>5</v>
      </c>
      <c r="C479" s="32" t="s">
        <v>1192</v>
      </c>
      <c r="D479" s="70" t="s">
        <v>172</v>
      </c>
      <c r="E479" s="70"/>
      <c r="F479" s="32" t="s">
        <v>1026</v>
      </c>
      <c r="G479" s="9">
        <v>80</v>
      </c>
      <c r="H479" s="37">
        <v>0</v>
      </c>
    </row>
    <row r="480" spans="1:8" ht="15" customHeight="1">
      <c r="A480" s="16" t="s">
        <v>1242</v>
      </c>
      <c r="B480" s="32" t="s">
        <v>5</v>
      </c>
      <c r="C480" s="32" t="s">
        <v>1352</v>
      </c>
      <c r="D480" s="70" t="s">
        <v>909</v>
      </c>
      <c r="E480" s="70"/>
      <c r="F480" s="32" t="s">
        <v>1026</v>
      </c>
      <c r="G480" s="9">
        <v>252.00000000000003</v>
      </c>
      <c r="H480" s="37">
        <v>0</v>
      </c>
    </row>
    <row r="481" spans="1:8" ht="15" customHeight="1">
      <c r="A481" s="16" t="s">
        <v>304</v>
      </c>
      <c r="B481" s="32" t="s">
        <v>5</v>
      </c>
      <c r="C481" s="32" t="s">
        <v>68</v>
      </c>
      <c r="D481" s="70" t="s">
        <v>1425</v>
      </c>
      <c r="E481" s="70"/>
      <c r="F481" s="32" t="s">
        <v>1026</v>
      </c>
      <c r="G481" s="9">
        <v>150</v>
      </c>
      <c r="H481" s="37">
        <v>0</v>
      </c>
    </row>
    <row r="482" spans="1:8" ht="15" customHeight="1">
      <c r="A482" s="16" t="s">
        <v>20</v>
      </c>
      <c r="B482" s="32" t="s">
        <v>5</v>
      </c>
      <c r="C482" s="32" t="s">
        <v>758</v>
      </c>
      <c r="D482" s="70" t="s">
        <v>1216</v>
      </c>
      <c r="E482" s="70"/>
      <c r="F482" s="32" t="s">
        <v>1026</v>
      </c>
      <c r="G482" s="9">
        <v>102.00000000000001</v>
      </c>
      <c r="H482" s="37">
        <v>0</v>
      </c>
    </row>
    <row r="483" spans="1:8" ht="15" customHeight="1">
      <c r="A483" s="16" t="s">
        <v>310</v>
      </c>
      <c r="B483" s="32" t="s">
        <v>5</v>
      </c>
      <c r="C483" s="32" t="s">
        <v>525</v>
      </c>
      <c r="D483" s="70" t="s">
        <v>703</v>
      </c>
      <c r="E483" s="70"/>
      <c r="F483" s="32" t="s">
        <v>317</v>
      </c>
      <c r="G483" s="9">
        <v>152</v>
      </c>
      <c r="H483" s="37">
        <v>0</v>
      </c>
    </row>
    <row r="484" spans="1:8" ht="15" customHeight="1">
      <c r="A484" s="16" t="s">
        <v>389</v>
      </c>
      <c r="B484" s="32" t="s">
        <v>5</v>
      </c>
      <c r="C484" s="32" t="s">
        <v>791</v>
      </c>
      <c r="D484" s="70" t="s">
        <v>388</v>
      </c>
      <c r="E484" s="70"/>
      <c r="F484" s="32" t="s">
        <v>861</v>
      </c>
      <c r="G484" s="9">
        <v>39</v>
      </c>
      <c r="H484" s="37">
        <v>0</v>
      </c>
    </row>
    <row r="485" spans="1:8" ht="15" customHeight="1">
      <c r="A485" s="16" t="s">
        <v>1354</v>
      </c>
      <c r="B485" s="32" t="s">
        <v>5</v>
      </c>
      <c r="C485" s="32" t="s">
        <v>1188</v>
      </c>
      <c r="D485" s="70" t="s">
        <v>325</v>
      </c>
      <c r="E485" s="70"/>
      <c r="F485" s="32" t="s">
        <v>861</v>
      </c>
      <c r="G485" s="9">
        <v>4</v>
      </c>
      <c r="H485" s="37">
        <v>0</v>
      </c>
    </row>
    <row r="486" spans="1:8" ht="15" customHeight="1">
      <c r="A486" s="16" t="s">
        <v>122</v>
      </c>
      <c r="B486" s="32" t="s">
        <v>5</v>
      </c>
      <c r="C486" s="32" t="s">
        <v>926</v>
      </c>
      <c r="D486" s="70" t="s">
        <v>211</v>
      </c>
      <c r="E486" s="70"/>
      <c r="F486" s="32" t="s">
        <v>861</v>
      </c>
      <c r="G486" s="9">
        <v>39</v>
      </c>
      <c r="H486" s="37">
        <v>0</v>
      </c>
    </row>
    <row r="487" spans="1:8" ht="15" customHeight="1">
      <c r="A487" s="16" t="s">
        <v>502</v>
      </c>
      <c r="B487" s="32" t="s">
        <v>5</v>
      </c>
      <c r="C487" s="32" t="s">
        <v>904</v>
      </c>
      <c r="D487" s="70" t="s">
        <v>555</v>
      </c>
      <c r="E487" s="70"/>
      <c r="F487" s="32" t="s">
        <v>1052</v>
      </c>
      <c r="G487" s="9">
        <v>11.000000000000002</v>
      </c>
      <c r="H487" s="37">
        <v>0</v>
      </c>
    </row>
    <row r="488" spans="1:8" ht="15" customHeight="1">
      <c r="A488" s="16" t="s">
        <v>638</v>
      </c>
      <c r="B488" s="32" t="s">
        <v>5</v>
      </c>
      <c r="C488" s="32" t="s">
        <v>326</v>
      </c>
      <c r="D488" s="70" t="s">
        <v>69</v>
      </c>
      <c r="E488" s="70"/>
      <c r="F488" s="32" t="s">
        <v>317</v>
      </c>
      <c r="G488" s="9">
        <v>8</v>
      </c>
      <c r="H488" s="37">
        <v>0</v>
      </c>
    </row>
    <row r="489" spans="1:8" ht="15" customHeight="1">
      <c r="A489" s="16" t="s">
        <v>404</v>
      </c>
      <c r="B489" s="32" t="s">
        <v>5</v>
      </c>
      <c r="C489" s="32" t="s">
        <v>1416</v>
      </c>
      <c r="D489" s="70" t="s">
        <v>146</v>
      </c>
      <c r="E489" s="70"/>
      <c r="F489" s="32" t="s">
        <v>317</v>
      </c>
      <c r="G489" s="9">
        <v>3.0000000000000004</v>
      </c>
      <c r="H489" s="37">
        <v>0</v>
      </c>
    </row>
    <row r="490" spans="1:8" ht="15" customHeight="1">
      <c r="A490" s="16" t="s">
        <v>285</v>
      </c>
      <c r="B490" s="32" t="s">
        <v>5</v>
      </c>
      <c r="C490" s="32" t="s">
        <v>369</v>
      </c>
      <c r="D490" s="70" t="s">
        <v>1091</v>
      </c>
      <c r="E490" s="70"/>
      <c r="F490" s="32" t="s">
        <v>408</v>
      </c>
      <c r="G490" s="9">
        <v>3.0000000000000004</v>
      </c>
      <c r="H490" s="37">
        <v>0</v>
      </c>
    </row>
    <row r="491" spans="1:8" ht="15" customHeight="1">
      <c r="A491" s="16" t="s">
        <v>160</v>
      </c>
      <c r="B491" s="32" t="s">
        <v>5</v>
      </c>
      <c r="C491" s="32" t="s">
        <v>1235</v>
      </c>
      <c r="D491" s="70" t="s">
        <v>256</v>
      </c>
      <c r="E491" s="70"/>
      <c r="F491" s="32" t="s">
        <v>317</v>
      </c>
      <c r="G491" s="9">
        <v>14.000000000000002</v>
      </c>
      <c r="H491" s="37">
        <v>0</v>
      </c>
    </row>
    <row r="492" spans="1:8" ht="15" customHeight="1">
      <c r="A492" s="16" t="s">
        <v>689</v>
      </c>
      <c r="B492" s="32" t="s">
        <v>5</v>
      </c>
      <c r="C492" s="32" t="s">
        <v>1327</v>
      </c>
      <c r="D492" s="70" t="s">
        <v>291</v>
      </c>
      <c r="E492" s="70"/>
      <c r="F492" s="32" t="s">
        <v>317</v>
      </c>
      <c r="G492" s="9">
        <v>14.000000000000002</v>
      </c>
      <c r="H492" s="37">
        <v>0</v>
      </c>
    </row>
    <row r="493" spans="1:8" ht="15" customHeight="1">
      <c r="A493" s="16" t="s">
        <v>1151</v>
      </c>
      <c r="B493" s="32" t="s">
        <v>5</v>
      </c>
      <c r="C493" s="32" t="s">
        <v>747</v>
      </c>
      <c r="D493" s="70" t="s">
        <v>188</v>
      </c>
      <c r="E493" s="70"/>
      <c r="F493" s="32" t="s">
        <v>317</v>
      </c>
      <c r="G493" s="9">
        <v>6.000000000000001</v>
      </c>
      <c r="H493" s="37">
        <v>0</v>
      </c>
    </row>
    <row r="494" spans="1:8" ht="15" customHeight="1">
      <c r="A494" s="16" t="s">
        <v>1408</v>
      </c>
      <c r="B494" s="32" t="s">
        <v>5</v>
      </c>
      <c r="C494" s="32" t="s">
        <v>970</v>
      </c>
      <c r="D494" s="70" t="s">
        <v>786</v>
      </c>
      <c r="E494" s="70"/>
      <c r="F494" s="32" t="s">
        <v>317</v>
      </c>
      <c r="G494" s="9">
        <v>6.000000000000001</v>
      </c>
      <c r="H494" s="37">
        <v>0</v>
      </c>
    </row>
    <row r="495" spans="1:8" ht="15" customHeight="1">
      <c r="A495" s="16" t="s">
        <v>71</v>
      </c>
      <c r="B495" s="32" t="s">
        <v>5</v>
      </c>
      <c r="C495" s="32" t="s">
        <v>754</v>
      </c>
      <c r="D495" s="70" t="s">
        <v>1258</v>
      </c>
      <c r="E495" s="70"/>
      <c r="F495" s="32" t="s">
        <v>317</v>
      </c>
      <c r="G495" s="9">
        <v>4</v>
      </c>
      <c r="H495" s="37">
        <v>0</v>
      </c>
    </row>
    <row r="496" spans="1:8" ht="15" customHeight="1">
      <c r="A496" s="16" t="s">
        <v>1215</v>
      </c>
      <c r="B496" s="32" t="s">
        <v>5</v>
      </c>
      <c r="C496" s="32" t="s">
        <v>719</v>
      </c>
      <c r="D496" s="70" t="s">
        <v>1258</v>
      </c>
      <c r="E496" s="70"/>
      <c r="F496" s="32" t="s">
        <v>317</v>
      </c>
      <c r="G496" s="9">
        <v>4</v>
      </c>
      <c r="H496" s="37">
        <v>0</v>
      </c>
    </row>
    <row r="497" spans="1:8" ht="15" customHeight="1">
      <c r="A497" s="16" t="s">
        <v>81</v>
      </c>
      <c r="B497" s="32" t="s">
        <v>5</v>
      </c>
      <c r="C497" s="32" t="s">
        <v>872</v>
      </c>
      <c r="D497" s="70" t="s">
        <v>301</v>
      </c>
      <c r="E497" s="70"/>
      <c r="F497" s="32" t="s">
        <v>317</v>
      </c>
      <c r="G497" s="9">
        <v>16</v>
      </c>
      <c r="H497" s="37">
        <v>0</v>
      </c>
    </row>
    <row r="498" spans="1:8" ht="15" customHeight="1">
      <c r="A498" s="16" t="s">
        <v>1392</v>
      </c>
      <c r="B498" s="32" t="s">
        <v>5</v>
      </c>
      <c r="C498" s="32" t="s">
        <v>1089</v>
      </c>
      <c r="D498" s="70" t="s">
        <v>737</v>
      </c>
      <c r="E498" s="70"/>
      <c r="F498" s="32" t="s">
        <v>861</v>
      </c>
      <c r="G498" s="9">
        <v>10</v>
      </c>
      <c r="H498" s="37">
        <v>0</v>
      </c>
    </row>
    <row r="499" spans="1:8" ht="15" customHeight="1">
      <c r="A499" s="16" t="s">
        <v>1019</v>
      </c>
      <c r="B499" s="32" t="s">
        <v>5</v>
      </c>
      <c r="C499" s="32" t="s">
        <v>97</v>
      </c>
      <c r="D499" s="70" t="s">
        <v>1154</v>
      </c>
      <c r="E499" s="70"/>
      <c r="F499" s="32" t="s">
        <v>861</v>
      </c>
      <c r="G499" s="9">
        <v>6.000000000000001</v>
      </c>
      <c r="H499" s="37">
        <v>0</v>
      </c>
    </row>
    <row r="500" spans="1:8" ht="15" customHeight="1">
      <c r="A500" s="16" t="s">
        <v>1417</v>
      </c>
      <c r="B500" s="32" t="s">
        <v>5</v>
      </c>
      <c r="C500" s="32" t="s">
        <v>754</v>
      </c>
      <c r="D500" s="70" t="s">
        <v>826</v>
      </c>
      <c r="E500" s="70"/>
      <c r="F500" s="32" t="s">
        <v>317</v>
      </c>
      <c r="G500" s="9">
        <v>2</v>
      </c>
      <c r="H500" s="37">
        <v>0</v>
      </c>
    </row>
    <row r="501" spans="1:8" ht="15" customHeight="1">
      <c r="A501" s="16" t="s">
        <v>503</v>
      </c>
      <c r="B501" s="32" t="s">
        <v>5</v>
      </c>
      <c r="C501" s="32" t="s">
        <v>394</v>
      </c>
      <c r="D501" s="70" t="s">
        <v>826</v>
      </c>
      <c r="E501" s="70"/>
      <c r="F501" s="32" t="s">
        <v>317</v>
      </c>
      <c r="G501" s="9">
        <v>2</v>
      </c>
      <c r="H501" s="37">
        <v>0</v>
      </c>
    </row>
    <row r="502" spans="1:8" ht="15" customHeight="1">
      <c r="A502" s="16" t="s">
        <v>227</v>
      </c>
      <c r="B502" s="32" t="s">
        <v>5</v>
      </c>
      <c r="C502" s="32" t="s">
        <v>1230</v>
      </c>
      <c r="D502" s="70" t="s">
        <v>1418</v>
      </c>
      <c r="E502" s="70"/>
      <c r="F502" s="32" t="s">
        <v>317</v>
      </c>
      <c r="G502" s="9">
        <v>2</v>
      </c>
      <c r="H502" s="37">
        <v>0</v>
      </c>
    </row>
    <row r="503" spans="1:8" ht="15" customHeight="1">
      <c r="A503" s="16" t="s">
        <v>1353</v>
      </c>
      <c r="B503" s="32" t="s">
        <v>5</v>
      </c>
      <c r="C503" s="32" t="s">
        <v>485</v>
      </c>
      <c r="D503" s="70" t="s">
        <v>985</v>
      </c>
      <c r="E503" s="70"/>
      <c r="F503" s="32" t="s">
        <v>317</v>
      </c>
      <c r="G503" s="9">
        <v>36</v>
      </c>
      <c r="H503" s="37">
        <v>0</v>
      </c>
    </row>
    <row r="504" spans="1:8" ht="15" customHeight="1">
      <c r="A504" s="16" t="s">
        <v>884</v>
      </c>
      <c r="B504" s="32" t="s">
        <v>5</v>
      </c>
      <c r="C504" s="32" t="s">
        <v>240</v>
      </c>
      <c r="D504" s="70" t="s">
        <v>1105</v>
      </c>
      <c r="E504" s="70"/>
      <c r="F504" s="32" t="s">
        <v>317</v>
      </c>
      <c r="G504" s="9">
        <v>12.000000000000002</v>
      </c>
      <c r="H504" s="37">
        <v>0</v>
      </c>
    </row>
    <row r="505" spans="1:8" ht="15" customHeight="1">
      <c r="A505" s="16" t="s">
        <v>829</v>
      </c>
      <c r="B505" s="32" t="s">
        <v>5</v>
      </c>
      <c r="C505" s="32" t="s">
        <v>1317</v>
      </c>
      <c r="D505" s="70" t="s">
        <v>1</v>
      </c>
      <c r="E505" s="70"/>
      <c r="F505" s="32" t="s">
        <v>317</v>
      </c>
      <c r="G505" s="9">
        <v>16</v>
      </c>
      <c r="H505" s="37">
        <v>0</v>
      </c>
    </row>
    <row r="506" spans="1:8" ht="15" customHeight="1">
      <c r="A506" s="16" t="s">
        <v>1323</v>
      </c>
      <c r="B506" s="32" t="s">
        <v>5</v>
      </c>
      <c r="C506" s="32" t="s">
        <v>1201</v>
      </c>
      <c r="D506" s="70" t="s">
        <v>455</v>
      </c>
      <c r="E506" s="70"/>
      <c r="F506" s="32" t="s">
        <v>317</v>
      </c>
      <c r="G506" s="9">
        <v>8</v>
      </c>
      <c r="H506" s="37">
        <v>0</v>
      </c>
    </row>
    <row r="507" spans="1:8" ht="15" customHeight="1">
      <c r="A507" s="16" t="s">
        <v>1296</v>
      </c>
      <c r="B507" s="32" t="s">
        <v>5</v>
      </c>
      <c r="C507" s="32" t="s">
        <v>888</v>
      </c>
      <c r="D507" s="70" t="s">
        <v>277</v>
      </c>
      <c r="E507" s="70"/>
      <c r="F507" s="32" t="s">
        <v>317</v>
      </c>
      <c r="G507" s="9">
        <v>8</v>
      </c>
      <c r="H507" s="37">
        <v>0</v>
      </c>
    </row>
    <row r="508" spans="1:8" ht="15" customHeight="1">
      <c r="A508" s="16" t="s">
        <v>287</v>
      </c>
      <c r="B508" s="32" t="s">
        <v>5</v>
      </c>
      <c r="C508" s="32" t="s">
        <v>413</v>
      </c>
      <c r="D508" s="70" t="s">
        <v>517</v>
      </c>
      <c r="E508" s="70"/>
      <c r="F508" s="32" t="s">
        <v>317</v>
      </c>
      <c r="G508" s="9">
        <v>10</v>
      </c>
      <c r="H508" s="37">
        <v>0</v>
      </c>
    </row>
    <row r="509" spans="1:8" ht="15" customHeight="1">
      <c r="A509" s="16" t="s">
        <v>1246</v>
      </c>
      <c r="B509" s="32" t="s">
        <v>5</v>
      </c>
      <c r="C509" s="32" t="s">
        <v>79</v>
      </c>
      <c r="D509" s="70" t="s">
        <v>917</v>
      </c>
      <c r="E509" s="70"/>
      <c r="F509" s="32" t="s">
        <v>453</v>
      </c>
      <c r="G509" s="9">
        <v>2</v>
      </c>
      <c r="H509" s="37">
        <v>0</v>
      </c>
    </row>
    <row r="510" spans="1:8" ht="15" customHeight="1">
      <c r="A510" s="16" t="s">
        <v>875</v>
      </c>
      <c r="B510" s="32" t="s">
        <v>5</v>
      </c>
      <c r="C510" s="32" t="s">
        <v>222</v>
      </c>
      <c r="D510" s="70" t="s">
        <v>874</v>
      </c>
      <c r="E510" s="70"/>
      <c r="F510" s="32" t="s">
        <v>453</v>
      </c>
      <c r="G510" s="9">
        <v>2</v>
      </c>
      <c r="H510" s="37">
        <v>0</v>
      </c>
    </row>
    <row r="511" spans="1:8" ht="15" customHeight="1">
      <c r="A511" s="16" t="s">
        <v>154</v>
      </c>
      <c r="B511" s="32" t="s">
        <v>5</v>
      </c>
      <c r="C511" s="32" t="s">
        <v>1301</v>
      </c>
      <c r="D511" s="70" t="s">
        <v>1077</v>
      </c>
      <c r="E511" s="70"/>
      <c r="F511" s="32" t="s">
        <v>798</v>
      </c>
      <c r="G511" s="9">
        <v>12.000000000000002</v>
      </c>
      <c r="H511" s="37">
        <v>0</v>
      </c>
    </row>
    <row r="512" spans="1:8" ht="15" customHeight="1">
      <c r="A512" s="16" t="s">
        <v>708</v>
      </c>
      <c r="B512" s="32" t="s">
        <v>5</v>
      </c>
      <c r="C512" s="32" t="s">
        <v>489</v>
      </c>
      <c r="D512" s="70" t="s">
        <v>1077</v>
      </c>
      <c r="E512" s="70"/>
      <c r="F512" s="32" t="s">
        <v>861</v>
      </c>
      <c r="G512" s="9">
        <v>2</v>
      </c>
      <c r="H512" s="37">
        <v>0</v>
      </c>
    </row>
    <row r="513" spans="1:8" ht="15" customHeight="1">
      <c r="A513" s="16" t="s">
        <v>1335</v>
      </c>
      <c r="B513" s="32" t="s">
        <v>5</v>
      </c>
      <c r="C513" s="32" t="s">
        <v>401</v>
      </c>
      <c r="D513" s="70" t="s">
        <v>419</v>
      </c>
      <c r="E513" s="70"/>
      <c r="F513" s="32" t="s">
        <v>453</v>
      </c>
      <c r="G513" s="9">
        <v>3.0000000000000004</v>
      </c>
      <c r="H513" s="37">
        <v>0</v>
      </c>
    </row>
    <row r="514" spans="1:8" ht="15" customHeight="1">
      <c r="A514" s="16" t="s">
        <v>595</v>
      </c>
      <c r="B514" s="32" t="s">
        <v>5</v>
      </c>
      <c r="C514" s="32" t="s">
        <v>1319</v>
      </c>
      <c r="D514" s="70" t="s">
        <v>610</v>
      </c>
      <c r="E514" s="70"/>
      <c r="F514" s="32" t="s">
        <v>453</v>
      </c>
      <c r="G514" s="9">
        <v>3.0000000000000004</v>
      </c>
      <c r="H514" s="37">
        <v>0</v>
      </c>
    </row>
    <row r="515" spans="1:8" ht="15" customHeight="1">
      <c r="A515" s="16" t="s">
        <v>481</v>
      </c>
      <c r="B515" s="32" t="s">
        <v>5</v>
      </c>
      <c r="C515" s="32" t="s">
        <v>663</v>
      </c>
      <c r="D515" s="70" t="s">
        <v>1065</v>
      </c>
      <c r="E515" s="70"/>
      <c r="F515" s="32" t="s">
        <v>453</v>
      </c>
      <c r="G515" s="9">
        <v>2</v>
      </c>
      <c r="H515" s="37">
        <v>0</v>
      </c>
    </row>
    <row r="516" spans="1:8" ht="15" customHeight="1">
      <c r="A516" s="16" t="s">
        <v>115</v>
      </c>
      <c r="B516" s="32" t="s">
        <v>5</v>
      </c>
      <c r="C516" s="32" t="s">
        <v>569</v>
      </c>
      <c r="D516" s="70" t="s">
        <v>339</v>
      </c>
      <c r="E516" s="70"/>
      <c r="F516" s="32" t="s">
        <v>453</v>
      </c>
      <c r="G516" s="9">
        <v>2</v>
      </c>
      <c r="H516" s="37">
        <v>0</v>
      </c>
    </row>
    <row r="517" spans="1:8" ht="15" customHeight="1">
      <c r="A517" s="16" t="s">
        <v>385</v>
      </c>
      <c r="B517" s="32" t="s">
        <v>5</v>
      </c>
      <c r="C517" s="32" t="s">
        <v>145</v>
      </c>
      <c r="D517" s="70" t="s">
        <v>1146</v>
      </c>
      <c r="E517" s="70"/>
      <c r="F517" s="32" t="s">
        <v>798</v>
      </c>
      <c r="G517" s="9">
        <v>40</v>
      </c>
      <c r="H517" s="37">
        <v>0</v>
      </c>
    </row>
    <row r="518" spans="1:8" ht="15" customHeight="1">
      <c r="A518" s="16" t="s">
        <v>574</v>
      </c>
      <c r="B518" s="32" t="s">
        <v>5</v>
      </c>
      <c r="C518" s="32" t="s">
        <v>1222</v>
      </c>
      <c r="D518" s="70" t="s">
        <v>1225</v>
      </c>
      <c r="E518" s="70"/>
      <c r="F518" s="32" t="s">
        <v>1213</v>
      </c>
      <c r="G518" s="9">
        <v>20</v>
      </c>
      <c r="H518" s="37">
        <v>0</v>
      </c>
    </row>
    <row r="519" spans="1:8" ht="15" customHeight="1">
      <c r="A519" s="16" t="s">
        <v>2</v>
      </c>
      <c r="B519" s="32" t="s">
        <v>5</v>
      </c>
      <c r="C519" s="32" t="s">
        <v>1023</v>
      </c>
      <c r="D519" s="70" t="s">
        <v>582</v>
      </c>
      <c r="E519" s="70"/>
      <c r="F519" s="32" t="s">
        <v>453</v>
      </c>
      <c r="G519" s="9">
        <v>2</v>
      </c>
      <c r="H519" s="37">
        <v>0</v>
      </c>
    </row>
    <row r="520" spans="1:8" ht="15" customHeight="1">
      <c r="A520" s="19" t="s">
        <v>852</v>
      </c>
      <c r="B520" s="48" t="s">
        <v>894</v>
      </c>
      <c r="C520" s="48" t="s">
        <v>852</v>
      </c>
      <c r="D520" s="123" t="s">
        <v>855</v>
      </c>
      <c r="E520" s="123"/>
      <c r="F520" s="48" t="s">
        <v>852</v>
      </c>
      <c r="G520" s="11" t="s">
        <v>852</v>
      </c>
      <c r="H520" s="31" t="s">
        <v>852</v>
      </c>
    </row>
    <row r="521" spans="1:8" ht="15" customHeight="1">
      <c r="A521" s="16" t="s">
        <v>53</v>
      </c>
      <c r="B521" s="32" t="s">
        <v>894</v>
      </c>
      <c r="C521" s="32" t="s">
        <v>1081</v>
      </c>
      <c r="D521" s="70" t="s">
        <v>239</v>
      </c>
      <c r="E521" s="70"/>
      <c r="F521" s="32" t="s">
        <v>317</v>
      </c>
      <c r="G521" s="9">
        <v>1</v>
      </c>
      <c r="H521" s="37">
        <v>0</v>
      </c>
    </row>
    <row r="522" spans="1:8" ht="15" customHeight="1">
      <c r="A522" s="16" t="s">
        <v>876</v>
      </c>
      <c r="B522" s="32" t="s">
        <v>894</v>
      </c>
      <c r="C522" s="32" t="s">
        <v>156</v>
      </c>
      <c r="D522" s="70" t="s">
        <v>121</v>
      </c>
      <c r="E522" s="70"/>
      <c r="F522" s="32" t="s">
        <v>317</v>
      </c>
      <c r="G522" s="9">
        <v>1</v>
      </c>
      <c r="H522" s="37">
        <v>0</v>
      </c>
    </row>
    <row r="523" spans="1:8" ht="15" customHeight="1">
      <c r="A523" s="16" t="s">
        <v>773</v>
      </c>
      <c r="B523" s="32" t="s">
        <v>894</v>
      </c>
      <c r="C523" s="32" t="s">
        <v>169</v>
      </c>
      <c r="D523" s="70" t="s">
        <v>642</v>
      </c>
      <c r="E523" s="70"/>
      <c r="F523" s="32" t="s">
        <v>317</v>
      </c>
      <c r="G523" s="9">
        <v>1</v>
      </c>
      <c r="H523" s="37">
        <v>0</v>
      </c>
    </row>
    <row r="524" spans="1:8" ht="15" customHeight="1">
      <c r="A524" s="16" t="s">
        <v>801</v>
      </c>
      <c r="B524" s="32" t="s">
        <v>894</v>
      </c>
      <c r="C524" s="32" t="s">
        <v>624</v>
      </c>
      <c r="D524" s="70" t="s">
        <v>125</v>
      </c>
      <c r="E524" s="70"/>
      <c r="F524" s="32" t="s">
        <v>317</v>
      </c>
      <c r="G524" s="9">
        <v>1</v>
      </c>
      <c r="H524" s="37">
        <v>0</v>
      </c>
    </row>
    <row r="525" spans="1:8" ht="15" customHeight="1">
      <c r="A525" s="16" t="s">
        <v>1306</v>
      </c>
      <c r="B525" s="32" t="s">
        <v>894</v>
      </c>
      <c r="C525" s="32" t="s">
        <v>178</v>
      </c>
      <c r="D525" s="70" t="s">
        <v>757</v>
      </c>
      <c r="E525" s="70"/>
      <c r="F525" s="32" t="s">
        <v>317</v>
      </c>
      <c r="G525" s="9">
        <v>1</v>
      </c>
      <c r="H525" s="37">
        <v>0</v>
      </c>
    </row>
    <row r="526" spans="1:8" ht="15" customHeight="1">
      <c r="A526" s="16" t="s">
        <v>1138</v>
      </c>
      <c r="B526" s="32" t="s">
        <v>894</v>
      </c>
      <c r="C526" s="32" t="s">
        <v>672</v>
      </c>
      <c r="D526" s="70" t="s">
        <v>1123</v>
      </c>
      <c r="E526" s="70"/>
      <c r="F526" s="32" t="s">
        <v>317</v>
      </c>
      <c r="G526" s="9">
        <v>1</v>
      </c>
      <c r="H526" s="37">
        <v>0</v>
      </c>
    </row>
    <row r="527" spans="1:8" ht="15" customHeight="1">
      <c r="A527" s="16" t="s">
        <v>946</v>
      </c>
      <c r="B527" s="32" t="s">
        <v>894</v>
      </c>
      <c r="C527" s="32" t="s">
        <v>628</v>
      </c>
      <c r="D527" s="70" t="s">
        <v>445</v>
      </c>
      <c r="E527" s="70"/>
      <c r="F527" s="32" t="s">
        <v>317</v>
      </c>
      <c r="G527" s="9">
        <v>1</v>
      </c>
      <c r="H527" s="37">
        <v>0</v>
      </c>
    </row>
    <row r="528" spans="1:8" ht="15" customHeight="1">
      <c r="A528" s="16" t="s">
        <v>895</v>
      </c>
      <c r="B528" s="32" t="s">
        <v>894</v>
      </c>
      <c r="C528" s="32" t="s">
        <v>47</v>
      </c>
      <c r="D528" s="70" t="s">
        <v>942</v>
      </c>
      <c r="E528" s="70"/>
      <c r="F528" s="32" t="s">
        <v>317</v>
      </c>
      <c r="G528" s="9">
        <v>1</v>
      </c>
      <c r="H528" s="37">
        <v>0</v>
      </c>
    </row>
    <row r="529" spans="1:8" ht="15" customHeight="1">
      <c r="A529" s="16" t="s">
        <v>746</v>
      </c>
      <c r="B529" s="32" t="s">
        <v>894</v>
      </c>
      <c r="C529" s="32" t="s">
        <v>900</v>
      </c>
      <c r="D529" s="70" t="s">
        <v>891</v>
      </c>
      <c r="E529" s="70"/>
      <c r="F529" s="32" t="s">
        <v>317</v>
      </c>
      <c r="G529" s="9">
        <v>1</v>
      </c>
      <c r="H529" s="37">
        <v>0</v>
      </c>
    </row>
    <row r="530" spans="1:8" ht="15" customHeight="1">
      <c r="A530" s="16" t="s">
        <v>819</v>
      </c>
      <c r="B530" s="32" t="s">
        <v>894</v>
      </c>
      <c r="C530" s="32" t="s">
        <v>928</v>
      </c>
      <c r="D530" s="70" t="s">
        <v>1183</v>
      </c>
      <c r="E530" s="70"/>
      <c r="F530" s="32" t="s">
        <v>317</v>
      </c>
      <c r="G530" s="9">
        <v>1</v>
      </c>
      <c r="H530" s="37">
        <v>0</v>
      </c>
    </row>
    <row r="531" spans="1:8" ht="15" customHeight="1">
      <c r="A531" s="16" t="s">
        <v>944</v>
      </c>
      <c r="B531" s="32" t="s">
        <v>894</v>
      </c>
      <c r="C531" s="32" t="s">
        <v>653</v>
      </c>
      <c r="D531" s="70" t="s">
        <v>676</v>
      </c>
      <c r="E531" s="70"/>
      <c r="F531" s="32" t="s">
        <v>317</v>
      </c>
      <c r="G531" s="9">
        <v>6.000000000000001</v>
      </c>
      <c r="H531" s="37">
        <v>0</v>
      </c>
    </row>
    <row r="532" spans="1:8" ht="15" customHeight="1">
      <c r="A532" s="16" t="s">
        <v>823</v>
      </c>
      <c r="B532" s="32" t="s">
        <v>894</v>
      </c>
      <c r="C532" s="32" t="s">
        <v>892</v>
      </c>
      <c r="D532" s="70" t="s">
        <v>732</v>
      </c>
      <c r="E532" s="70"/>
      <c r="F532" s="32" t="s">
        <v>317</v>
      </c>
      <c r="G532" s="9">
        <v>6.000000000000001</v>
      </c>
      <c r="H532" s="37">
        <v>0</v>
      </c>
    </row>
    <row r="533" spans="1:8" ht="15" customHeight="1">
      <c r="A533" s="16" t="s">
        <v>1027</v>
      </c>
      <c r="B533" s="32" t="s">
        <v>894</v>
      </c>
      <c r="C533" s="32" t="s">
        <v>653</v>
      </c>
      <c r="D533" s="70" t="s">
        <v>676</v>
      </c>
      <c r="E533" s="70"/>
      <c r="F533" s="32" t="s">
        <v>317</v>
      </c>
      <c r="G533" s="9">
        <v>42</v>
      </c>
      <c r="H533" s="37">
        <v>0</v>
      </c>
    </row>
    <row r="534" spans="1:8" ht="15" customHeight="1">
      <c r="A534" s="47"/>
      <c r="D534" s="50" t="s">
        <v>784</v>
      </c>
      <c r="E534" s="129" t="s">
        <v>852</v>
      </c>
      <c r="F534" s="129"/>
      <c r="G534" s="59">
        <v>42</v>
      </c>
      <c r="H534" s="23"/>
    </row>
    <row r="535" spans="1:8" ht="15" customHeight="1">
      <c r="A535" s="16" t="s">
        <v>466</v>
      </c>
      <c r="B535" s="32" t="s">
        <v>894</v>
      </c>
      <c r="C535" s="32" t="s">
        <v>83</v>
      </c>
      <c r="D535" s="70" t="s">
        <v>144</v>
      </c>
      <c r="E535" s="70"/>
      <c r="F535" s="32" t="s">
        <v>1213</v>
      </c>
      <c r="G535" s="9">
        <v>51.00000000000001</v>
      </c>
      <c r="H535" s="37">
        <v>0</v>
      </c>
    </row>
    <row r="536" spans="1:8" ht="15" customHeight="1">
      <c r="A536" s="47"/>
      <c r="D536" s="50" t="s">
        <v>344</v>
      </c>
      <c r="E536" s="129" t="s">
        <v>852</v>
      </c>
      <c r="F536" s="129"/>
      <c r="G536" s="59">
        <v>51.00000000000001</v>
      </c>
      <c r="H536" s="23"/>
    </row>
    <row r="537" spans="1:8" ht="15" customHeight="1">
      <c r="A537" s="16" t="s">
        <v>299</v>
      </c>
      <c r="B537" s="32" t="s">
        <v>894</v>
      </c>
      <c r="C537" s="32" t="s">
        <v>83</v>
      </c>
      <c r="D537" s="70" t="s">
        <v>220</v>
      </c>
      <c r="E537" s="70"/>
      <c r="F537" s="32" t="s">
        <v>1213</v>
      </c>
      <c r="G537" s="9">
        <v>357.00000000000006</v>
      </c>
      <c r="H537" s="37">
        <v>0</v>
      </c>
    </row>
    <row r="538" spans="1:8" ht="15" customHeight="1">
      <c r="A538" s="47"/>
      <c r="D538" s="50" t="s">
        <v>202</v>
      </c>
      <c r="E538" s="129" t="s">
        <v>852</v>
      </c>
      <c r="F538" s="129"/>
      <c r="G538" s="59">
        <v>357.00000000000006</v>
      </c>
      <c r="H538" s="23"/>
    </row>
    <row r="539" spans="1:8" ht="15" customHeight="1">
      <c r="A539" s="16" t="s">
        <v>1383</v>
      </c>
      <c r="B539" s="32" t="s">
        <v>894</v>
      </c>
      <c r="C539" s="32" t="s">
        <v>766</v>
      </c>
      <c r="D539" s="70" t="s">
        <v>1062</v>
      </c>
      <c r="E539" s="70"/>
      <c r="F539" s="32" t="s">
        <v>1213</v>
      </c>
      <c r="G539" s="9">
        <v>357.00000000000006</v>
      </c>
      <c r="H539" s="37">
        <v>0</v>
      </c>
    </row>
    <row r="540" spans="1:8" ht="15" customHeight="1">
      <c r="A540" s="47"/>
      <c r="D540" s="50" t="s">
        <v>202</v>
      </c>
      <c r="E540" s="129" t="s">
        <v>852</v>
      </c>
      <c r="F540" s="129"/>
      <c r="G540" s="59">
        <v>357.00000000000006</v>
      </c>
      <c r="H540" s="23"/>
    </row>
    <row r="541" spans="1:8" ht="15" customHeight="1">
      <c r="A541" s="16" t="s">
        <v>118</v>
      </c>
      <c r="B541" s="32" t="s">
        <v>894</v>
      </c>
      <c r="C541" s="32" t="s">
        <v>931</v>
      </c>
      <c r="D541" s="70" t="s">
        <v>1190</v>
      </c>
      <c r="E541" s="70"/>
      <c r="F541" s="32" t="s">
        <v>317</v>
      </c>
      <c r="G541" s="9">
        <v>48.00000000000001</v>
      </c>
      <c r="H541" s="37">
        <v>0</v>
      </c>
    </row>
    <row r="542" spans="1:8" ht="15" customHeight="1">
      <c r="A542" s="47"/>
      <c r="D542" s="50" t="s">
        <v>1285</v>
      </c>
      <c r="E542" s="129" t="s">
        <v>852</v>
      </c>
      <c r="F542" s="129"/>
      <c r="G542" s="59">
        <v>48.00000000000001</v>
      </c>
      <c r="H542" s="23"/>
    </row>
    <row r="543" spans="1:8" ht="15" customHeight="1">
      <c r="A543" s="16" t="s">
        <v>523</v>
      </c>
      <c r="B543" s="32" t="s">
        <v>894</v>
      </c>
      <c r="C543" s="32" t="s">
        <v>950</v>
      </c>
      <c r="D543" s="70" t="s">
        <v>381</v>
      </c>
      <c r="E543" s="70"/>
      <c r="F543" s="32" t="s">
        <v>1213</v>
      </c>
      <c r="G543" s="9">
        <v>51.00000000000001</v>
      </c>
      <c r="H543" s="37">
        <v>0</v>
      </c>
    </row>
    <row r="544" spans="1:8" ht="15" customHeight="1">
      <c r="A544" s="47"/>
      <c r="D544" s="50" t="s">
        <v>344</v>
      </c>
      <c r="E544" s="129" t="s">
        <v>852</v>
      </c>
      <c r="F544" s="129"/>
      <c r="G544" s="59">
        <v>51.00000000000001</v>
      </c>
      <c r="H544" s="23"/>
    </row>
    <row r="545" spans="1:8" ht="15" customHeight="1">
      <c r="A545" s="16" t="s">
        <v>36</v>
      </c>
      <c r="B545" s="32" t="s">
        <v>894</v>
      </c>
      <c r="C545" s="32" t="s">
        <v>940</v>
      </c>
      <c r="D545" s="70" t="s">
        <v>1127</v>
      </c>
      <c r="E545" s="70"/>
      <c r="F545" s="32" t="s">
        <v>317</v>
      </c>
      <c r="G545" s="9">
        <v>6.000000000000001</v>
      </c>
      <c r="H545" s="37">
        <v>0</v>
      </c>
    </row>
    <row r="546" spans="1:8" ht="15" customHeight="1">
      <c r="A546" s="47"/>
      <c r="D546" s="50" t="s">
        <v>204</v>
      </c>
      <c r="E546" s="129" t="s">
        <v>852</v>
      </c>
      <c r="F546" s="129"/>
      <c r="G546" s="59">
        <v>6.000000000000001</v>
      </c>
      <c r="H546" s="23"/>
    </row>
    <row r="547" spans="1:8" ht="15" customHeight="1">
      <c r="A547" s="16" t="s">
        <v>840</v>
      </c>
      <c r="B547" s="32" t="s">
        <v>894</v>
      </c>
      <c r="C547" s="32" t="s">
        <v>1046</v>
      </c>
      <c r="D547" s="70" t="s">
        <v>512</v>
      </c>
      <c r="E547" s="70"/>
      <c r="F547" s="32" t="s">
        <v>317</v>
      </c>
      <c r="G547" s="9">
        <v>42</v>
      </c>
      <c r="H547" s="37">
        <v>0</v>
      </c>
    </row>
    <row r="548" spans="1:8" ht="15" customHeight="1">
      <c r="A548" s="22"/>
      <c r="B548" s="30"/>
      <c r="C548" s="30"/>
      <c r="D548" s="10" t="s">
        <v>784</v>
      </c>
      <c r="E548" s="130" t="s">
        <v>852</v>
      </c>
      <c r="F548" s="130"/>
      <c r="G548" s="20">
        <v>42</v>
      </c>
      <c r="H548" s="21"/>
    </row>
    <row r="550" ht="15" customHeight="1">
      <c r="A550" s="26" t="s">
        <v>104</v>
      </c>
    </row>
    <row r="551" spans="1:7" ht="12.75" customHeight="1">
      <c r="A551" s="69" t="s">
        <v>852</v>
      </c>
      <c r="B551" s="70"/>
      <c r="C551" s="70"/>
      <c r="D551" s="70"/>
      <c r="E551" s="70"/>
      <c r="F551" s="70"/>
      <c r="G551" s="70"/>
    </row>
  </sheetData>
  <sheetProtection algorithmName="SHA-512" hashValue="GJavSBxIcb36kHZm+XdOSmBO8LvhRikTbcOA8mxZ3TG3oPcdxnxQfyqcQSZxSRaDrA9Yoa97eJENzW68yqkMWg==" saltValue="LDrH1EA5df/kIUo0lSe8vQ==" spinCount="100000" sheet="1" objects="1" scenarios="1"/>
  <mergeCells count="557">
    <mergeCell ref="C4:D5"/>
    <mergeCell ref="C6:D7"/>
    <mergeCell ref="C8:D9"/>
    <mergeCell ref="F2:H3"/>
    <mergeCell ref="F4:H5"/>
    <mergeCell ref="F6:H7"/>
    <mergeCell ref="F8:H9"/>
    <mergeCell ref="A1:H1"/>
    <mergeCell ref="A2:B3"/>
    <mergeCell ref="A4:B5"/>
    <mergeCell ref="A6:B7"/>
    <mergeCell ref="A8:B9"/>
    <mergeCell ref="E2:E3"/>
    <mergeCell ref="E4:E5"/>
    <mergeCell ref="E6:E7"/>
    <mergeCell ref="E8:E9"/>
    <mergeCell ref="C2:D3"/>
    <mergeCell ref="E16:F16"/>
    <mergeCell ref="E17:F17"/>
    <mergeCell ref="D18:E18"/>
    <mergeCell ref="D19:E19"/>
    <mergeCell ref="D20:E20"/>
    <mergeCell ref="E21:F21"/>
    <mergeCell ref="D10:E10"/>
    <mergeCell ref="D11:E11"/>
    <mergeCell ref="D12:E12"/>
    <mergeCell ref="E13:F13"/>
    <mergeCell ref="E14:F14"/>
    <mergeCell ref="E15:F15"/>
    <mergeCell ref="D28:E28"/>
    <mergeCell ref="E29:F29"/>
    <mergeCell ref="D30:E30"/>
    <mergeCell ref="E31:F31"/>
    <mergeCell ref="D32:E32"/>
    <mergeCell ref="E33:F33"/>
    <mergeCell ref="D22:E22"/>
    <mergeCell ref="E23:F23"/>
    <mergeCell ref="D24:E24"/>
    <mergeCell ref="E25:F25"/>
    <mergeCell ref="D26:E26"/>
    <mergeCell ref="E27:F27"/>
    <mergeCell ref="D40:E40"/>
    <mergeCell ref="E41:F41"/>
    <mergeCell ref="E42:F42"/>
    <mergeCell ref="E43:F43"/>
    <mergeCell ref="E44:F44"/>
    <mergeCell ref="D45:E45"/>
    <mergeCell ref="E34:F34"/>
    <mergeCell ref="D35:E35"/>
    <mergeCell ref="E36:F36"/>
    <mergeCell ref="E37:F37"/>
    <mergeCell ref="D38:E38"/>
    <mergeCell ref="E39:F39"/>
    <mergeCell ref="D52:E52"/>
    <mergeCell ref="D53:E53"/>
    <mergeCell ref="E54:F54"/>
    <mergeCell ref="E55:F55"/>
    <mergeCell ref="D56:E56"/>
    <mergeCell ref="E57:F57"/>
    <mergeCell ref="E46:F46"/>
    <mergeCell ref="D47:E47"/>
    <mergeCell ref="E48:F48"/>
    <mergeCell ref="E49:F49"/>
    <mergeCell ref="D50:E50"/>
    <mergeCell ref="E51:F51"/>
    <mergeCell ref="E64:F64"/>
    <mergeCell ref="D65:E65"/>
    <mergeCell ref="E66:F66"/>
    <mergeCell ref="D67:E67"/>
    <mergeCell ref="E68:F68"/>
    <mergeCell ref="E69:F69"/>
    <mergeCell ref="E58:F58"/>
    <mergeCell ref="D59:E59"/>
    <mergeCell ref="E60:F60"/>
    <mergeCell ref="D61:E61"/>
    <mergeCell ref="E62:F62"/>
    <mergeCell ref="D63:E63"/>
    <mergeCell ref="E76:F76"/>
    <mergeCell ref="D77:E77"/>
    <mergeCell ref="E78:F78"/>
    <mergeCell ref="D79:E79"/>
    <mergeCell ref="E80:F80"/>
    <mergeCell ref="E81:F81"/>
    <mergeCell ref="D70:E70"/>
    <mergeCell ref="D71:E71"/>
    <mergeCell ref="E72:F72"/>
    <mergeCell ref="E73:F73"/>
    <mergeCell ref="D74:E74"/>
    <mergeCell ref="E75:F75"/>
    <mergeCell ref="D88:E88"/>
    <mergeCell ref="E89:F89"/>
    <mergeCell ref="D90:E90"/>
    <mergeCell ref="E91:F91"/>
    <mergeCell ref="E92:F92"/>
    <mergeCell ref="D93:E93"/>
    <mergeCell ref="D82:E82"/>
    <mergeCell ref="E83:F83"/>
    <mergeCell ref="D84:E84"/>
    <mergeCell ref="E85:F85"/>
    <mergeCell ref="D86:E86"/>
    <mergeCell ref="E87:F87"/>
    <mergeCell ref="E100:F100"/>
    <mergeCell ref="D101:E101"/>
    <mergeCell ref="E102:F102"/>
    <mergeCell ref="D103:E103"/>
    <mergeCell ref="E104:F104"/>
    <mergeCell ref="D105:E105"/>
    <mergeCell ref="E94:F94"/>
    <mergeCell ref="E95:F95"/>
    <mergeCell ref="D96:E96"/>
    <mergeCell ref="E97:F97"/>
    <mergeCell ref="E98:F98"/>
    <mergeCell ref="D99:E99"/>
    <mergeCell ref="E112:F112"/>
    <mergeCell ref="D113:E113"/>
    <mergeCell ref="E114:F114"/>
    <mergeCell ref="E115:F115"/>
    <mergeCell ref="D116:E116"/>
    <mergeCell ref="E117:F117"/>
    <mergeCell ref="E106:F106"/>
    <mergeCell ref="D107:E107"/>
    <mergeCell ref="E108:F108"/>
    <mergeCell ref="E109:F109"/>
    <mergeCell ref="D110:E110"/>
    <mergeCell ref="E111:F111"/>
    <mergeCell ref="D124:E124"/>
    <mergeCell ref="E125:F125"/>
    <mergeCell ref="D126:E126"/>
    <mergeCell ref="E127:F127"/>
    <mergeCell ref="D128:E128"/>
    <mergeCell ref="E129:F129"/>
    <mergeCell ref="D118:E118"/>
    <mergeCell ref="E119:F119"/>
    <mergeCell ref="D120:E120"/>
    <mergeCell ref="E121:F121"/>
    <mergeCell ref="D122:E122"/>
    <mergeCell ref="E123:F123"/>
    <mergeCell ref="D136:E136"/>
    <mergeCell ref="E137:F137"/>
    <mergeCell ref="D138:E138"/>
    <mergeCell ref="E139:F139"/>
    <mergeCell ref="D140:E140"/>
    <mergeCell ref="E141:F141"/>
    <mergeCell ref="D130:E130"/>
    <mergeCell ref="E131:F131"/>
    <mergeCell ref="D132:E132"/>
    <mergeCell ref="E133:F133"/>
    <mergeCell ref="D134:E134"/>
    <mergeCell ref="E135:F135"/>
    <mergeCell ref="D148:E148"/>
    <mergeCell ref="E149:F149"/>
    <mergeCell ref="D150:E150"/>
    <mergeCell ref="E151:F151"/>
    <mergeCell ref="E152:F152"/>
    <mergeCell ref="D153:E153"/>
    <mergeCell ref="D142:E142"/>
    <mergeCell ref="E143:F143"/>
    <mergeCell ref="D144:E144"/>
    <mergeCell ref="E145:F145"/>
    <mergeCell ref="D146:E146"/>
    <mergeCell ref="E147:F147"/>
    <mergeCell ref="D160:E160"/>
    <mergeCell ref="D161:E161"/>
    <mergeCell ref="D162:E162"/>
    <mergeCell ref="D163:E163"/>
    <mergeCell ref="D164:E164"/>
    <mergeCell ref="D165:E165"/>
    <mergeCell ref="E154:F154"/>
    <mergeCell ref="D155:E155"/>
    <mergeCell ref="D156:E156"/>
    <mergeCell ref="D157:E157"/>
    <mergeCell ref="D158:E158"/>
    <mergeCell ref="D159:E159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8:E208"/>
    <mergeCell ref="D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D206:E206"/>
    <mergeCell ref="D207:E207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D234:E234"/>
    <mergeCell ref="D235:E235"/>
    <mergeCell ref="D236:E236"/>
    <mergeCell ref="D237:E237"/>
    <mergeCell ref="D226:E226"/>
    <mergeCell ref="D227:E227"/>
    <mergeCell ref="D228:E228"/>
    <mergeCell ref="D229:E229"/>
    <mergeCell ref="D230:E230"/>
    <mergeCell ref="D231:E231"/>
    <mergeCell ref="D244:E244"/>
    <mergeCell ref="D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D242:E242"/>
    <mergeCell ref="D243:E243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80:E280"/>
    <mergeCell ref="D281:E281"/>
    <mergeCell ref="D282:E282"/>
    <mergeCell ref="D283:E283"/>
    <mergeCell ref="D284:E284"/>
    <mergeCell ref="D285:E285"/>
    <mergeCell ref="D274:E274"/>
    <mergeCell ref="D275:E275"/>
    <mergeCell ref="D276:E276"/>
    <mergeCell ref="D277:E277"/>
    <mergeCell ref="D278:E278"/>
    <mergeCell ref="D279:E279"/>
    <mergeCell ref="D292:E292"/>
    <mergeCell ref="D293:E293"/>
    <mergeCell ref="D294:E294"/>
    <mergeCell ref="D295:E295"/>
    <mergeCell ref="D296:E296"/>
    <mergeCell ref="D297:E297"/>
    <mergeCell ref="D286:E286"/>
    <mergeCell ref="D287:E287"/>
    <mergeCell ref="D288:E288"/>
    <mergeCell ref="D289:E289"/>
    <mergeCell ref="D290:E290"/>
    <mergeCell ref="D291:E291"/>
    <mergeCell ref="D304:E304"/>
    <mergeCell ref="D305:E305"/>
    <mergeCell ref="D306:E306"/>
    <mergeCell ref="D307:E307"/>
    <mergeCell ref="D308:E308"/>
    <mergeCell ref="D309:E309"/>
    <mergeCell ref="D298:E298"/>
    <mergeCell ref="D299:E299"/>
    <mergeCell ref="D300:E300"/>
    <mergeCell ref="D301:E301"/>
    <mergeCell ref="D302:E302"/>
    <mergeCell ref="D303:E303"/>
    <mergeCell ref="D316:E316"/>
    <mergeCell ref="D317:E317"/>
    <mergeCell ref="D318:E318"/>
    <mergeCell ref="D319:E319"/>
    <mergeCell ref="D320:E320"/>
    <mergeCell ref="D321:E321"/>
    <mergeCell ref="D310:E310"/>
    <mergeCell ref="D311:E311"/>
    <mergeCell ref="D312:E312"/>
    <mergeCell ref="D313:E313"/>
    <mergeCell ref="D314:E314"/>
    <mergeCell ref="D315:E315"/>
    <mergeCell ref="D328:E328"/>
    <mergeCell ref="D329:E329"/>
    <mergeCell ref="D330:E330"/>
    <mergeCell ref="D331:E331"/>
    <mergeCell ref="D332:E332"/>
    <mergeCell ref="D333:E333"/>
    <mergeCell ref="D322:E322"/>
    <mergeCell ref="D323:E323"/>
    <mergeCell ref="D324:E324"/>
    <mergeCell ref="D325:E325"/>
    <mergeCell ref="D326:E326"/>
    <mergeCell ref="D327:E327"/>
    <mergeCell ref="E340:F340"/>
    <mergeCell ref="D341:E341"/>
    <mergeCell ref="E342:F342"/>
    <mergeCell ref="D343:E343"/>
    <mergeCell ref="E344:F344"/>
    <mergeCell ref="D345:E345"/>
    <mergeCell ref="D334:E334"/>
    <mergeCell ref="D335:E335"/>
    <mergeCell ref="E336:F336"/>
    <mergeCell ref="D337:E337"/>
    <mergeCell ref="E338:F338"/>
    <mergeCell ref="D339:E339"/>
    <mergeCell ref="E352:F352"/>
    <mergeCell ref="D353:E353"/>
    <mergeCell ref="E354:F354"/>
    <mergeCell ref="D355:E355"/>
    <mergeCell ref="E356:F356"/>
    <mergeCell ref="D357:E357"/>
    <mergeCell ref="E346:F346"/>
    <mergeCell ref="D347:E347"/>
    <mergeCell ref="E348:F348"/>
    <mergeCell ref="D349:E349"/>
    <mergeCell ref="E350:F350"/>
    <mergeCell ref="D351:E351"/>
    <mergeCell ref="E364:F364"/>
    <mergeCell ref="D365:E365"/>
    <mergeCell ref="E366:F366"/>
    <mergeCell ref="D367:E367"/>
    <mergeCell ref="E368:F368"/>
    <mergeCell ref="D369:E369"/>
    <mergeCell ref="E358:F358"/>
    <mergeCell ref="D359:E359"/>
    <mergeCell ref="E360:F360"/>
    <mergeCell ref="D361:E361"/>
    <mergeCell ref="E362:F362"/>
    <mergeCell ref="D363:E363"/>
    <mergeCell ref="E376:F376"/>
    <mergeCell ref="D377:E377"/>
    <mergeCell ref="E378:F378"/>
    <mergeCell ref="E379:F379"/>
    <mergeCell ref="D380:E380"/>
    <mergeCell ref="D381:E381"/>
    <mergeCell ref="E370:F370"/>
    <mergeCell ref="D371:E371"/>
    <mergeCell ref="E372:F372"/>
    <mergeCell ref="D373:E373"/>
    <mergeCell ref="D374:E374"/>
    <mergeCell ref="E375:F375"/>
    <mergeCell ref="D388:E388"/>
    <mergeCell ref="E389:F389"/>
    <mergeCell ref="E390:F390"/>
    <mergeCell ref="D391:E391"/>
    <mergeCell ref="D392:E392"/>
    <mergeCell ref="E393:F393"/>
    <mergeCell ref="E382:F382"/>
    <mergeCell ref="E383:F383"/>
    <mergeCell ref="D384:E384"/>
    <mergeCell ref="E385:F385"/>
    <mergeCell ref="E386:F386"/>
    <mergeCell ref="D387:E387"/>
    <mergeCell ref="D400:E400"/>
    <mergeCell ref="E401:F401"/>
    <mergeCell ref="E402:F402"/>
    <mergeCell ref="D403:E403"/>
    <mergeCell ref="E404:F404"/>
    <mergeCell ref="D405:E405"/>
    <mergeCell ref="D394:E394"/>
    <mergeCell ref="E395:F395"/>
    <mergeCell ref="E396:F396"/>
    <mergeCell ref="D397:E397"/>
    <mergeCell ref="E398:F398"/>
    <mergeCell ref="E399:F399"/>
    <mergeCell ref="E412:F412"/>
    <mergeCell ref="E413:F413"/>
    <mergeCell ref="D414:E414"/>
    <mergeCell ref="E415:F415"/>
    <mergeCell ref="E416:F416"/>
    <mergeCell ref="D417:E417"/>
    <mergeCell ref="E406:F406"/>
    <mergeCell ref="D407:E407"/>
    <mergeCell ref="E408:F408"/>
    <mergeCell ref="D409:E409"/>
    <mergeCell ref="E410:F410"/>
    <mergeCell ref="D411:E411"/>
    <mergeCell ref="E424:F424"/>
    <mergeCell ref="E425:F425"/>
    <mergeCell ref="D426:E426"/>
    <mergeCell ref="E427:F427"/>
    <mergeCell ref="E428:F428"/>
    <mergeCell ref="D429:E429"/>
    <mergeCell ref="D418:E418"/>
    <mergeCell ref="D419:E419"/>
    <mergeCell ref="E420:F420"/>
    <mergeCell ref="E421:F421"/>
    <mergeCell ref="D422:E422"/>
    <mergeCell ref="E423:F423"/>
    <mergeCell ref="E436:F436"/>
    <mergeCell ref="D437:E437"/>
    <mergeCell ref="E438:F438"/>
    <mergeCell ref="E439:F439"/>
    <mergeCell ref="D440:E440"/>
    <mergeCell ref="E441:F441"/>
    <mergeCell ref="E430:F430"/>
    <mergeCell ref="E431:F431"/>
    <mergeCell ref="D432:E432"/>
    <mergeCell ref="E433:F433"/>
    <mergeCell ref="E434:F434"/>
    <mergeCell ref="D435:E435"/>
    <mergeCell ref="E448:F448"/>
    <mergeCell ref="E449:F449"/>
    <mergeCell ref="E450:F450"/>
    <mergeCell ref="D451:E451"/>
    <mergeCell ref="D452:E452"/>
    <mergeCell ref="D453:E453"/>
    <mergeCell ref="E442:F442"/>
    <mergeCell ref="D443:E443"/>
    <mergeCell ref="E444:F444"/>
    <mergeCell ref="E445:F445"/>
    <mergeCell ref="E446:F446"/>
    <mergeCell ref="E447:F447"/>
    <mergeCell ref="D460:E460"/>
    <mergeCell ref="D461:E461"/>
    <mergeCell ref="D462:E462"/>
    <mergeCell ref="D463:E463"/>
    <mergeCell ref="D464:E464"/>
    <mergeCell ref="D465:E465"/>
    <mergeCell ref="D454:E454"/>
    <mergeCell ref="D455:E455"/>
    <mergeCell ref="D456:E456"/>
    <mergeCell ref="D457:E457"/>
    <mergeCell ref="D458:E458"/>
    <mergeCell ref="D459:E459"/>
    <mergeCell ref="D472:E472"/>
    <mergeCell ref="D473:E473"/>
    <mergeCell ref="D474:E474"/>
    <mergeCell ref="D475:E475"/>
    <mergeCell ref="D476:E476"/>
    <mergeCell ref="D477:E477"/>
    <mergeCell ref="D466:E466"/>
    <mergeCell ref="D467:E467"/>
    <mergeCell ref="D468:E468"/>
    <mergeCell ref="D469:E469"/>
    <mergeCell ref="D470:E470"/>
    <mergeCell ref="D471:E471"/>
    <mergeCell ref="D484:E484"/>
    <mergeCell ref="D485:E485"/>
    <mergeCell ref="D486:E486"/>
    <mergeCell ref="D487:E487"/>
    <mergeCell ref="D488:E488"/>
    <mergeCell ref="D489:E489"/>
    <mergeCell ref="D478:E478"/>
    <mergeCell ref="D479:E479"/>
    <mergeCell ref="D480:E480"/>
    <mergeCell ref="D481:E481"/>
    <mergeCell ref="D482:E482"/>
    <mergeCell ref="D483:E483"/>
    <mergeCell ref="D496:E496"/>
    <mergeCell ref="D497:E497"/>
    <mergeCell ref="D498:E498"/>
    <mergeCell ref="D499:E499"/>
    <mergeCell ref="D500:E500"/>
    <mergeCell ref="D501:E501"/>
    <mergeCell ref="D490:E490"/>
    <mergeCell ref="D491:E491"/>
    <mergeCell ref="D492:E492"/>
    <mergeCell ref="D493:E493"/>
    <mergeCell ref="D494:E494"/>
    <mergeCell ref="D495:E495"/>
    <mergeCell ref="D508:E508"/>
    <mergeCell ref="D509:E509"/>
    <mergeCell ref="D510:E510"/>
    <mergeCell ref="D511:E511"/>
    <mergeCell ref="D512:E512"/>
    <mergeCell ref="D513:E513"/>
    <mergeCell ref="D502:E502"/>
    <mergeCell ref="D503:E503"/>
    <mergeCell ref="D504:E504"/>
    <mergeCell ref="D505:E505"/>
    <mergeCell ref="D506:E506"/>
    <mergeCell ref="D507:E507"/>
    <mergeCell ref="D520:E520"/>
    <mergeCell ref="D521:E521"/>
    <mergeCell ref="D522:E522"/>
    <mergeCell ref="D523:E523"/>
    <mergeCell ref="D524:E524"/>
    <mergeCell ref="D525:E525"/>
    <mergeCell ref="D514:E514"/>
    <mergeCell ref="D515:E515"/>
    <mergeCell ref="D516:E516"/>
    <mergeCell ref="D517:E517"/>
    <mergeCell ref="D518:E518"/>
    <mergeCell ref="D519:E519"/>
    <mergeCell ref="D532:E532"/>
    <mergeCell ref="D533:E533"/>
    <mergeCell ref="E534:F534"/>
    <mergeCell ref="D535:E535"/>
    <mergeCell ref="E536:F536"/>
    <mergeCell ref="D537:E537"/>
    <mergeCell ref="D526:E526"/>
    <mergeCell ref="D527:E527"/>
    <mergeCell ref="D528:E528"/>
    <mergeCell ref="D529:E529"/>
    <mergeCell ref="D530:E530"/>
    <mergeCell ref="D531:E531"/>
    <mergeCell ref="E544:F544"/>
    <mergeCell ref="D545:E545"/>
    <mergeCell ref="E546:F546"/>
    <mergeCell ref="D547:E547"/>
    <mergeCell ref="E548:F548"/>
    <mergeCell ref="A551:G551"/>
    <mergeCell ref="E538:F538"/>
    <mergeCell ref="D539:E539"/>
    <mergeCell ref="E540:F540"/>
    <mergeCell ref="D541:E541"/>
    <mergeCell ref="E542:F542"/>
    <mergeCell ref="D543:E543"/>
  </mergeCells>
  <printOptions/>
  <pageMargins left="0.394" right="0.394" top="0.591" bottom="0.591" header="0" footer="0"/>
  <pageSetup firstPageNumber="0" useFirstPageNumber="1" fitToHeight="0" fitToWidth="1" horizontalDpi="600" verticalDpi="600" orientation="portrait" paperSize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6"/>
  <sheetViews>
    <sheetView showOutlineSymbols="0" workbookViewId="0" topLeftCell="A1">
      <selection activeCell="A36" sqref="A36:E3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04" t="s">
        <v>179</v>
      </c>
      <c r="B1" s="105"/>
      <c r="C1" s="105"/>
      <c r="D1" s="105"/>
      <c r="E1" s="105"/>
      <c r="F1" s="105"/>
      <c r="G1" s="105"/>
      <c r="H1" s="105"/>
      <c r="I1" s="105"/>
    </row>
    <row r="2" spans="1:9" ht="15" customHeight="1">
      <c r="A2" s="106" t="s">
        <v>87</v>
      </c>
      <c r="B2" s="99"/>
      <c r="C2" s="101" t="str">
        <f>'Stavební rozpočet'!D2</f>
        <v>Stavební úpravy stávajících WC v objektu ZŠ 28.října, Česká Lípa</v>
      </c>
      <c r="D2" s="102"/>
      <c r="E2" s="98" t="s">
        <v>1047</v>
      </c>
      <c r="F2" s="98" t="str">
        <f>'Stavební rozpočet'!J2</f>
        <v> </v>
      </c>
      <c r="G2" s="99"/>
      <c r="H2" s="98" t="s">
        <v>796</v>
      </c>
      <c r="I2" s="110" t="s">
        <v>852</v>
      </c>
    </row>
    <row r="3" spans="1:9" ht="15" customHeight="1">
      <c r="A3" s="107"/>
      <c r="B3" s="70"/>
      <c r="C3" s="103"/>
      <c r="D3" s="103"/>
      <c r="E3" s="70"/>
      <c r="F3" s="70"/>
      <c r="G3" s="70"/>
      <c r="H3" s="70"/>
      <c r="I3" s="111"/>
    </row>
    <row r="4" spans="1:9" ht="15" customHeight="1">
      <c r="A4" s="108" t="s">
        <v>674</v>
      </c>
      <c r="B4" s="70"/>
      <c r="C4" s="69" t="str">
        <f>'Stavební rozpočet'!D4</f>
        <v xml:space="preserve"> </v>
      </c>
      <c r="D4" s="70"/>
      <c r="E4" s="69" t="s">
        <v>845</v>
      </c>
      <c r="F4" s="69" t="str">
        <f>'Stavební rozpočet'!J4</f>
        <v> </v>
      </c>
      <c r="G4" s="70"/>
      <c r="H4" s="69" t="s">
        <v>796</v>
      </c>
      <c r="I4" s="111" t="s">
        <v>852</v>
      </c>
    </row>
    <row r="5" spans="1:9" ht="15" customHeight="1">
      <c r="A5" s="107"/>
      <c r="B5" s="70"/>
      <c r="C5" s="70"/>
      <c r="D5" s="70"/>
      <c r="E5" s="70"/>
      <c r="F5" s="70"/>
      <c r="G5" s="70"/>
      <c r="H5" s="70"/>
      <c r="I5" s="111"/>
    </row>
    <row r="6" spans="1:9" ht="15" customHeight="1">
      <c r="A6" s="108" t="s">
        <v>107</v>
      </c>
      <c r="B6" s="70"/>
      <c r="C6" s="69" t="str">
        <f>'Stavební rozpočet'!D6</f>
        <v xml:space="preserve"> </v>
      </c>
      <c r="D6" s="70"/>
      <c r="E6" s="69" t="s">
        <v>1079</v>
      </c>
      <c r="F6" s="69" t="str">
        <f>'Stavební rozpočet'!J6</f>
        <v> </v>
      </c>
      <c r="G6" s="70"/>
      <c r="H6" s="69" t="s">
        <v>796</v>
      </c>
      <c r="I6" s="111" t="s">
        <v>852</v>
      </c>
    </row>
    <row r="7" spans="1:9" ht="15" customHeight="1">
      <c r="A7" s="107"/>
      <c r="B7" s="70"/>
      <c r="C7" s="70"/>
      <c r="D7" s="70"/>
      <c r="E7" s="70"/>
      <c r="F7" s="70"/>
      <c r="G7" s="70"/>
      <c r="H7" s="70"/>
      <c r="I7" s="111"/>
    </row>
    <row r="8" spans="1:9" ht="15" customHeight="1">
      <c r="A8" s="108" t="s">
        <v>1099</v>
      </c>
      <c r="B8" s="70"/>
      <c r="C8" s="69">
        <f>'Stavební rozpočet'!H4</f>
        <v>0</v>
      </c>
      <c r="D8" s="70"/>
      <c r="E8" s="69" t="s">
        <v>425</v>
      </c>
      <c r="F8" s="69" t="str">
        <f>'Stavební rozpočet'!H6</f>
        <v xml:space="preserve"> </v>
      </c>
      <c r="G8" s="70"/>
      <c r="H8" s="70" t="s">
        <v>1249</v>
      </c>
      <c r="I8" s="112">
        <v>380</v>
      </c>
    </row>
    <row r="9" spans="1:9" ht="15" customHeight="1">
      <c r="A9" s="107"/>
      <c r="B9" s="70"/>
      <c r="C9" s="70"/>
      <c r="D9" s="70"/>
      <c r="E9" s="70"/>
      <c r="F9" s="70"/>
      <c r="G9" s="70"/>
      <c r="H9" s="70"/>
      <c r="I9" s="111"/>
    </row>
    <row r="10" spans="1:9" ht="15" customHeight="1">
      <c r="A10" s="108" t="s">
        <v>619</v>
      </c>
      <c r="B10" s="70"/>
      <c r="C10" s="69" t="str">
        <f>'Stavební rozpočet'!D8</f>
        <v xml:space="preserve"> </v>
      </c>
      <c r="D10" s="70"/>
      <c r="E10" s="69" t="s">
        <v>821</v>
      </c>
      <c r="F10" s="69" t="str">
        <f>'Stavební rozpočet'!J8</f>
        <v> </v>
      </c>
      <c r="G10" s="70"/>
      <c r="H10" s="70" t="s">
        <v>1202</v>
      </c>
      <c r="I10" s="113">
        <f>'Stavební rozpočet'!H8</f>
        <v>0</v>
      </c>
    </row>
    <row r="11" spans="1:9" ht="15" customHeight="1">
      <c r="A11" s="109"/>
      <c r="B11" s="100"/>
      <c r="C11" s="100"/>
      <c r="D11" s="100"/>
      <c r="E11" s="100"/>
      <c r="F11" s="100"/>
      <c r="G11" s="100"/>
      <c r="H11" s="100"/>
      <c r="I11" s="114"/>
    </row>
    <row r="13" spans="1:5" ht="15.75" customHeight="1">
      <c r="A13" s="141" t="s">
        <v>493</v>
      </c>
      <c r="B13" s="141"/>
      <c r="C13" s="141"/>
      <c r="D13" s="141"/>
      <c r="E13" s="141"/>
    </row>
    <row r="14" spans="1:9" ht="15" customHeight="1">
      <c r="A14" s="142" t="s">
        <v>1403</v>
      </c>
      <c r="B14" s="143"/>
      <c r="C14" s="143"/>
      <c r="D14" s="143"/>
      <c r="E14" s="144"/>
      <c r="F14" s="3" t="s">
        <v>1291</v>
      </c>
      <c r="G14" s="3" t="s">
        <v>1083</v>
      </c>
      <c r="H14" s="3" t="s">
        <v>313</v>
      </c>
      <c r="I14" s="3" t="s">
        <v>1291</v>
      </c>
    </row>
    <row r="15" spans="1:9" ht="15" customHeight="1">
      <c r="A15" s="109" t="s">
        <v>879</v>
      </c>
      <c r="B15" s="100"/>
      <c r="C15" s="100"/>
      <c r="D15" s="100"/>
      <c r="E15" s="114"/>
      <c r="F15" s="49">
        <v>0</v>
      </c>
      <c r="G15" s="13" t="s">
        <v>852</v>
      </c>
      <c r="H15" s="13" t="s">
        <v>852</v>
      </c>
      <c r="I15" s="49">
        <f>F15</f>
        <v>0</v>
      </c>
    </row>
    <row r="16" spans="1:9" ht="15" customHeight="1">
      <c r="A16" s="109" t="s">
        <v>119</v>
      </c>
      <c r="B16" s="100"/>
      <c r="C16" s="100"/>
      <c r="D16" s="100"/>
      <c r="E16" s="114"/>
      <c r="F16" s="49">
        <v>0</v>
      </c>
      <c r="G16" s="13" t="s">
        <v>852</v>
      </c>
      <c r="H16" s="13" t="s">
        <v>852</v>
      </c>
      <c r="I16" s="49">
        <f>F16</f>
        <v>0</v>
      </c>
    </row>
    <row r="17" spans="1:9" ht="15" customHeight="1">
      <c r="A17" s="107" t="s">
        <v>907</v>
      </c>
      <c r="B17" s="70"/>
      <c r="C17" s="70"/>
      <c r="D17" s="70"/>
      <c r="E17" s="111"/>
      <c r="F17" s="37">
        <v>0</v>
      </c>
      <c r="G17" s="5" t="s">
        <v>852</v>
      </c>
      <c r="H17" s="5" t="s">
        <v>852</v>
      </c>
      <c r="I17" s="37">
        <f>F17</f>
        <v>0</v>
      </c>
    </row>
    <row r="18" spans="1:9" ht="15" customHeight="1">
      <c r="A18" s="133" t="s">
        <v>1343</v>
      </c>
      <c r="B18" s="131"/>
      <c r="C18" s="131"/>
      <c r="D18" s="131"/>
      <c r="E18" s="134"/>
      <c r="F18" s="25" t="s">
        <v>852</v>
      </c>
      <c r="G18" s="4" t="s">
        <v>852</v>
      </c>
      <c r="H18" s="4" t="s">
        <v>852</v>
      </c>
      <c r="I18" s="33">
        <f>SUM(I15:I17)</f>
        <v>0</v>
      </c>
    </row>
    <row r="20" spans="1:9" ht="15" customHeight="1">
      <c r="A20" s="142" t="s">
        <v>226</v>
      </c>
      <c r="B20" s="143"/>
      <c r="C20" s="143"/>
      <c r="D20" s="143"/>
      <c r="E20" s="144"/>
      <c r="F20" s="3" t="s">
        <v>1291</v>
      </c>
      <c r="G20" s="3" t="s">
        <v>1083</v>
      </c>
      <c r="H20" s="3" t="s">
        <v>313</v>
      </c>
      <c r="I20" s="3" t="s">
        <v>1291</v>
      </c>
    </row>
    <row r="21" spans="1:9" ht="15" customHeight="1">
      <c r="A21" s="109" t="s">
        <v>125</v>
      </c>
      <c r="B21" s="100"/>
      <c r="C21" s="100"/>
      <c r="D21" s="100"/>
      <c r="E21" s="114"/>
      <c r="F21" s="49">
        <v>0</v>
      </c>
      <c r="G21" s="13" t="s">
        <v>852</v>
      </c>
      <c r="H21" s="13" t="s">
        <v>852</v>
      </c>
      <c r="I21" s="49">
        <f aca="true" t="shared" si="0" ref="I21:I26">F21</f>
        <v>0</v>
      </c>
    </row>
    <row r="22" spans="1:9" ht="15" customHeight="1">
      <c r="A22" s="109" t="s">
        <v>986</v>
      </c>
      <c r="B22" s="100"/>
      <c r="C22" s="100"/>
      <c r="D22" s="100"/>
      <c r="E22" s="114"/>
      <c r="F22" s="49">
        <v>0</v>
      </c>
      <c r="G22" s="13" t="s">
        <v>852</v>
      </c>
      <c r="H22" s="13" t="s">
        <v>852</v>
      </c>
      <c r="I22" s="49">
        <f t="shared" si="0"/>
        <v>0</v>
      </c>
    </row>
    <row r="23" spans="1:9" ht="15" customHeight="1">
      <c r="A23" s="109" t="s">
        <v>1187</v>
      </c>
      <c r="B23" s="100"/>
      <c r="C23" s="100"/>
      <c r="D23" s="100"/>
      <c r="E23" s="114"/>
      <c r="F23" s="49">
        <v>0</v>
      </c>
      <c r="G23" s="13" t="s">
        <v>852</v>
      </c>
      <c r="H23" s="13" t="s">
        <v>852</v>
      </c>
      <c r="I23" s="49">
        <f t="shared" si="0"/>
        <v>0</v>
      </c>
    </row>
    <row r="24" spans="1:9" ht="15" customHeight="1">
      <c r="A24" s="109" t="s">
        <v>658</v>
      </c>
      <c r="B24" s="100"/>
      <c r="C24" s="100"/>
      <c r="D24" s="100"/>
      <c r="E24" s="114"/>
      <c r="F24" s="49">
        <v>0</v>
      </c>
      <c r="G24" s="13" t="s">
        <v>852</v>
      </c>
      <c r="H24" s="13" t="s">
        <v>852</v>
      </c>
      <c r="I24" s="49">
        <f t="shared" si="0"/>
        <v>0</v>
      </c>
    </row>
    <row r="25" spans="1:9" ht="15" customHeight="1">
      <c r="A25" s="109" t="s">
        <v>800</v>
      </c>
      <c r="B25" s="100"/>
      <c r="C25" s="100"/>
      <c r="D25" s="100"/>
      <c r="E25" s="114"/>
      <c r="F25" s="49">
        <v>0</v>
      </c>
      <c r="G25" s="13" t="s">
        <v>852</v>
      </c>
      <c r="H25" s="13" t="s">
        <v>852</v>
      </c>
      <c r="I25" s="49">
        <f t="shared" si="0"/>
        <v>0</v>
      </c>
    </row>
    <row r="26" spans="1:9" ht="15" customHeight="1">
      <c r="A26" s="107" t="s">
        <v>1221</v>
      </c>
      <c r="B26" s="70"/>
      <c r="C26" s="70"/>
      <c r="D26" s="70"/>
      <c r="E26" s="111"/>
      <c r="F26" s="37">
        <v>0</v>
      </c>
      <c r="G26" s="5" t="s">
        <v>852</v>
      </c>
      <c r="H26" s="5" t="s">
        <v>852</v>
      </c>
      <c r="I26" s="37">
        <f t="shared" si="0"/>
        <v>0</v>
      </c>
    </row>
    <row r="27" spans="1:9" ht="15" customHeight="1">
      <c r="A27" s="133" t="s">
        <v>529</v>
      </c>
      <c r="B27" s="131"/>
      <c r="C27" s="131"/>
      <c r="D27" s="131"/>
      <c r="E27" s="134"/>
      <c r="F27" s="25" t="s">
        <v>852</v>
      </c>
      <c r="G27" s="4" t="s">
        <v>852</v>
      </c>
      <c r="H27" s="4" t="s">
        <v>852</v>
      </c>
      <c r="I27" s="33">
        <f>SUM(I21:I26)</f>
        <v>0</v>
      </c>
    </row>
    <row r="29" spans="1:9" ht="15.75" customHeight="1">
      <c r="A29" s="135" t="s">
        <v>1302</v>
      </c>
      <c r="B29" s="136"/>
      <c r="C29" s="136"/>
      <c r="D29" s="136"/>
      <c r="E29" s="137"/>
      <c r="F29" s="138">
        <f>I18+I27</f>
        <v>0</v>
      </c>
      <c r="G29" s="139"/>
      <c r="H29" s="139"/>
      <c r="I29" s="140"/>
    </row>
    <row r="33" spans="1:5" ht="15.75" customHeight="1">
      <c r="A33" s="141" t="s">
        <v>1278</v>
      </c>
      <c r="B33" s="141"/>
      <c r="C33" s="141"/>
      <c r="D33" s="141"/>
      <c r="E33" s="141"/>
    </row>
    <row r="34" spans="1:9" ht="15" customHeight="1">
      <c r="A34" s="142" t="s">
        <v>1334</v>
      </c>
      <c r="B34" s="143"/>
      <c r="C34" s="143"/>
      <c r="D34" s="143"/>
      <c r="E34" s="144"/>
      <c r="F34" s="3" t="s">
        <v>1291</v>
      </c>
      <c r="G34" s="3" t="s">
        <v>1083</v>
      </c>
      <c r="H34" s="3" t="s">
        <v>313</v>
      </c>
      <c r="I34" s="3" t="s">
        <v>1291</v>
      </c>
    </row>
    <row r="35" spans="1:9" ht="15" customHeight="1">
      <c r="A35" s="107" t="s">
        <v>852</v>
      </c>
      <c r="B35" s="70"/>
      <c r="C35" s="70"/>
      <c r="D35" s="70"/>
      <c r="E35" s="111"/>
      <c r="F35" s="37">
        <v>0</v>
      </c>
      <c r="G35" s="5" t="s">
        <v>852</v>
      </c>
      <c r="H35" s="5" t="s">
        <v>852</v>
      </c>
      <c r="I35" s="37">
        <f>F35</f>
        <v>0</v>
      </c>
    </row>
    <row r="36" spans="1:9" ht="15" customHeight="1">
      <c r="A36" s="133" t="s">
        <v>470</v>
      </c>
      <c r="B36" s="131"/>
      <c r="C36" s="131"/>
      <c r="D36" s="131"/>
      <c r="E36" s="134"/>
      <c r="F36" s="25" t="s">
        <v>852</v>
      </c>
      <c r="G36" s="4" t="s">
        <v>852</v>
      </c>
      <c r="H36" s="4" t="s">
        <v>852</v>
      </c>
      <c r="I36" s="33">
        <f>SUM(I35:I35)</f>
        <v>0</v>
      </c>
    </row>
  </sheetData>
  <mergeCells count="51">
    <mergeCell ref="A1:I1"/>
    <mergeCell ref="A2:B3"/>
    <mergeCell ref="A4:B5"/>
    <mergeCell ref="A6:B7"/>
    <mergeCell ref="A8:B9"/>
    <mergeCell ref="E2:E3"/>
    <mergeCell ref="E4:E5"/>
    <mergeCell ref="E6:E7"/>
    <mergeCell ref="E8:E9"/>
    <mergeCell ref="H2:H3"/>
    <mergeCell ref="H4:H5"/>
    <mergeCell ref="H6:H7"/>
    <mergeCell ref="H8:H9"/>
    <mergeCell ref="I2:I3"/>
    <mergeCell ref="I4:I5"/>
    <mergeCell ref="I6:I7"/>
    <mergeCell ref="A10:B11"/>
    <mergeCell ref="H10:H11"/>
    <mergeCell ref="F2:G3"/>
    <mergeCell ref="F4:G5"/>
    <mergeCell ref="F6:G7"/>
    <mergeCell ref="F8:G9"/>
    <mergeCell ref="F10:G11"/>
    <mergeCell ref="C2:D3"/>
    <mergeCell ref="C4:D5"/>
    <mergeCell ref="C6:D7"/>
    <mergeCell ref="C8:D9"/>
    <mergeCell ref="C10:D11"/>
    <mergeCell ref="I8:I9"/>
    <mergeCell ref="I10:I11"/>
    <mergeCell ref="A26:E26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13:E13"/>
    <mergeCell ref="E10:E11"/>
    <mergeCell ref="A36:E36"/>
    <mergeCell ref="A27:E27"/>
    <mergeCell ref="A29:E29"/>
    <mergeCell ref="F29:I29"/>
    <mergeCell ref="A33:E33"/>
    <mergeCell ref="A34:E34"/>
    <mergeCell ref="A35:E35"/>
  </mergeCells>
  <printOptions/>
  <pageMargins left="0.394" right="0.394" top="0.591" bottom="0.591" header="0" footer="0"/>
  <pageSetup firstPageNumber="0" useFirstPageNumber="1" fitToHeight="0" fitToWidth="1"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Martina Hofmanová</cp:lastModifiedBy>
  <dcterms:created xsi:type="dcterms:W3CDTF">2021-06-10T20:06:38Z</dcterms:created>
  <dcterms:modified xsi:type="dcterms:W3CDTF">2024-04-12T08:57:59Z</dcterms:modified>
  <cp:category/>
  <cp:version/>
  <cp:contentType/>
  <cp:contentStatus/>
</cp:coreProperties>
</file>