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3"/>
  </bookViews>
  <sheets>
    <sheet name="Krycí list rozpočtu" sheetId="1" r:id="rId1"/>
    <sheet name="VORN" sheetId="2" r:id="rId2"/>
    <sheet name="Stavební rozpočet - součet" sheetId="3" r:id="rId3"/>
    <sheet name="Stavební rozpočet" sheetId="4" r:id="rId4"/>
    <sheet name="Stavební rozpočet_el" sheetId="5" r:id="rId5"/>
  </sheets>
  <definedNames>
    <definedName name="_xlfn.SINGLE" hidden="1">#NAME?</definedName>
    <definedName name="vorn_sum">'VORN'!$I$37:$I$37</definedName>
  </definedNames>
  <calcPr fullCalcOnLoad="1"/>
</workbook>
</file>

<file path=xl/sharedStrings.xml><?xml version="1.0" encoding="utf-8"?>
<sst xmlns="http://schemas.openxmlformats.org/spreadsheetml/2006/main" count="1491" uniqueCount="608">
  <si>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</si>
  <si>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</si>
  <si>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</si>
  <si>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</si>
  <si>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</si>
  <si>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</si>
  <si>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</si>
  <si>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</si>
  <si>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</si>
  <si>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</si>
  <si>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</si>
  <si>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</si>
  <si>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</si>
  <si>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</si>
  <si>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</si>
  <si>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</si>
  <si>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</si>
  <si>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</si>
  <si>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</si>
  <si>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</si>
  <si>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</si>
  <si>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</si>
  <si>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</si>
  <si>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</si>
  <si>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</si>
  <si>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</si>
  <si>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</si>
  <si>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</si>
  <si>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</si>
  <si>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</si>
  <si>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</si>
  <si>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</si>
  <si>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</si>
  <si>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</si>
  <si>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</si>
  <si>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</si>
  <si>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</si>
  <si>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</si>
  <si>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</si>
  <si>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</si>
  <si>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</si>
  <si>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</si>
  <si>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</si>
  <si>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</si>
  <si>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</si>
  <si>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</si>
  <si>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</si>
  <si>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</si>
  <si>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</si>
  <si>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</si>
  <si>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</si>
  <si>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</si>
  <si>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</si>
  <si>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</si>
  <si>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</si>
  <si>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</si>
  <si>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</si>
  <si>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</si>
  <si>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</si>
  <si>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</si>
  <si>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</si>
  <si>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</si>
  <si>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</si>
  <si>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</si>
  <si>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</si>
  <si>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</si>
  <si>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</si>
  <si>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</si>
  <si>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</si>
  <si>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</si>
  <si>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</si>
  <si>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</si>
  <si>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</si>
  <si>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</si>
  <si>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</si>
  <si>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</si>
  <si>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Poznámka:</t>
  </si>
  <si>
    <t>Objekt</t>
  </si>
  <si>
    <t>Kód</t>
  </si>
  <si>
    <t>111101111R00XX</t>
  </si>
  <si>
    <t>131201201R00</t>
  </si>
  <si>
    <t>180404111R00</t>
  </si>
  <si>
    <t>275313621R00</t>
  </si>
  <si>
    <t>311112315RT2</t>
  </si>
  <si>
    <t>338261111R00xx</t>
  </si>
  <si>
    <t>389361001RT1</t>
  </si>
  <si>
    <t>612403382RT1</t>
  </si>
  <si>
    <t>612401911R00</t>
  </si>
  <si>
    <t>631312611RT2</t>
  </si>
  <si>
    <t>632421112RT1</t>
  </si>
  <si>
    <t>632417106RT4</t>
  </si>
  <si>
    <t>711</t>
  </si>
  <si>
    <t>711140102R00</t>
  </si>
  <si>
    <t>711212005R00</t>
  </si>
  <si>
    <t>711212601R00</t>
  </si>
  <si>
    <t>711404101R00</t>
  </si>
  <si>
    <t>998711101R00</t>
  </si>
  <si>
    <t>712</t>
  </si>
  <si>
    <t>712341559RV1</t>
  </si>
  <si>
    <t>765526012R00</t>
  </si>
  <si>
    <t>998712101R00</t>
  </si>
  <si>
    <t>713</t>
  </si>
  <si>
    <t>713121111RT1</t>
  </si>
  <si>
    <t>28376289</t>
  </si>
  <si>
    <t>998713101R00</t>
  </si>
  <si>
    <t>762</t>
  </si>
  <si>
    <t>762083120R00</t>
  </si>
  <si>
    <t>762712120RT2</t>
  </si>
  <si>
    <t>762332120RT2</t>
  </si>
  <si>
    <t>762712120RT3</t>
  </si>
  <si>
    <t>762341811R00</t>
  </si>
  <si>
    <t>762341310RT3</t>
  </si>
  <si>
    <t>762395000R00</t>
  </si>
  <si>
    <t>998762102R00</t>
  </si>
  <si>
    <t>763</t>
  </si>
  <si>
    <t>59782141</t>
  </si>
  <si>
    <t>763613112RV6</t>
  </si>
  <si>
    <t>764</t>
  </si>
  <si>
    <t>764391820R00</t>
  </si>
  <si>
    <t>764391210R00</t>
  </si>
  <si>
    <t>764352292R00</t>
  </si>
  <si>
    <t>764352297R00</t>
  </si>
  <si>
    <t>764359292R00</t>
  </si>
  <si>
    <t>553523103</t>
  </si>
  <si>
    <t>998764101R00</t>
  </si>
  <si>
    <t>767</t>
  </si>
  <si>
    <t>767141915R00XX</t>
  </si>
  <si>
    <t>771</t>
  </si>
  <si>
    <t>771101101R00</t>
  </si>
  <si>
    <t>771101121R00</t>
  </si>
  <si>
    <t>771212113R00</t>
  </si>
  <si>
    <t>59777001ker</t>
  </si>
  <si>
    <t>998771101R00</t>
  </si>
  <si>
    <t>777</t>
  </si>
  <si>
    <t>777615313R00</t>
  </si>
  <si>
    <t>777611991R00</t>
  </si>
  <si>
    <t>781</t>
  </si>
  <si>
    <t>781415012RT2</t>
  </si>
  <si>
    <t>597813607</t>
  </si>
  <si>
    <t>998781101R00</t>
  </si>
  <si>
    <t>783</t>
  </si>
  <si>
    <t>783780010RAC</t>
  </si>
  <si>
    <t>784</t>
  </si>
  <si>
    <t>784111201R00</t>
  </si>
  <si>
    <t>784165431R00</t>
  </si>
  <si>
    <t>94</t>
  </si>
  <si>
    <t>941940031RAAx</t>
  </si>
  <si>
    <t>95</t>
  </si>
  <si>
    <t>95290111A</t>
  </si>
  <si>
    <t>96</t>
  </si>
  <si>
    <t>965048515R00</t>
  </si>
  <si>
    <t>965042121RT2x</t>
  </si>
  <si>
    <t>97</t>
  </si>
  <si>
    <t>974049122R00</t>
  </si>
  <si>
    <t>H01</t>
  </si>
  <si>
    <t>998011031R00</t>
  </si>
  <si>
    <t>M21</t>
  </si>
  <si>
    <t>210020122R00X</t>
  </si>
  <si>
    <t>M23</t>
  </si>
  <si>
    <t>230170012R00</t>
  </si>
  <si>
    <t>230170001R00xx</t>
  </si>
  <si>
    <t>892233111R00</t>
  </si>
  <si>
    <t>728311111R00TZI</t>
  </si>
  <si>
    <t>S</t>
  </si>
  <si>
    <t>979081111RT2X</t>
  </si>
  <si>
    <t>199000005R00</t>
  </si>
  <si>
    <t>553449110xx</t>
  </si>
  <si>
    <t>55231405xx</t>
  </si>
  <si>
    <t>Stavební úpravy záchytných kotců</t>
  </si>
  <si>
    <t>Záchytné kotce</t>
  </si>
  <si>
    <t>Město Česká Lípa</t>
  </si>
  <si>
    <t>Zkrácený popis / Varianta</t>
  </si>
  <si>
    <t>Rozměry</t>
  </si>
  <si>
    <t>Přípravné a přidružené práce</t>
  </si>
  <si>
    <t>Odstranění zatravňovací dlažby</t>
  </si>
  <si>
    <t>demontáž zatravňovací plastové dlažby - v místě patek + zpětná montáž</t>
  </si>
  <si>
    <t>9*0,5   </t>
  </si>
  <si>
    <t>Hloubené vykopávky</t>
  </si>
  <si>
    <t>Hloubení jam v hor.3 do 100 m3, ručně</t>
  </si>
  <si>
    <t>(0,4*0,4*1,1)*4   </t>
  </si>
  <si>
    <t>Povrchové úpravy terénu</t>
  </si>
  <si>
    <t>Založení hřišťového trávníku výsevem na ornici</t>
  </si>
  <si>
    <t>10   </t>
  </si>
  <si>
    <t>Základy</t>
  </si>
  <si>
    <t>Beton základových patek prostý C 20/25</t>
  </si>
  <si>
    <t>Zdi podpěrné a volné</t>
  </si>
  <si>
    <t>Stěna z tvárnic ztraceného bednění, tl. 10 cm</t>
  </si>
  <si>
    <t>zalití tvárnic betonem C 16/20</t>
  </si>
  <si>
    <t>2*4   </t>
  </si>
  <si>
    <t>Sloupy a pilíře, stožáry a rámové stojky</t>
  </si>
  <si>
    <t>Rozebrání a zpětná montáž plotových polí včetně uskladnění na stavbě</t>
  </si>
  <si>
    <t>9,5+2+2   </t>
  </si>
  <si>
    <t>Různé kompletní konstrukce nedělitelné do stav. dílů</t>
  </si>
  <si>
    <t>Doplňující výztuž prefa konstrukcí z bet.oceli - boudy</t>
  </si>
  <si>
    <t>z oceli BSt 500 S</t>
  </si>
  <si>
    <t>(15*4)*0,4/1000   vodorovná R8</t>
  </si>
  <si>
    <t>(10*4)*0,4/1000   svislá R8</t>
  </si>
  <si>
    <t>(4*1,35)/1000   kari síť 4/150/150</t>
  </si>
  <si>
    <t>Úprava povrchů vnitřní</t>
  </si>
  <si>
    <t>Hrubá výplň rýh ve stěnách do 5x5 cm maltou ze SMS</t>
  </si>
  <si>
    <t>zdicí maltou</t>
  </si>
  <si>
    <t>30   </t>
  </si>
  <si>
    <t>Příplatek za zahlazení povrchu</t>
  </si>
  <si>
    <t>30*0,07   </t>
  </si>
  <si>
    <t>Podlahy a podlahové konstrukce</t>
  </si>
  <si>
    <t>Mazanina betonová tl. 5 - 8 cm C 16/20</t>
  </si>
  <si>
    <t>vyztužená ocelovými vlákny 20 kg / m3, kari síť 6</t>
  </si>
  <si>
    <t>1*4*0,06   kotce</t>
  </si>
  <si>
    <t>1   oprava podlahy po provedení zti</t>
  </si>
  <si>
    <t>Potěr WEBER Saint-Gobain,ručně zpracovaný,tl. 2 mm</t>
  </si>
  <si>
    <t>webernivelit, samonivelační, pevnost 25 MPa</t>
  </si>
  <si>
    <t>1*4   </t>
  </si>
  <si>
    <t>Potěr samonivelační ručně tl. 6 mm</t>
  </si>
  <si>
    <t>(exteriér)</t>
  </si>
  <si>
    <t>4   </t>
  </si>
  <si>
    <t>Izolace proti vodě</t>
  </si>
  <si>
    <t>Odstr.izolace proti vlhk.vodor. pásy přitav.,2vrst</t>
  </si>
  <si>
    <t>včetně zaříznutí</t>
  </si>
  <si>
    <t>3,7   </t>
  </si>
  <si>
    <t>Hydroizolační povlak - stěrka včetně penetrace</t>
  </si>
  <si>
    <t>HY pod nové boudy</t>
  </si>
  <si>
    <t>1,5*4   pod kotce</t>
  </si>
  <si>
    <t>Těsnicí pás do spoje podlaha - stěna, svislé pásy, kouty</t>
  </si>
  <si>
    <t>12,5*4   </t>
  </si>
  <si>
    <t>Výztužná stěrka s armovací tkaninou</t>
  </si>
  <si>
    <t>přestěrkování stávajících stěn včetně penetrace. Stávající bloky - pod keramický oklad</t>
  </si>
  <si>
    <t>70   </t>
  </si>
  <si>
    <t>Přesun hmot pro izolace proti vodě, výšky do 6 m</t>
  </si>
  <si>
    <t>0,3388   </t>
  </si>
  <si>
    <t>Izolace střech (živičné krytiny)</t>
  </si>
  <si>
    <t>Povlaková krytina střech do 10°, NAIP přitavením</t>
  </si>
  <si>
    <t>1 vrstva - včetně dodávky Elastek 40 special dekor</t>
  </si>
  <si>
    <t>(9,1*3,2)*1,1   </t>
  </si>
  <si>
    <t>Živičný šindel, pojistná hydroizolace, samolepící</t>
  </si>
  <si>
    <t>Přesun hmot pro povlakové krytiny, výšky do 6 m</t>
  </si>
  <si>
    <t>0,2178   </t>
  </si>
  <si>
    <t>Izolace tepelné</t>
  </si>
  <si>
    <t>Izolace tepelná podlah na sucho, jednovrstvá</t>
  </si>
  <si>
    <t>materiál ve specifikaci</t>
  </si>
  <si>
    <t>Deska polystyren EPS podlahový 1000x500x50 mm</t>
  </si>
  <si>
    <t>1*4*1,1   </t>
  </si>
  <si>
    <t>Přesun hmot pro izolace tepelné, výšky do 6 m</t>
  </si>
  <si>
    <t>0,033   </t>
  </si>
  <si>
    <t>Konstrukce tesařské</t>
  </si>
  <si>
    <t>Profilování zhlaví trámů do 160 cm2</t>
  </si>
  <si>
    <t>Úprava stávajících vrcholu krokví pro napojení nové konstrukce střechy</t>
  </si>
  <si>
    <t>11   úprava stávajících krokví</t>
  </si>
  <si>
    <t>12   profilování nových krokví</t>
  </si>
  <si>
    <t>Montáž vázaných konstrukcí hraněných do 224 cm2</t>
  </si>
  <si>
    <t xml:space="preserve">včetně dodávky řeziva, hranoly 12/12 - sloup, pásky
</t>
  </si>
  <si>
    <t>7,3   </t>
  </si>
  <si>
    <t>4,2   </t>
  </si>
  <si>
    <t>Montáž vázaných krovů pravidelných do 224 cm2</t>
  </si>
  <si>
    <t>včetně dodávky řeziva, hranoly 10/16</t>
  </si>
  <si>
    <t>42   </t>
  </si>
  <si>
    <t>včetně dodávky řeziva, hranoly 12/18- trám "pozednice"</t>
  </si>
  <si>
    <t>9,1   </t>
  </si>
  <si>
    <t>Demontáž bednění střech rovných z prken hrubých</t>
  </si>
  <si>
    <t>demontáž OSB desek + zaříznutí</t>
  </si>
  <si>
    <t>3,6   </t>
  </si>
  <si>
    <t>Montáž bednění střech, OSB desky</t>
  </si>
  <si>
    <t>včetně dodávky řeziva, osb/4 p+d desky tl. 22 mm</t>
  </si>
  <si>
    <t>3*9,1   </t>
  </si>
  <si>
    <t>Spojovací a ochranné prostředky pro střechy</t>
  </si>
  <si>
    <t>spojovací prostředky - uchycení krokví na stávající ocelovou vaznici</t>
  </si>
  <si>
    <t>1   </t>
  </si>
  <si>
    <t>Přesun hmot pro tesařské konstrukce, výšky do 12 m</t>
  </si>
  <si>
    <t>1,19   </t>
  </si>
  <si>
    <t>Dřevostavby</t>
  </si>
  <si>
    <t>Vrchní víko na jednotlivé boudy 1,65 x 1m</t>
  </si>
  <si>
    <t>M.záklopu z desek do tl.18mm,P+D,přibíjením</t>
  </si>
  <si>
    <t>vč. dodávky desky Cetris vhodné do vhkého prostředí tl. 18 mm - vyplnění stávajících otvorů mezi krokvemi z interiéru</t>
  </si>
  <si>
    <t>9,1*0,25   </t>
  </si>
  <si>
    <t>Konstrukce klempířské</t>
  </si>
  <si>
    <t>Demontáž závětrné lišty, rš 250 a 330 mm, do 30°</t>
  </si>
  <si>
    <t>demontáž závětrnné lišty stávající</t>
  </si>
  <si>
    <t>9,1+1+1   </t>
  </si>
  <si>
    <t>Závětrná lišta z Pz plechu, rš 250 mm</t>
  </si>
  <si>
    <t>dodávka a montáž</t>
  </si>
  <si>
    <t>3+3   </t>
  </si>
  <si>
    <t>Montáž háků Pz půlkruhových vč dodávky</t>
  </si>
  <si>
    <t>12   </t>
  </si>
  <si>
    <t>Montáž žlabů Pz půlkruhových ze segmentů vč. dodávky</t>
  </si>
  <si>
    <t>Montáž kotlíku Pz kulatého včetně dodávky</t>
  </si>
  <si>
    <t>Roura svodová kruhová d 100 mm pozink-lak, dodávka a montáž včetně úchytů</t>
  </si>
  <si>
    <t>2   </t>
  </si>
  <si>
    <t>Přesun hmot pro klempířské konstr., výšky do 6 m</t>
  </si>
  <si>
    <t>0,0405   </t>
  </si>
  <si>
    <t>Konstrukce doplňkové stavební (zámečnické)</t>
  </si>
  <si>
    <t>Patka ocelová pro jednotlivé sloupky s distancí - dodávka a montáž M24</t>
  </si>
  <si>
    <t xml:space="preserve">včetně navrtání na chemickou kotvu s betonovou patkou
</t>
  </si>
  <si>
    <t>Podlahy z dlaždic</t>
  </si>
  <si>
    <t>Vysávání podlah prům.vysavačem pro pokládku dlažby</t>
  </si>
  <si>
    <t>1,1*4   </t>
  </si>
  <si>
    <t>Provedení penetrace podkladu pod dlažby</t>
  </si>
  <si>
    <t>Kladení dlažby keramické do TM, vel. do 400x400 mm</t>
  </si>
  <si>
    <t>Keramická dlažba protiskluzová - dodávka</t>
  </si>
  <si>
    <t>(1,1*1,1)*4   včetně prořezu 10%</t>
  </si>
  <si>
    <t>Přesun hmot pro podlahy z dlaždic, výšky do 6 m</t>
  </si>
  <si>
    <t>0,1549   </t>
  </si>
  <si>
    <t>Podlahy ze syntetických hmot</t>
  </si>
  <si>
    <t>Nátěry podlah betonových  epoxidový nátěr 3x</t>
  </si>
  <si>
    <t>šedá</t>
  </si>
  <si>
    <t>Příplatek za penetraci S 1300</t>
  </si>
  <si>
    <t>Obklady (keramické)</t>
  </si>
  <si>
    <t>Montáž obkladů stěn, porovin., do tmele,</t>
  </si>
  <si>
    <t xml:space="preserve"> (lepidlo),  (spár. hmota)</t>
  </si>
  <si>
    <t>67   </t>
  </si>
  <si>
    <t>Keramický obklad - dle výběru investora</t>
  </si>
  <si>
    <t>(5,2*1,1)*4   obklad do bud s prořezem 10%</t>
  </si>
  <si>
    <t>(1,9+1,7+1,9)*1,9   obklad stěn kotec 1-3</t>
  </si>
  <si>
    <t>(1,9+1,7+1,9)*1,9   </t>
  </si>
  <si>
    <t>(1,9+1,9+1,7+0,9)*1,9   obkald stěn kotec 4</t>
  </si>
  <si>
    <t>Přesun hmot pro obklady keramické, výšky do 6 m</t>
  </si>
  <si>
    <t>0,9741   </t>
  </si>
  <si>
    <t>Nátěry</t>
  </si>
  <si>
    <t>Impregnace tesařských konstrukcí</t>
  </si>
  <si>
    <t>dvojnásobná Bochemitem QB</t>
  </si>
  <si>
    <t>0,55*42   </t>
  </si>
  <si>
    <t>0,6*9,1   </t>
  </si>
  <si>
    <t>0,5*7,3   </t>
  </si>
  <si>
    <t>0,5*4,2   </t>
  </si>
  <si>
    <t>Malby</t>
  </si>
  <si>
    <t>Penetrace podkladu nátěrem V1308  1 x</t>
  </si>
  <si>
    <t>0,5*1,6   </t>
  </si>
  <si>
    <t>Malba tek. Hetline Super Wash, bílá bez penetr.,1x</t>
  </si>
  <si>
    <t>Lešení a stavební výtahy</t>
  </si>
  <si>
    <t>Lešení lehké fasádní, š. 1 m, výška do 10 m</t>
  </si>
  <si>
    <t>pronájem, montáž, demontáž</t>
  </si>
  <si>
    <t>Různé dokončovací konstrukce a práce na pozemních stavbách</t>
  </si>
  <si>
    <t>Přípravné a dokončovací práce</t>
  </si>
  <si>
    <t>stěhování a likvidace stávajících dřevěných bud</t>
  </si>
  <si>
    <t>Bourání konstrukcí</t>
  </si>
  <si>
    <t>Broušení betonových povrchů do tl. 5 mm</t>
  </si>
  <si>
    <t>3,5*4   zabroučení a očištění stávajícího gletovaného betonu, odstranění znečiištění</t>
  </si>
  <si>
    <t>Bourání mazanin betonových tl. 10 cm, pl. 1 m2</t>
  </si>
  <si>
    <t>ručně tl. mazaniny 8 - 10 cm, vybourání mazaniny pro napojení kanalizačního potrubí k nové výlevce</t>
  </si>
  <si>
    <t>Prorážení otvorů a ostatní bourací práce</t>
  </si>
  <si>
    <t>Vysekání rýh v betonových zdech 3x7 cm</t>
  </si>
  <si>
    <t>vysekání - vyříznutí rýh pro zapuštění elektro rozvodů - stávající + nové, přesun kabelů ze stávajících lišt</t>
  </si>
  <si>
    <t>Budovy občanské výstavby</t>
  </si>
  <si>
    <t>Přesun hmot pro budovy z bloků výšky do 6 m</t>
  </si>
  <si>
    <t>Elektromontáže</t>
  </si>
  <si>
    <t>Posun stávajícího el. topení, které chrání skald proti zamrznutí</t>
  </si>
  <si>
    <t>Montáže potrubí</t>
  </si>
  <si>
    <t>Zkouška těsnosti potrubí, DN 50 - 80</t>
  </si>
  <si>
    <t>ZTI instalace pro osazení nové výlevky.</t>
  </si>
  <si>
    <t>Napojení HT  DN40-50 potrubí na stávající vpusť, dodávka včetně montáže, délka 1,5m včetně tvarovek.V místě zdiva bude potrubí kotveno úchytkami. Prodloužení a napojení potrubí vody na nový průtokový ohřívač. Bez výlevky a ohřívače</t>
  </si>
  <si>
    <t>Desinfekce vodovodního potrubí DN 70</t>
  </si>
  <si>
    <t>Dodávka a montáž průtokového ohřívače s baterií dle TZ o výkonu 3,5kw</t>
  </si>
  <si>
    <t>230V - do zásuvky</t>
  </si>
  <si>
    <t>Přesuny sutí</t>
  </si>
  <si>
    <t>Odvoz suti a vybour. hmot na skládku do 1 km</t>
  </si>
  <si>
    <t>kontejnerem 4 t, pronájem a odvoz suti a přebytečné zeminy</t>
  </si>
  <si>
    <t>0,7*1,8   odvoz zeminy</t>
  </si>
  <si>
    <t>Poplatek za skládku zeminy 1- 4</t>
  </si>
  <si>
    <t>0,7*1,8   </t>
  </si>
  <si>
    <t>Ostatní materiál</t>
  </si>
  <si>
    <t>Okapnice z Pz plechu - dodávka a montáž</t>
  </si>
  <si>
    <t>Výlevka plastová nástěnná, zadní stěna mřížka, dodávka a montáž</t>
  </si>
  <si>
    <t>Doba výstavby:</t>
  </si>
  <si>
    <t>Začátek výstavby:</t>
  </si>
  <si>
    <t>Konec výstavby:</t>
  </si>
  <si>
    <t>Zpracováno dne:</t>
  </si>
  <si>
    <t>MJ</t>
  </si>
  <si>
    <t>m2</t>
  </si>
  <si>
    <t>m3</t>
  </si>
  <si>
    <t>m</t>
  </si>
  <si>
    <t>t</t>
  </si>
  <si>
    <t>kus</t>
  </si>
  <si>
    <t>kpl</t>
  </si>
  <si>
    <t>KPL</t>
  </si>
  <si>
    <t>Množství</t>
  </si>
  <si>
    <t>21.06.2023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</si>
  <si>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</si>
  <si>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</si>
  <si>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</si>
  <si>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</si>
  <si>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</si>
  <si>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</si>
  <si>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</si>
  <si>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</si>
  <si>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</si>
  <si>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</si>
  <si>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</si>
  <si>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</si>
  <si>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</si>
  <si>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</si>
  <si>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</si>
  <si>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</si>
  <si>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</si>
  <si>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</si>
  <si>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</si>
  <si>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</si>
  <si>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</si>
  <si>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</si>
  <si>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</si>
  <si>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</si>
  <si>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</si>
  <si>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13_</t>
  </si>
  <si>
    <t>18_</t>
  </si>
  <si>
    <t>27_</t>
  </si>
  <si>
    <t>31_</t>
  </si>
  <si>
    <t>33_</t>
  </si>
  <si>
    <t>38_</t>
  </si>
  <si>
    <t>61_</t>
  </si>
  <si>
    <t>63_</t>
  </si>
  <si>
    <t>711_</t>
  </si>
  <si>
    <t>712_</t>
  </si>
  <si>
    <t>713_</t>
  </si>
  <si>
    <t>762_</t>
  </si>
  <si>
    <t>763_</t>
  </si>
  <si>
    <t>764_</t>
  </si>
  <si>
    <t>767_</t>
  </si>
  <si>
    <t>771_</t>
  </si>
  <si>
    <t>777_</t>
  </si>
  <si>
    <t>781_</t>
  </si>
  <si>
    <t>783_</t>
  </si>
  <si>
    <t>784_</t>
  </si>
  <si>
    <t>94_</t>
  </si>
  <si>
    <t>95_</t>
  </si>
  <si>
    <t>96_</t>
  </si>
  <si>
    <t>97_</t>
  </si>
  <si>
    <t>H01_</t>
  </si>
  <si>
    <t>M21_</t>
  </si>
  <si>
    <t>M23_</t>
  </si>
  <si>
    <t>S_</t>
  </si>
  <si>
    <t>Z99999_</t>
  </si>
  <si>
    <t>1_</t>
  </si>
  <si>
    <t>2_</t>
  </si>
  <si>
    <t>3_</t>
  </si>
  <si>
    <t>6_</t>
  </si>
  <si>
    <t>71_</t>
  </si>
  <si>
    <t>76_</t>
  </si>
  <si>
    <t>77_</t>
  </si>
  <si>
    <t>78_</t>
  </si>
  <si>
    <t>9_</t>
  </si>
  <si>
    <t>Z_</t>
  </si>
  <si>
    <t>_</t>
  </si>
  <si>
    <t>MAT</t>
  </si>
  <si>
    <t>WORK</t>
  </si>
  <si>
    <t>CELK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</si>
  <si>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</si>
  <si>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</si>
  <si>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</si>
  <si>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</si>
  <si>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</si>
  <si>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</si>
  <si>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</si>
  <si>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</si>
  <si>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</si>
  <si>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</si>
  <si>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</si>
  <si>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</si>
  <si>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</si>
  <si>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</si>
  <si>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</si>
  <si>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</si>
  <si>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</si>
  <si>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</si>
  <si>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</si>
  <si>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</si>
  <si>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</si>
  <si>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</si>
  <si>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</si>
  <si>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</si>
  <si>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</si>
  <si>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</si>
  <si>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Dokumentace skut. pr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</si>
  <si>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</si>
  <si>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</si>
  <si>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</si>
  <si>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</si>
  <si>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</si>
  <si>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</si>
  <si>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</si>
  <si>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</si>
  <si>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</si>
  <si>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</si>
  <si>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</si>
  <si>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</si>
  <si>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</si>
  <si>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</si>
  <si>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</si>
  <si>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</si>
  <si>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</si>
  <si>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</si>
  <si>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</si>
  <si>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</si>
  <si>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</si>
  <si>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</si>
  <si>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</si>
  <si>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</si>
  <si>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</si>
  <si>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</si>
  <si>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</si>
  <si>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</si>
  <si>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</si>
  <si>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</si>
  <si>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</si>
  <si>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</si>
  <si>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</si>
  <si>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</si>
  <si>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</si>
  <si>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Investor:</t>
  </si>
  <si>
    <t>Město Česká Lípa, Nám. T. G. Masaryka 1, 470 01 Česká Lípa</t>
  </si>
  <si>
    <t>El. vytápění kotců a el. ohřev TV</t>
  </si>
  <si>
    <t>22.06.2023</t>
  </si>
  <si>
    <t>P.P.Č. 229/10, K.Ú. STARÁ LÍPA</t>
  </si>
  <si>
    <t>Johana Poláková</t>
  </si>
  <si>
    <t>Cenová</t>
  </si>
  <si>
    <t>ISWORK</t>
  </si>
  <si>
    <t>GROUPCODE</t>
  </si>
  <si>
    <t>soustava</t>
  </si>
  <si>
    <t>210190003R00</t>
  </si>
  <si>
    <t>Montáž celoplechových rozvodnic do váhy 100 kg</t>
  </si>
  <si>
    <t>RTS II / 2022</t>
  </si>
  <si>
    <t>210120901R00</t>
  </si>
  <si>
    <t>Hlavní vypínač v rozvaděči</t>
  </si>
  <si>
    <t>RTS komentář:</t>
  </si>
  <si>
    <t>Odizolování vodičů, vyformování a zapojení. Osazení na lištu</t>
  </si>
  <si>
    <t>210120322R00</t>
  </si>
  <si>
    <t>Bleskojistka do 25 kV, 10 kA</t>
  </si>
  <si>
    <t>210120421R00</t>
  </si>
  <si>
    <t>Jistič jednopólový modulární</t>
  </si>
  <si>
    <t>210120803R00</t>
  </si>
  <si>
    <t>Chránič proudový dvoupólový do 40 A</t>
  </si>
  <si>
    <t>Odizolování vodičů, vyformování a zapojení. Osazení chrániče na lištu</t>
  </si>
  <si>
    <t>210120823R00</t>
  </si>
  <si>
    <t>Chránič proudový čtyřpólový do 40 A</t>
  </si>
  <si>
    <t>210130002R00</t>
  </si>
  <si>
    <t>Stykač vzduchový vestavný  40 A 2póly</t>
  </si>
  <si>
    <t>222611113R00</t>
  </si>
  <si>
    <t>Montáž termostatu protimrazové ochrany, včetně zapojení</t>
  </si>
  <si>
    <t>Montáž snímače, rozvinutí kapiláry a přichycení na držáky, připojení kabelu na svorky, utažení ucpávky kabelu, nastavení hodnoty dle požadavku PD</t>
  </si>
  <si>
    <t>736212204R00</t>
  </si>
  <si>
    <t>Vytápění  kabely, plocha 5-10 m2</t>
  </si>
  <si>
    <t>Měrnou jednotkou je metr čtvereční otopné plochy místnosti. Otopná plocha se nerovná ploše užitné.  uložení montážního pásu, topných kabelů, regulátoru (včetně senzorů), technickou přípravu, instruktáž a oživení, seřízení regulace a ovládání. Položka neobsahuje podkladní a krycí konstrukce.</t>
  </si>
  <si>
    <t>210100002R00</t>
  </si>
  <si>
    <t>Ukončení vodičů v rozvaděči + zapojení do 6 mm2</t>
  </si>
  <si>
    <t>210100001R00</t>
  </si>
  <si>
    <t>Ukončení vodičů v rozvaděči + zapojení do 2,5 mm2</t>
  </si>
  <si>
    <t>210100003R00</t>
  </si>
  <si>
    <t>Ukončení vodičů v rozvaděči + zapojení do 16 mm2</t>
  </si>
  <si>
    <t>210192562R00</t>
  </si>
  <si>
    <t>Svorkovnice ochranná se zapojením 63 A</t>
  </si>
  <si>
    <t>210800004R00</t>
  </si>
  <si>
    <t>Vodič CYY 6 mm2 uložený pod omítkou</t>
  </si>
  <si>
    <t>210800005R00</t>
  </si>
  <si>
    <t>Vodič CYY 10 mm2 uložený pod omítkou</t>
  </si>
  <si>
    <t>210800105R00</t>
  </si>
  <si>
    <t>Kabel CYKY 750 V 3x1,5 mm2 uložený pod omítkou</t>
  </si>
  <si>
    <t>210800106R00</t>
  </si>
  <si>
    <t>Kabel CYKY 750 V 3x2,5 mm2 uložený pod omítkou</t>
  </si>
  <si>
    <t>210220021R00</t>
  </si>
  <si>
    <t>Vedení uzemňovací v zemi FeZn do 120 mm2 vč.svorek</t>
  </si>
  <si>
    <t>000 SP1VD</t>
  </si>
  <si>
    <t>Celoplastová nástěnná rozvodnice 54M, IP65, s průhl. dvířky</t>
  </si>
  <si>
    <t>ks</t>
  </si>
  <si>
    <t>HAB303IMVD</t>
  </si>
  <si>
    <t>Otočný vypínač 3P In=32 A; Ui=800 V; AC 23</t>
  </si>
  <si>
    <t>000-FLP1VD</t>
  </si>
  <si>
    <t>Svodič přepětí B+C/4</t>
  </si>
  <si>
    <t>kombinovaný svodič bleskových proudů a přepětí, vhodné pro 3-fázový systém TN-S, instalace na vstupu do budovy, 100 kA (10/350), 240 kA (8/20)</t>
  </si>
  <si>
    <t>CDA425DIMVD</t>
  </si>
  <si>
    <t>Proudový chránič 4 pól. 25 / 0,03 A, A</t>
  </si>
  <si>
    <t>ADA910DIMVD</t>
  </si>
  <si>
    <t>Proud.chr. s nadpr.ochr. char. B; 2 pól; 6 kA; 0,03 A; In=10 A, A</t>
  </si>
  <si>
    <t>ADA916DIMVD</t>
  </si>
  <si>
    <t>Proud.chr. s nadpr.ochr. char. B; 2 pól; 6 kA; 0,03 A; In=16 A, A</t>
  </si>
  <si>
    <t>ERC225IMVD</t>
  </si>
  <si>
    <t>Stykač  25A, 2S, 230V~50/60Hz</t>
  </si>
  <si>
    <t>NBN106TIMVD</t>
  </si>
  <si>
    <t>Jistič 1 pól. 6A, char.B, 10 kA</t>
  </si>
  <si>
    <t>NBN110TIMVD</t>
  </si>
  <si>
    <t>Jistič 1 pól. 10A, char.B, 10 kA</t>
  </si>
  <si>
    <t>405417013</t>
  </si>
  <si>
    <t>Elektronický termostat s externím čidlem</t>
  </si>
  <si>
    <t>Elektronický termostat na DIN s externím čidlem  č. 2331  použití: teplotní rozsah 0 až 40°C podlahové čidlo indikace  LED krytí IP 20 (objednat délku čidel 12,10,8 a 6m)</t>
  </si>
  <si>
    <t>0000psVD</t>
  </si>
  <si>
    <t>Prohlášení o shodě dle ČSN EN 61439-1 na rozvaděč nn</t>
  </si>
  <si>
    <t>000-001VD</t>
  </si>
  <si>
    <t>Přípojnice potenciálového vyrovnání</t>
  </si>
  <si>
    <t>Přípojnice potenciálového vyrovnání pro vyrovnání potenciálů dle ČSN 33 2000-4-41 / -5-54 a pro vyrovnání potenciálů v ochraně před bleskem dle ČSN EN 62305. Možnosti připojení: 7 × plný nebo laněný vodič 2,5–25 mm2, 2 × plný nebo laněný vodič 25–95 mm2, 1 × plochý vodič 30 × 3,5 mm</t>
  </si>
  <si>
    <t>341972101</t>
  </si>
  <si>
    <t>Topná rohož, rozměr 1 x 0,5 m, 75 W</t>
  </si>
  <si>
    <t>Topné rohože pro podlahové vytápění HM 150  dvoužilová s ochranným opletením, 150W/m2, připojení z jednoho konce  pro použití i ve vlhkém prostředí (koupelny, bazény),možnost instalace na stávající podlahu bez nutnosti bourání  (objednat délku studeného konce 12,10,8 a 6m)</t>
  </si>
  <si>
    <t>0047VD</t>
  </si>
  <si>
    <t>Zásuvka 16A/230V, nástěná,  IP44</t>
  </si>
  <si>
    <t>34111036</t>
  </si>
  <si>
    <t>Kabel silový s Cu jádrem 750 V CYKY 3 x 2,5 mm2</t>
  </si>
  <si>
    <t>CYKY Instalační kabely  Použití: pro pevné uložení ve vnitřních a venkovních prostorách, v zemi, v betonu. Kabely jsou odolné proti UV záření a proti šíření plamene.  Konstrukce: 1. Měděné plné holé jádro 2. PVC izolace 3. Výplňový obal 4. PVC pláš</t>
  </si>
  <si>
    <t>34140967</t>
  </si>
  <si>
    <t>Vodič silový CY zelenožlutý 10,00 mm2 - drát</t>
  </si>
  <si>
    <t>34140966</t>
  </si>
  <si>
    <t>Vodič silový CY zelenožlutý 6,00 mm2 - drát</t>
  </si>
  <si>
    <t>003LPSVD</t>
  </si>
  <si>
    <t>Pásek zemnící ZP 30x4 FEZN 1kg=1.05m</t>
  </si>
  <si>
    <t>kg</t>
  </si>
  <si>
    <t>SR3b+1IMVD</t>
  </si>
  <si>
    <t>svorka páska-drát+mezideska</t>
  </si>
  <si>
    <t>FeZn</t>
  </si>
  <si>
    <t>0011VD</t>
  </si>
  <si>
    <t>Drobný instalační materiál</t>
  </si>
  <si>
    <t>obj.</t>
  </si>
  <si>
    <t>ELEKTRO</t>
  </si>
  <si>
    <t>Rezerva el</t>
  </si>
  <si>
    <t>Revize 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</si>
</sst>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7"/>
      <name val="Arial"/>
      <family val="0"/>
    </font>
    <font>
      <sz val="18"/>
      <name val="Arial"/>
      <family val="0"/>
    </font>
    <font>
      <sz val="11"/>
      <name val="Calibri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9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1" fillId="0" borderId="0">
      <alignment/>
      <protection/>
    </xf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9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4" fillId="0" borderId="27" xfId="0" applyNumberFormat="1" applyFont="1" applyFill="1" applyBorder="1" applyAlignment="1" applyProtection="1">
      <alignment horizontal="right" vertical="center"/>
      <protection/>
    </xf>
    <xf numFmtId="49" fontId="14" fillId="0" borderId="27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3" fillId="0" borderId="38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right" vertical="center"/>
      <protection/>
    </xf>
    <xf numFmtId="4" fontId="3" fillId="0" borderId="3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49" fontId="15" fillId="0" borderId="43" xfId="0" applyNumberFormat="1" applyFont="1" applyFill="1" applyBorder="1" applyAlignment="1" applyProtection="1">
      <alignment horizontal="left" vertical="center"/>
      <protection/>
    </xf>
    <xf numFmtId="0" fontId="15" fillId="0" borderId="35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3" fillId="34" borderId="43" xfId="0" applyNumberFormat="1" applyFont="1" applyFill="1" applyBorder="1" applyAlignment="1" applyProtection="1">
      <alignment horizontal="left" vertical="center"/>
      <protection/>
    </xf>
    <xf numFmtId="0" fontId="13" fillId="34" borderId="42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49" fontId="14" fillId="0" borderId="23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49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4" fontId="13" fillId="0" borderId="54" xfId="0" applyNumberFormat="1" applyFont="1" applyFill="1" applyBorder="1" applyAlignment="1" applyProtection="1">
      <alignment horizontal="right" vertical="center"/>
      <protection/>
    </xf>
    <xf numFmtId="0" fontId="13" fillId="0" borderId="36" xfId="0" applyNumberFormat="1" applyFont="1" applyFill="1" applyBorder="1" applyAlignment="1" applyProtection="1">
      <alignment horizontal="right" vertical="center"/>
      <protection/>
    </xf>
    <xf numFmtId="0" fontId="13" fillId="0" borderId="55" xfId="0" applyNumberFormat="1" applyFont="1" applyFill="1" applyBorder="1" applyAlignment="1" applyProtection="1">
      <alignment horizontal="right" vertical="center"/>
      <protection/>
    </xf>
    <xf numFmtId="49" fontId="3" fillId="0" borderId="54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55" xfId="0" applyNumberFormat="1" applyFont="1" applyFill="1" applyBorder="1" applyAlignment="1" applyProtection="1">
      <alignment horizontal="left" vertical="center"/>
      <protection/>
    </xf>
    <xf numFmtId="49" fontId="13" fillId="0" borderId="54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0" fontId="13" fillId="0" borderId="55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2" fillId="0" borderId="0" xfId="45" applyFont="1" applyAlignment="1">
      <alignment horizontal="center" vertical="center"/>
      <protection/>
    </xf>
    <xf numFmtId="0" fontId="31" fillId="0" borderId="0" xfId="45">
      <alignment/>
      <protection/>
    </xf>
    <xf numFmtId="0" fontId="33" fillId="0" borderId="0" xfId="45" applyFont="1">
      <alignment/>
      <protection/>
    </xf>
    <xf numFmtId="0" fontId="0" fillId="0" borderId="58" xfId="45" applyFont="1" applyBorder="1" applyAlignment="1">
      <alignment horizontal="left" vertical="center" wrapText="1"/>
      <protection/>
    </xf>
    <xf numFmtId="0" fontId="34" fillId="0" borderId="59" xfId="45" applyFont="1" applyBorder="1" applyAlignment="1">
      <alignment horizontal="left" vertical="center" wrapText="1"/>
      <protection/>
    </xf>
    <xf numFmtId="0" fontId="0" fillId="0" borderId="59" xfId="45" applyFont="1" applyBorder="1" applyAlignment="1">
      <alignment horizontal="left" vertical="center"/>
      <protection/>
    </xf>
    <xf numFmtId="0" fontId="0" fillId="0" borderId="59" xfId="45" applyFont="1" applyBorder="1" applyAlignment="1">
      <alignment horizontal="left" vertical="center" wrapText="1"/>
      <protection/>
    </xf>
    <xf numFmtId="0" fontId="0" fillId="0" borderId="60" xfId="45" applyFont="1" applyBorder="1" applyAlignment="1">
      <alignment horizontal="left" vertical="center"/>
      <protection/>
    </xf>
    <xf numFmtId="0" fontId="0" fillId="0" borderId="61" xfId="45" applyFont="1" applyBorder="1" applyAlignment="1">
      <alignment horizontal="left" vertical="center" wrapText="1"/>
      <protection/>
    </xf>
    <xf numFmtId="0" fontId="0" fillId="0" borderId="0" xfId="45" applyFont="1" applyAlignment="1">
      <alignment horizontal="left" vertical="center" wrapText="1"/>
      <protection/>
    </xf>
    <xf numFmtId="0" fontId="0" fillId="0" borderId="0" xfId="45" applyFont="1" applyAlignment="1">
      <alignment horizontal="left" vertical="center"/>
      <protection/>
    </xf>
    <xf numFmtId="0" fontId="0" fillId="0" borderId="62" xfId="45" applyFont="1" applyBorder="1" applyAlignment="1">
      <alignment horizontal="left" vertical="center"/>
      <protection/>
    </xf>
    <xf numFmtId="0" fontId="0" fillId="0" borderId="62" xfId="45" applyFont="1" applyBorder="1" applyAlignment="1">
      <alignment horizontal="left" vertical="center" wrapText="1"/>
      <protection/>
    </xf>
    <xf numFmtId="0" fontId="34" fillId="0" borderId="63" xfId="45" applyFont="1" applyBorder="1" applyAlignment="1">
      <alignment horizontal="left" vertical="center"/>
      <protection/>
    </xf>
    <xf numFmtId="0" fontId="34" fillId="0" borderId="64" xfId="45" applyFont="1" applyBorder="1" applyAlignment="1">
      <alignment horizontal="left" vertical="center"/>
      <protection/>
    </xf>
    <xf numFmtId="0" fontId="34" fillId="0" borderId="64" xfId="45" applyFont="1" applyBorder="1" applyAlignment="1">
      <alignment horizontal="left" vertical="center"/>
      <protection/>
    </xf>
    <xf numFmtId="0" fontId="34" fillId="0" borderId="64" xfId="45" applyFont="1" applyBorder="1" applyAlignment="1">
      <alignment horizontal="center" vertical="center"/>
      <protection/>
    </xf>
    <xf numFmtId="0" fontId="34" fillId="0" borderId="65" xfId="45" applyFont="1" applyBorder="1" applyAlignment="1">
      <alignment horizontal="center" vertical="center"/>
      <protection/>
    </xf>
    <xf numFmtId="0" fontId="34" fillId="0" borderId="66" xfId="45" applyFont="1" applyBorder="1" applyAlignment="1">
      <alignment horizontal="center" vertical="center"/>
      <protection/>
    </xf>
    <xf numFmtId="0" fontId="34" fillId="0" borderId="67" xfId="45" applyFont="1" applyBorder="1" applyAlignment="1">
      <alignment horizontal="center" vertical="center"/>
      <protection/>
    </xf>
    <xf numFmtId="0" fontId="34" fillId="0" borderId="68" xfId="45" applyFont="1" applyBorder="1" applyAlignment="1">
      <alignment horizontal="center" vertical="center"/>
      <protection/>
    </xf>
    <xf numFmtId="0" fontId="34" fillId="35" borderId="0" xfId="45" applyFont="1" applyFill="1" applyAlignment="1">
      <alignment horizontal="right" vertical="center"/>
      <protection/>
    </xf>
    <xf numFmtId="0" fontId="34" fillId="0" borderId="0" xfId="45" applyFont="1" applyAlignment="1">
      <alignment horizontal="right" vertical="center"/>
      <protection/>
    </xf>
    <xf numFmtId="0" fontId="0" fillId="0" borderId="69" xfId="45" applyFont="1" applyBorder="1" applyAlignment="1">
      <alignment horizontal="left" vertical="center"/>
      <protection/>
    </xf>
    <xf numFmtId="0" fontId="0" fillId="0" borderId="70" xfId="45" applyFont="1" applyBorder="1" applyAlignment="1">
      <alignment horizontal="left" vertical="center"/>
      <protection/>
    </xf>
    <xf numFmtId="0" fontId="34" fillId="0" borderId="70" xfId="45" applyFont="1" applyBorder="1" applyAlignment="1">
      <alignment horizontal="left" vertical="center"/>
      <protection/>
    </xf>
    <xf numFmtId="0" fontId="34" fillId="0" borderId="71" xfId="45" applyFont="1" applyBorder="1" applyAlignment="1">
      <alignment horizontal="center" vertical="center"/>
      <protection/>
    </xf>
    <xf numFmtId="0" fontId="34" fillId="0" borderId="69" xfId="45" applyFont="1" applyBorder="1" applyAlignment="1">
      <alignment horizontal="center" vertical="center"/>
      <protection/>
    </xf>
    <xf numFmtId="0" fontId="34" fillId="0" borderId="70" xfId="45" applyFont="1" applyBorder="1" applyAlignment="1">
      <alignment horizontal="center" vertical="center"/>
      <protection/>
    </xf>
    <xf numFmtId="0" fontId="34" fillId="0" borderId="72" xfId="45" applyFont="1" applyBorder="1" applyAlignment="1">
      <alignment horizontal="center" vertical="center"/>
      <protection/>
    </xf>
    <xf numFmtId="0" fontId="34" fillId="0" borderId="73" xfId="45" applyFont="1" applyBorder="1" applyAlignment="1">
      <alignment horizontal="center" vertical="center"/>
      <protection/>
    </xf>
    <xf numFmtId="0" fontId="0" fillId="35" borderId="61" xfId="45" applyFont="1" applyFill="1" applyBorder="1" applyAlignment="1">
      <alignment horizontal="left" vertical="center"/>
      <protection/>
    </xf>
    <xf numFmtId="0" fontId="34" fillId="35" borderId="0" xfId="45" applyFont="1" applyFill="1" applyAlignment="1">
      <alignment horizontal="left" vertical="center"/>
      <protection/>
    </xf>
    <xf numFmtId="0" fontId="34" fillId="35" borderId="0" xfId="45" applyFont="1" applyFill="1" applyAlignment="1">
      <alignment horizontal="left" vertical="center"/>
      <protection/>
    </xf>
    <xf numFmtId="0" fontId="0" fillId="35" borderId="0" xfId="45" applyFont="1" applyFill="1" applyAlignment="1">
      <alignment horizontal="left" vertical="center"/>
      <protection/>
    </xf>
    <xf numFmtId="4" fontId="34" fillId="35" borderId="0" xfId="45" applyNumberFormat="1" applyFont="1" applyFill="1" applyAlignment="1">
      <alignment horizontal="right" vertical="center"/>
      <protection/>
    </xf>
    <xf numFmtId="0" fontId="34" fillId="35" borderId="62" xfId="45" applyFont="1" applyFill="1" applyBorder="1" applyAlignment="1">
      <alignment horizontal="right" vertical="center"/>
      <protection/>
    </xf>
    <xf numFmtId="0" fontId="0" fillId="0" borderId="61" xfId="45" applyFont="1" applyBorder="1" applyAlignment="1">
      <alignment horizontal="left" vertical="center"/>
      <protection/>
    </xf>
    <xf numFmtId="0" fontId="0" fillId="0" borderId="0" xfId="45" applyFont="1" applyAlignment="1">
      <alignment horizontal="left" vertical="center"/>
      <protection/>
    </xf>
    <xf numFmtId="4" fontId="0" fillId="0" borderId="0" xfId="45" applyNumberFormat="1" applyFont="1" applyAlignment="1">
      <alignment horizontal="right" vertical="center"/>
      <protection/>
    </xf>
    <xf numFmtId="0" fontId="0" fillId="0" borderId="62" xfId="45" applyFont="1" applyBorder="1" applyAlignment="1">
      <alignment horizontal="right" vertical="center"/>
      <protection/>
    </xf>
    <xf numFmtId="0" fontId="0" fillId="0" borderId="0" xfId="45" applyFont="1" applyAlignment="1">
      <alignment horizontal="right" vertical="center"/>
      <protection/>
    </xf>
    <xf numFmtId="0" fontId="33" fillId="0" borderId="61" xfId="45" applyFont="1" applyBorder="1">
      <alignment/>
      <protection/>
    </xf>
    <xf numFmtId="0" fontId="35" fillId="0" borderId="0" xfId="45" applyFont="1" applyAlignment="1">
      <alignment horizontal="right" vertical="center"/>
      <protection/>
    </xf>
    <xf numFmtId="0" fontId="35" fillId="0" borderId="62" xfId="45" applyFont="1" applyBorder="1" applyAlignment="1">
      <alignment horizontal="left" vertical="center" wrapText="1"/>
      <protection/>
    </xf>
    <xf numFmtId="0" fontId="0" fillId="0" borderId="74" xfId="45" applyFont="1" applyBorder="1" applyAlignment="1">
      <alignment horizontal="left" vertical="center"/>
      <protection/>
    </xf>
    <xf numFmtId="0" fontId="0" fillId="0" borderId="75" xfId="45" applyFont="1" applyBorder="1" applyAlignment="1">
      <alignment horizontal="left" vertical="center"/>
      <protection/>
    </xf>
    <xf numFmtId="0" fontId="0" fillId="0" borderId="75" xfId="45" applyFont="1" applyBorder="1" applyAlignment="1">
      <alignment horizontal="left" vertical="center"/>
      <protection/>
    </xf>
    <xf numFmtId="4" fontId="0" fillId="0" borderId="75" xfId="45" applyNumberFormat="1" applyFont="1" applyBorder="1" applyAlignment="1">
      <alignment horizontal="right" vertical="center"/>
      <protection/>
    </xf>
    <xf numFmtId="0" fontId="0" fillId="0" borderId="76" xfId="45" applyFont="1" applyBorder="1" applyAlignment="1">
      <alignment horizontal="right" vertical="center"/>
      <protection/>
    </xf>
    <xf numFmtId="0" fontId="34" fillId="0" borderId="0" xfId="45" applyFont="1" applyAlignment="1">
      <alignment horizontal="left" vertical="center"/>
      <protection/>
    </xf>
    <xf numFmtId="4" fontId="34" fillId="0" borderId="0" xfId="45" applyNumberFormat="1" applyFont="1" applyAlignment="1">
      <alignment horizontal="right" vertical="center"/>
      <protection/>
    </xf>
    <xf numFmtId="0" fontId="36" fillId="0" borderId="0" xfId="45" applyFont="1" applyAlignment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57150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D25" sqref="D2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7"/>
      <c r="C1" s="75" t="s">
        <v>463</v>
      </c>
      <c r="D1" s="76"/>
      <c r="E1" s="76"/>
      <c r="F1" s="76"/>
      <c r="G1" s="76"/>
      <c r="H1" s="76"/>
      <c r="I1" s="76"/>
    </row>
    <row r="2" spans="1:10" ht="12.75">
      <c r="A2" s="77" t="s">
        <v>1</v>
      </c>
      <c r="B2" s="78"/>
      <c r="C2" s="81" t="str">
        <f>'Stavební rozpočet'!D2</f>
        <v>Stavební úpravy záchytných kotců</v>
      </c>
      <c r="D2" s="82"/>
      <c r="E2" s="84" t="s">
        <v>376</v>
      </c>
      <c r="F2" s="84" t="str">
        <f>'Stavební rozpočet'!I2</f>
        <v> </v>
      </c>
      <c r="G2" s="78"/>
      <c r="H2" s="84" t="s">
        <v>488</v>
      </c>
      <c r="I2" s="85"/>
      <c r="J2" s="33"/>
    </row>
    <row r="3" spans="1:10" ht="12.75">
      <c r="A3" s="79"/>
      <c r="B3" s="80"/>
      <c r="C3" s="83"/>
      <c r="D3" s="83"/>
      <c r="E3" s="80"/>
      <c r="F3" s="80"/>
      <c r="G3" s="80"/>
      <c r="H3" s="80"/>
      <c r="I3" s="86"/>
      <c r="J3" s="33"/>
    </row>
    <row r="4" spans="1:10" ht="12.75">
      <c r="A4" s="87" t="s">
        <v>2</v>
      </c>
      <c r="B4" s="80"/>
      <c r="C4" s="88" t="str">
        <f>'Stavební rozpočet'!D4</f>
        <v>Záchytné kotce</v>
      </c>
      <c r="D4" s="80"/>
      <c r="E4" s="88" t="s">
        <v>377</v>
      </c>
      <c r="F4" s="88" t="str">
        <f>'Stavební rozpočet'!I4</f>
        <v> </v>
      </c>
      <c r="G4" s="80"/>
      <c r="H4" s="88" t="s">
        <v>488</v>
      </c>
      <c r="I4" s="89"/>
      <c r="J4" s="33"/>
    </row>
    <row r="5" spans="1:10" ht="12.75">
      <c r="A5" s="79"/>
      <c r="B5" s="80"/>
      <c r="C5" s="80"/>
      <c r="D5" s="80"/>
      <c r="E5" s="80"/>
      <c r="F5" s="80"/>
      <c r="G5" s="80"/>
      <c r="H5" s="80"/>
      <c r="I5" s="86"/>
      <c r="J5" s="33"/>
    </row>
    <row r="6" spans="1:10" ht="12.75">
      <c r="A6" s="87" t="s">
        <v>3</v>
      </c>
      <c r="B6" s="80"/>
      <c r="C6" s="88" t="str">
        <f>'Stavební rozpočet'!D6</f>
        <v>Město Česká Lípa</v>
      </c>
      <c r="D6" s="80"/>
      <c r="E6" s="88" t="s">
        <v>378</v>
      </c>
      <c r="F6" s="88" t="str">
        <f>'Stavební rozpočet'!I6</f>
        <v> </v>
      </c>
      <c r="G6" s="80"/>
      <c r="H6" s="88" t="s">
        <v>488</v>
      </c>
      <c r="I6" s="89"/>
      <c r="J6" s="33"/>
    </row>
    <row r="7" spans="1:10" ht="12.75">
      <c r="A7" s="79"/>
      <c r="B7" s="80"/>
      <c r="C7" s="80"/>
      <c r="D7" s="80"/>
      <c r="E7" s="80"/>
      <c r="F7" s="80"/>
      <c r="G7" s="80"/>
      <c r="H7" s="80"/>
      <c r="I7" s="86"/>
      <c r="J7" s="33"/>
    </row>
    <row r="8" spans="1:10" ht="12.75">
      <c r="A8" s="87" t="s">
        <v>361</v>
      </c>
      <c r="B8" s="80"/>
      <c r="C8" s="88" t="str">
        <f>'Stavební rozpočet'!G4</f>
        <v>21.06.2023</v>
      </c>
      <c r="D8" s="80"/>
      <c r="E8" s="88" t="s">
        <v>362</v>
      </c>
      <c r="F8" s="88" t="str">
        <f>'Stavební rozpočet'!G6</f>
        <v> </v>
      </c>
      <c r="G8" s="80"/>
      <c r="H8" s="90" t="s">
        <v>489</v>
      </c>
      <c r="I8" s="89" t="s">
        <v>75</v>
      </c>
      <c r="J8" s="33"/>
    </row>
    <row r="9" spans="1:10" ht="12.75">
      <c r="A9" s="79"/>
      <c r="B9" s="80"/>
      <c r="C9" s="80"/>
      <c r="D9" s="80"/>
      <c r="E9" s="80"/>
      <c r="F9" s="80"/>
      <c r="G9" s="80"/>
      <c r="H9" s="80"/>
      <c r="I9" s="86"/>
      <c r="J9" s="33"/>
    </row>
    <row r="10" spans="1:10" ht="12.75">
      <c r="A10" s="87" t="s">
        <v>4</v>
      </c>
      <c r="B10" s="80"/>
      <c r="C10" s="88" t="str">
        <f>'Stavební rozpočet'!D8</f>
        <v> </v>
      </c>
      <c r="D10" s="80"/>
      <c r="E10" s="88" t="s">
        <v>379</v>
      </c>
      <c r="F10" s="88" t="str">
        <f>'Stavební rozpočet'!I8</f>
        <v> </v>
      </c>
      <c r="G10" s="80"/>
      <c r="H10" s="90" t="s">
        <v>490</v>
      </c>
      <c r="I10" s="93" t="str">
        <f>'Stavební rozpočet'!G8</f>
        <v>21.06.2023</v>
      </c>
      <c r="J10" s="33"/>
    </row>
    <row r="11" spans="1:10" ht="12.75">
      <c r="A11" s="91"/>
      <c r="B11" s="92"/>
      <c r="C11" s="92"/>
      <c r="D11" s="92"/>
      <c r="E11" s="92"/>
      <c r="F11" s="92"/>
      <c r="G11" s="92"/>
      <c r="H11" s="92"/>
      <c r="I11" s="94"/>
      <c r="J11" s="33"/>
    </row>
    <row r="12" spans="1:9" ht="23.25" customHeight="1">
      <c r="A12" s="95" t="s">
        <v>449</v>
      </c>
      <c r="B12" s="96"/>
      <c r="C12" s="96"/>
      <c r="D12" s="96"/>
      <c r="E12" s="96"/>
      <c r="F12" s="96"/>
      <c r="G12" s="96"/>
      <c r="H12" s="96"/>
      <c r="I12" s="96"/>
    </row>
    <row r="13" spans="1:10" ht="26.25" customHeight="1">
      <c r="A13" s="49" t="s">
        <v>450</v>
      </c>
      <c r="B13" s="97" t="s">
        <v>461</v>
      </c>
      <c r="C13" s="98"/>
      <c r="D13" s="49" t="s">
        <v>464</v>
      </c>
      <c r="E13" s="97" t="s">
        <v>474</v>
      </c>
      <c r="F13" s="98"/>
      <c r="G13" s="49" t="s">
        <v>475</v>
      </c>
      <c r="H13" s="97" t="s">
        <v>491</v>
      </c>
      <c r="I13" s="98"/>
      <c r="J13" s="33"/>
    </row>
    <row r="14" spans="1:10" ht="15" customHeight="1">
      <c r="A14" s="50" t="s">
        <v>451</v>
      </c>
      <c r="B14" s="54" t="s">
        <v>462</v>
      </c>
      <c r="C14" s="58">
        <f>SUM('Stavební rozpočet'!AA12:AA223)</f>
        <v>0</v>
      </c>
      <c r="D14" s="99" t="s">
        <v>465</v>
      </c>
      <c r="E14" s="100"/>
      <c r="F14" s="58">
        <f>VORN!I15</f>
        <v>0</v>
      </c>
      <c r="G14" s="99" t="s">
        <v>476</v>
      </c>
      <c r="H14" s="100"/>
      <c r="I14" s="58">
        <f>VORN!I22</f>
        <v>0</v>
      </c>
      <c r="J14" s="33"/>
    </row>
    <row r="15" spans="1:10" ht="15" customHeight="1">
      <c r="A15" s="51"/>
      <c r="B15" s="54" t="s">
        <v>384</v>
      </c>
      <c r="C15" s="58">
        <f>SUM('Stavební rozpočet'!AB12:AB223)</f>
        <v>0</v>
      </c>
      <c r="D15" s="99" t="s">
        <v>466</v>
      </c>
      <c r="E15" s="100"/>
      <c r="F15" s="58">
        <f>VORN!I16</f>
        <v>0</v>
      </c>
      <c r="G15" s="99" t="s">
        <v>477</v>
      </c>
      <c r="H15" s="100"/>
      <c r="I15" s="58">
        <f>VORN!I23</f>
        <v>0</v>
      </c>
      <c r="J15" s="33"/>
    </row>
    <row r="16" spans="1:10" ht="15" customHeight="1">
      <c r="A16" s="50" t="s">
        <v>452</v>
      </c>
      <c r="B16" s="54" t="s">
        <v>462</v>
      </c>
      <c r="C16" s="58">
        <f>SUM('Stavební rozpočet'!AC12:AC223)</f>
        <v>0</v>
      </c>
      <c r="D16" s="99" t="s">
        <v>467</v>
      </c>
      <c r="E16" s="100"/>
      <c r="F16" s="58">
        <f>VORN!I17</f>
        <v>0</v>
      </c>
      <c r="G16" s="99" t="s">
        <v>478</v>
      </c>
      <c r="H16" s="100"/>
      <c r="I16" s="58">
        <f>VORN!I24</f>
        <v>0</v>
      </c>
      <c r="J16" s="33"/>
    </row>
    <row r="17" spans="1:10" ht="15" customHeight="1">
      <c r="A17" s="51"/>
      <c r="B17" s="54" t="s">
        <v>384</v>
      </c>
      <c r="C17" s="58">
        <f>SUM('Stavební rozpočet'!AD12:AD223)</f>
        <v>0</v>
      </c>
      <c r="D17" s="99" t="s">
        <v>468</v>
      </c>
      <c r="E17" s="100"/>
      <c r="F17" s="58">
        <f>VORN!I18</f>
        <v>0</v>
      </c>
      <c r="G17" s="99" t="s">
        <v>479</v>
      </c>
      <c r="H17" s="100"/>
      <c r="I17" s="58">
        <f>VORN!I25</f>
        <v>0</v>
      </c>
      <c r="J17" s="33"/>
    </row>
    <row r="18" spans="1:10" ht="15" customHeight="1">
      <c r="A18" s="50" t="s">
        <v>453</v>
      </c>
      <c r="B18" s="54" t="s">
        <v>462</v>
      </c>
      <c r="C18" s="58">
        <f>SUM('Stavební rozpočet'!AE12:AE223)</f>
        <v>0</v>
      </c>
      <c r="D18" s="99" t="s">
        <v>607</v>
      </c>
      <c r="E18" s="100"/>
      <c r="F18" s="58">
        <f>VORN!F26</f>
        <v>0</v>
      </c>
      <c r="G18" s="99" t="s">
        <v>605</v>
      </c>
      <c r="H18" s="100"/>
      <c r="I18" s="58">
        <f>'Stavební rozpočet_el'!K64</f>
        <v>0</v>
      </c>
      <c r="J18" s="33"/>
    </row>
    <row r="19" spans="1:10" ht="15" customHeight="1">
      <c r="A19" s="51"/>
      <c r="B19" s="54" t="s">
        <v>384</v>
      </c>
      <c r="C19" s="58">
        <f>SUM('Stavební rozpočet'!AF12:AF223)</f>
        <v>0</v>
      </c>
      <c r="D19" s="99" t="s">
        <v>606</v>
      </c>
      <c r="E19" s="100"/>
      <c r="F19" s="58">
        <f>VORN!F27</f>
        <v>0</v>
      </c>
      <c r="G19" s="99" t="s">
        <v>480</v>
      </c>
      <c r="H19" s="100"/>
      <c r="I19" s="58">
        <v>0</v>
      </c>
      <c r="J19" s="33"/>
    </row>
    <row r="20" spans="1:10" ht="15" customHeight="1">
      <c r="A20" s="101" t="s">
        <v>357</v>
      </c>
      <c r="B20" s="102"/>
      <c r="C20" s="58">
        <f>SUM('Stavební rozpočet'!AG12:AG223)</f>
        <v>0</v>
      </c>
      <c r="D20" s="99"/>
      <c r="E20" s="100"/>
      <c r="F20" s="59"/>
      <c r="G20" s="99"/>
      <c r="H20" s="100"/>
      <c r="I20" s="59"/>
      <c r="J20" s="33"/>
    </row>
    <row r="21" spans="1:10" ht="15" customHeight="1">
      <c r="A21" s="101" t="s">
        <v>454</v>
      </c>
      <c r="B21" s="102"/>
      <c r="C21" s="58">
        <f>SUM('Stavební rozpočet'!Y12:Y223)</f>
        <v>0</v>
      </c>
      <c r="D21" s="99"/>
      <c r="E21" s="100"/>
      <c r="F21" s="59"/>
      <c r="G21" s="99"/>
      <c r="H21" s="100"/>
      <c r="I21" s="59"/>
      <c r="J21" s="33"/>
    </row>
    <row r="22" spans="1:10" ht="16.5" customHeight="1">
      <c r="A22" s="101" t="s">
        <v>455</v>
      </c>
      <c r="B22" s="102"/>
      <c r="C22" s="58">
        <f>SUM(C14:C21)</f>
        <v>0</v>
      </c>
      <c r="D22" s="101" t="s">
        <v>469</v>
      </c>
      <c r="E22" s="102"/>
      <c r="F22" s="58">
        <f>SUM(F14:F21)</f>
        <v>0</v>
      </c>
      <c r="G22" s="101" t="s">
        <v>481</v>
      </c>
      <c r="H22" s="102"/>
      <c r="I22" s="58">
        <f>SUM(I14:I21)</f>
        <v>0</v>
      </c>
      <c r="J22" s="33"/>
    </row>
    <row r="23" spans="1:10" ht="15" customHeight="1">
      <c r="A23" s="8"/>
      <c r="B23" s="8"/>
      <c r="C23" s="56"/>
      <c r="D23" s="101" t="s">
        <v>470</v>
      </c>
      <c r="E23" s="102"/>
      <c r="F23" s="60">
        <v>0</v>
      </c>
      <c r="G23" s="101" t="s">
        <v>482</v>
      </c>
      <c r="H23" s="102"/>
      <c r="I23" s="58">
        <v>0</v>
      </c>
      <c r="J23" s="33"/>
    </row>
    <row r="24" spans="4:10" ht="15" customHeight="1">
      <c r="D24" s="8"/>
      <c r="E24" s="8"/>
      <c r="F24" s="61"/>
      <c r="G24" s="101" t="s">
        <v>483</v>
      </c>
      <c r="H24" s="102"/>
      <c r="I24" s="58">
        <f>vorn_sum</f>
        <v>0</v>
      </c>
      <c r="J24" s="33"/>
    </row>
    <row r="25" spans="6:10" ht="15" customHeight="1">
      <c r="F25" s="62"/>
      <c r="G25" s="101" t="s">
        <v>484</v>
      </c>
      <c r="H25" s="102"/>
      <c r="I25" s="58">
        <v>0</v>
      </c>
      <c r="J25" s="33"/>
    </row>
    <row r="26" spans="1:9" ht="12.75">
      <c r="A26" s="7"/>
      <c r="B26" s="7"/>
      <c r="C26" s="7"/>
      <c r="G26" s="8"/>
      <c r="H26" s="8"/>
      <c r="I26" s="8"/>
    </row>
    <row r="27" spans="1:9" ht="15" customHeight="1">
      <c r="A27" s="103" t="s">
        <v>456</v>
      </c>
      <c r="B27" s="104"/>
      <c r="C27" s="63">
        <f>SUM('Stavební rozpočet'!AI12:AI223)</f>
        <v>0</v>
      </c>
      <c r="D27" s="57"/>
      <c r="E27" s="7"/>
      <c r="F27" s="7"/>
      <c r="G27" s="7"/>
      <c r="H27" s="7"/>
      <c r="I27" s="7"/>
    </row>
    <row r="28" spans="1:10" ht="15" customHeight="1">
      <c r="A28" s="103" t="s">
        <v>457</v>
      </c>
      <c r="B28" s="104"/>
      <c r="C28" s="63">
        <f>SUM('Stavební rozpočet'!AJ12:AJ223)</f>
        <v>0</v>
      </c>
      <c r="D28" s="103" t="s">
        <v>471</v>
      </c>
      <c r="E28" s="104"/>
      <c r="F28" s="63">
        <f>ROUND(C28*(15/100),2)</f>
        <v>0</v>
      </c>
      <c r="G28" s="103" t="s">
        <v>485</v>
      </c>
      <c r="H28" s="104"/>
      <c r="I28" s="63">
        <f>SUM(C27:C29)</f>
        <v>0</v>
      </c>
      <c r="J28" s="33"/>
    </row>
    <row r="29" spans="1:10" ht="15" customHeight="1">
      <c r="A29" s="103" t="s">
        <v>458</v>
      </c>
      <c r="B29" s="104"/>
      <c r="C29" s="63">
        <f>SUM('Stavební rozpočet'!AK12:AK223)+(F22+I22+F23+I23+I24+I25)</f>
        <v>0</v>
      </c>
      <c r="D29" s="103" t="s">
        <v>472</v>
      </c>
      <c r="E29" s="104"/>
      <c r="F29" s="63">
        <f>ROUND(C29*(21/100),2)</f>
        <v>0</v>
      </c>
      <c r="G29" s="103" t="s">
        <v>486</v>
      </c>
      <c r="H29" s="104"/>
      <c r="I29" s="63">
        <f>SUM(F28:F29)+I28</f>
        <v>0</v>
      </c>
      <c r="J29" s="33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105" t="s">
        <v>459</v>
      </c>
      <c r="B31" s="106"/>
      <c r="C31" s="107"/>
      <c r="D31" s="105" t="s">
        <v>473</v>
      </c>
      <c r="E31" s="106"/>
      <c r="F31" s="107"/>
      <c r="G31" s="105" t="s">
        <v>487</v>
      </c>
      <c r="H31" s="106"/>
      <c r="I31" s="107"/>
      <c r="J31" s="34"/>
    </row>
    <row r="32" spans="1:10" ht="14.25" customHeight="1">
      <c r="A32" s="108"/>
      <c r="B32" s="109"/>
      <c r="C32" s="110"/>
      <c r="D32" s="108"/>
      <c r="E32" s="109"/>
      <c r="F32" s="110"/>
      <c r="G32" s="108"/>
      <c r="H32" s="109"/>
      <c r="I32" s="110"/>
      <c r="J32" s="34"/>
    </row>
    <row r="33" spans="1:10" ht="14.25" customHeight="1">
      <c r="A33" s="108"/>
      <c r="B33" s="109"/>
      <c r="C33" s="110"/>
      <c r="D33" s="108"/>
      <c r="E33" s="109"/>
      <c r="F33" s="110"/>
      <c r="G33" s="108"/>
      <c r="H33" s="109"/>
      <c r="I33" s="110"/>
      <c r="J33" s="34"/>
    </row>
    <row r="34" spans="1:10" ht="14.25" customHeight="1">
      <c r="A34" s="108"/>
      <c r="B34" s="109"/>
      <c r="C34" s="110"/>
      <c r="D34" s="108"/>
      <c r="E34" s="109"/>
      <c r="F34" s="110"/>
      <c r="G34" s="108"/>
      <c r="H34" s="109"/>
      <c r="I34" s="110"/>
      <c r="J34" s="34"/>
    </row>
    <row r="35" spans="1:10" ht="14.25" customHeight="1">
      <c r="A35" s="111" t="s">
        <v>460</v>
      </c>
      <c r="B35" s="112"/>
      <c r="C35" s="113"/>
      <c r="D35" s="111" t="s">
        <v>460</v>
      </c>
      <c r="E35" s="112"/>
      <c r="F35" s="113"/>
      <c r="G35" s="111" t="s">
        <v>460</v>
      </c>
      <c r="H35" s="112"/>
      <c r="I35" s="113"/>
      <c r="J35" s="34"/>
    </row>
    <row r="36" spans="1:9" ht="11.25" customHeight="1">
      <c r="A36" s="53" t="s">
        <v>76</v>
      </c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88"/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5">
      <selection activeCell="F23" sqref="F2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4"/>
      <c r="B1" s="7"/>
      <c r="C1" s="75" t="s">
        <v>500</v>
      </c>
      <c r="D1" s="76"/>
      <c r="E1" s="76"/>
      <c r="F1" s="76"/>
      <c r="G1" s="76"/>
      <c r="H1" s="76"/>
      <c r="I1" s="76"/>
    </row>
    <row r="2" spans="1:10" ht="12.75">
      <c r="A2" s="77" t="s">
        <v>1</v>
      </c>
      <c r="B2" s="78"/>
      <c r="C2" s="81" t="str">
        <f>'Stavební rozpočet'!D2</f>
        <v>Stavební úpravy záchytných kotců</v>
      </c>
      <c r="D2" s="82"/>
      <c r="E2" s="84" t="s">
        <v>376</v>
      </c>
      <c r="F2" s="84" t="str">
        <f>'Stavební rozpočet'!I2</f>
        <v> </v>
      </c>
      <c r="G2" s="78"/>
      <c r="H2" s="84" t="s">
        <v>488</v>
      </c>
      <c r="I2" s="85"/>
      <c r="J2" s="33"/>
    </row>
    <row r="3" spans="1:10" ht="12.75">
      <c r="A3" s="79"/>
      <c r="B3" s="80"/>
      <c r="C3" s="83"/>
      <c r="D3" s="83"/>
      <c r="E3" s="80"/>
      <c r="F3" s="80"/>
      <c r="G3" s="80"/>
      <c r="H3" s="80"/>
      <c r="I3" s="86"/>
      <c r="J3" s="33"/>
    </row>
    <row r="4" spans="1:10" ht="12.75">
      <c r="A4" s="87" t="s">
        <v>2</v>
      </c>
      <c r="B4" s="80"/>
      <c r="C4" s="88" t="str">
        <f>'Stavební rozpočet'!D4</f>
        <v>Záchytné kotce</v>
      </c>
      <c r="D4" s="80"/>
      <c r="E4" s="88" t="s">
        <v>377</v>
      </c>
      <c r="F4" s="88" t="str">
        <f>'Stavební rozpočet'!I4</f>
        <v> </v>
      </c>
      <c r="G4" s="80"/>
      <c r="H4" s="88" t="s">
        <v>488</v>
      </c>
      <c r="I4" s="89"/>
      <c r="J4" s="33"/>
    </row>
    <row r="5" spans="1:10" ht="12.75">
      <c r="A5" s="79"/>
      <c r="B5" s="80"/>
      <c r="C5" s="80"/>
      <c r="D5" s="80"/>
      <c r="E5" s="80"/>
      <c r="F5" s="80"/>
      <c r="G5" s="80"/>
      <c r="H5" s="80"/>
      <c r="I5" s="86"/>
      <c r="J5" s="33"/>
    </row>
    <row r="6" spans="1:10" ht="12.75">
      <c r="A6" s="87" t="s">
        <v>3</v>
      </c>
      <c r="B6" s="80"/>
      <c r="C6" s="88" t="str">
        <f>'Stavební rozpočet'!D6</f>
        <v>Město Česká Lípa</v>
      </c>
      <c r="D6" s="80"/>
      <c r="E6" s="88" t="s">
        <v>378</v>
      </c>
      <c r="F6" s="88" t="str">
        <f>'Stavební rozpočet'!I6</f>
        <v> </v>
      </c>
      <c r="G6" s="80"/>
      <c r="H6" s="88" t="s">
        <v>488</v>
      </c>
      <c r="I6" s="89"/>
      <c r="J6" s="33"/>
    </row>
    <row r="7" spans="1:10" ht="12.75">
      <c r="A7" s="79"/>
      <c r="B7" s="80"/>
      <c r="C7" s="80"/>
      <c r="D7" s="80"/>
      <c r="E7" s="80"/>
      <c r="F7" s="80"/>
      <c r="G7" s="80"/>
      <c r="H7" s="80"/>
      <c r="I7" s="86"/>
      <c r="J7" s="33"/>
    </row>
    <row r="8" spans="1:10" ht="12.75">
      <c r="A8" s="87" t="s">
        <v>361</v>
      </c>
      <c r="B8" s="80"/>
      <c r="C8" s="88" t="str">
        <f>'Stavební rozpočet'!G4</f>
        <v>21.06.2023</v>
      </c>
      <c r="D8" s="80"/>
      <c r="E8" s="88" t="s">
        <v>362</v>
      </c>
      <c r="F8" s="88" t="str">
        <f>'Stavební rozpočet'!G6</f>
        <v> </v>
      </c>
      <c r="G8" s="80"/>
      <c r="H8" s="90" t="s">
        <v>489</v>
      </c>
      <c r="I8" s="89" t="s">
        <v>75</v>
      </c>
      <c r="J8" s="33"/>
    </row>
    <row r="9" spans="1:10" ht="12.75">
      <c r="A9" s="79"/>
      <c r="B9" s="80"/>
      <c r="C9" s="80"/>
      <c r="D9" s="80"/>
      <c r="E9" s="80"/>
      <c r="F9" s="80"/>
      <c r="G9" s="80"/>
      <c r="H9" s="80"/>
      <c r="I9" s="86"/>
      <c r="J9" s="33"/>
    </row>
    <row r="10" spans="1:10" ht="12.75">
      <c r="A10" s="87" t="s">
        <v>4</v>
      </c>
      <c r="B10" s="80"/>
      <c r="C10" s="88" t="str">
        <f>'Stavební rozpočet'!D8</f>
        <v> </v>
      </c>
      <c r="D10" s="80"/>
      <c r="E10" s="88" t="s">
        <v>379</v>
      </c>
      <c r="F10" s="88" t="str">
        <f>'Stavební rozpočet'!I8</f>
        <v> </v>
      </c>
      <c r="G10" s="80"/>
      <c r="H10" s="90" t="s">
        <v>490</v>
      </c>
      <c r="I10" s="93" t="str">
        <f>'Stavební rozpočet'!G8</f>
        <v>21.06.2023</v>
      </c>
      <c r="J10" s="33"/>
    </row>
    <row r="11" spans="1:10" ht="12.75">
      <c r="A11" s="91"/>
      <c r="B11" s="92"/>
      <c r="C11" s="92"/>
      <c r="D11" s="92"/>
      <c r="E11" s="92"/>
      <c r="F11" s="92"/>
      <c r="G11" s="92"/>
      <c r="H11" s="92"/>
      <c r="I11" s="94"/>
      <c r="J11" s="33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14" t="s">
        <v>492</v>
      </c>
      <c r="B13" s="115"/>
      <c r="C13" s="115"/>
      <c r="D13" s="115"/>
      <c r="E13" s="115"/>
      <c r="F13" s="65"/>
      <c r="G13" s="65"/>
      <c r="H13" s="65"/>
      <c r="I13" s="65"/>
    </row>
    <row r="14" spans="1:10" ht="12.75">
      <c r="A14" s="116" t="s">
        <v>493</v>
      </c>
      <c r="B14" s="117"/>
      <c r="C14" s="117"/>
      <c r="D14" s="117"/>
      <c r="E14" s="118"/>
      <c r="F14" s="66" t="s">
        <v>501</v>
      </c>
      <c r="G14" s="66" t="s">
        <v>502</v>
      </c>
      <c r="H14" s="66" t="s">
        <v>503</v>
      </c>
      <c r="I14" s="66" t="s">
        <v>501</v>
      </c>
      <c r="J14" s="34"/>
    </row>
    <row r="15" spans="1:10" ht="12.75">
      <c r="A15" s="119" t="s">
        <v>465</v>
      </c>
      <c r="B15" s="120"/>
      <c r="C15" s="120"/>
      <c r="D15" s="120"/>
      <c r="E15" s="121"/>
      <c r="F15" s="67">
        <v>0</v>
      </c>
      <c r="G15" s="70"/>
      <c r="H15" s="70"/>
      <c r="I15" s="67">
        <f>F15</f>
        <v>0</v>
      </c>
      <c r="J15" s="33"/>
    </row>
    <row r="16" spans="1:10" ht="12.75">
      <c r="A16" s="119" t="s">
        <v>466</v>
      </c>
      <c r="B16" s="120"/>
      <c r="C16" s="120"/>
      <c r="D16" s="120"/>
      <c r="E16" s="121"/>
      <c r="F16" s="67">
        <v>0</v>
      </c>
      <c r="G16" s="70"/>
      <c r="H16" s="70"/>
      <c r="I16" s="67">
        <f>F16</f>
        <v>0</v>
      </c>
      <c r="J16" s="33"/>
    </row>
    <row r="17" spans="1:10" ht="12.75">
      <c r="A17" s="119" t="s">
        <v>467</v>
      </c>
      <c r="B17" s="120"/>
      <c r="C17" s="120"/>
      <c r="D17" s="120"/>
      <c r="E17" s="121"/>
      <c r="F17" s="67">
        <v>0</v>
      </c>
      <c r="G17" s="70"/>
      <c r="H17" s="70"/>
      <c r="I17" s="67">
        <f>F17</f>
        <v>0</v>
      </c>
      <c r="J17" s="33"/>
    </row>
    <row r="18" spans="1:10" ht="12.75">
      <c r="A18" s="122" t="s">
        <v>468</v>
      </c>
      <c r="B18" s="123"/>
      <c r="C18" s="123"/>
      <c r="D18" s="123"/>
      <c r="E18" s="124"/>
      <c r="F18" s="68">
        <v>0</v>
      </c>
      <c r="G18" s="71"/>
      <c r="H18" s="71"/>
      <c r="I18" s="68">
        <f>F18</f>
        <v>0</v>
      </c>
      <c r="J18" s="33"/>
    </row>
    <row r="19" spans="1:10" ht="12.75">
      <c r="A19" s="128" t="s">
        <v>494</v>
      </c>
      <c r="B19" s="129"/>
      <c r="C19" s="129"/>
      <c r="D19" s="129"/>
      <c r="E19" s="130"/>
      <c r="F19" s="69"/>
      <c r="G19" s="72"/>
      <c r="H19" s="72"/>
      <c r="I19" s="73">
        <f>SUM(I15:I18)</f>
        <v>0</v>
      </c>
      <c r="J19" s="34"/>
    </row>
    <row r="20" spans="1:9" ht="12.75">
      <c r="A20" s="64"/>
      <c r="B20" s="64"/>
      <c r="C20" s="64"/>
      <c r="D20" s="64"/>
      <c r="E20" s="64"/>
      <c r="F20" s="64"/>
      <c r="G20" s="64"/>
      <c r="H20" s="64"/>
      <c r="I20" s="64"/>
    </row>
    <row r="21" spans="1:10" ht="12.75">
      <c r="A21" s="116" t="s">
        <v>491</v>
      </c>
      <c r="B21" s="117"/>
      <c r="C21" s="117"/>
      <c r="D21" s="117"/>
      <c r="E21" s="118"/>
      <c r="F21" s="66" t="s">
        <v>501</v>
      </c>
      <c r="G21" s="66" t="s">
        <v>502</v>
      </c>
      <c r="H21" s="66" t="s">
        <v>503</v>
      </c>
      <c r="I21" s="66" t="s">
        <v>501</v>
      </c>
      <c r="J21" s="34"/>
    </row>
    <row r="22" spans="1:10" ht="12.75">
      <c r="A22" s="119" t="s">
        <v>476</v>
      </c>
      <c r="B22" s="120"/>
      <c r="C22" s="120"/>
      <c r="D22" s="120"/>
      <c r="E22" s="121"/>
      <c r="F22" s="67">
        <v>0</v>
      </c>
      <c r="G22" s="67"/>
      <c r="H22" s="67"/>
      <c r="I22" s="67">
        <f>F22</f>
        <v>0</v>
      </c>
      <c r="J22" s="33"/>
    </row>
    <row r="23" spans="1:10" ht="12.75">
      <c r="A23" s="119" t="s">
        <v>477</v>
      </c>
      <c r="B23" s="120"/>
      <c r="C23" s="120"/>
      <c r="D23" s="120"/>
      <c r="E23" s="121"/>
      <c r="F23" s="67">
        <v>0</v>
      </c>
      <c r="G23" s="70"/>
      <c r="H23" s="70"/>
      <c r="I23" s="67">
        <f>F23</f>
        <v>0</v>
      </c>
      <c r="J23" s="33"/>
    </row>
    <row r="24" spans="1:10" ht="12.75">
      <c r="A24" s="119" t="s">
        <v>478</v>
      </c>
      <c r="B24" s="120"/>
      <c r="C24" s="120"/>
      <c r="D24" s="120"/>
      <c r="E24" s="121"/>
      <c r="F24" s="67">
        <v>0</v>
      </c>
      <c r="G24" s="70"/>
      <c r="H24" s="70"/>
      <c r="I24" s="67">
        <f>F24</f>
        <v>0</v>
      </c>
      <c r="J24" s="33"/>
    </row>
    <row r="25" spans="1:10" ht="12.75">
      <c r="A25" s="119" t="s">
        <v>479</v>
      </c>
      <c r="B25" s="120"/>
      <c r="C25" s="120"/>
      <c r="D25" s="120"/>
      <c r="E25" s="121"/>
      <c r="F25" s="67">
        <v>0</v>
      </c>
      <c r="G25" s="70"/>
      <c r="H25" s="70"/>
      <c r="I25" s="67">
        <f>F25</f>
        <v>0</v>
      </c>
      <c r="J25" s="33"/>
    </row>
    <row r="26" spans="1:10" ht="12.75">
      <c r="A26" s="119" t="s">
        <v>607</v>
      </c>
      <c r="B26" s="120"/>
      <c r="C26" s="120"/>
      <c r="D26" s="120"/>
      <c r="E26" s="121"/>
      <c r="F26" s="67">
        <v>0</v>
      </c>
      <c r="G26" s="70"/>
      <c r="H26" s="70"/>
      <c r="I26" s="67">
        <f>F26</f>
        <v>0</v>
      </c>
      <c r="J26" s="33"/>
    </row>
    <row r="27" spans="1:10" ht="12.75">
      <c r="A27" s="122" t="s">
        <v>606</v>
      </c>
      <c r="B27" s="123"/>
      <c r="C27" s="123"/>
      <c r="D27" s="123"/>
      <c r="E27" s="124"/>
      <c r="F27" s="68">
        <v>0</v>
      </c>
      <c r="G27" s="71"/>
      <c r="H27" s="71"/>
      <c r="I27" s="68">
        <f>F27</f>
        <v>0</v>
      </c>
      <c r="J27" s="33"/>
    </row>
    <row r="28" spans="1:10" ht="12.75">
      <c r="A28" s="128" t="s">
        <v>495</v>
      </c>
      <c r="B28" s="129"/>
      <c r="C28" s="129"/>
      <c r="D28" s="129"/>
      <c r="E28" s="130"/>
      <c r="F28" s="69"/>
      <c r="G28" s="72"/>
      <c r="H28" s="72"/>
      <c r="I28" s="73">
        <f>SUM(I22:I27)</f>
        <v>0</v>
      </c>
      <c r="J28" s="34"/>
    </row>
    <row r="29" spans="1:9" ht="12.75">
      <c r="A29" s="64"/>
      <c r="B29" s="64"/>
      <c r="C29" s="64"/>
      <c r="D29" s="64"/>
      <c r="E29" s="64"/>
      <c r="F29" s="64"/>
      <c r="G29" s="64"/>
      <c r="H29" s="64"/>
      <c r="I29" s="64"/>
    </row>
    <row r="30" spans="1:10" ht="15" customHeight="1">
      <c r="A30" s="131" t="s">
        <v>496</v>
      </c>
      <c r="B30" s="132"/>
      <c r="C30" s="132"/>
      <c r="D30" s="132"/>
      <c r="E30" s="133"/>
      <c r="F30" s="125">
        <f>I19+I28</f>
        <v>0</v>
      </c>
      <c r="G30" s="126"/>
      <c r="H30" s="126"/>
      <c r="I30" s="127"/>
      <c r="J30" s="34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  <row r="34" spans="1:9" ht="15" customHeight="1">
      <c r="A34" s="114" t="s">
        <v>497</v>
      </c>
      <c r="B34" s="115"/>
      <c r="C34" s="115"/>
      <c r="D34" s="115"/>
      <c r="E34" s="115"/>
      <c r="F34" s="65"/>
      <c r="G34" s="65"/>
      <c r="H34" s="65"/>
      <c r="I34" s="65"/>
    </row>
    <row r="35" spans="1:10" ht="12.75">
      <c r="A35" s="116" t="s">
        <v>498</v>
      </c>
      <c r="B35" s="117"/>
      <c r="C35" s="117"/>
      <c r="D35" s="117"/>
      <c r="E35" s="118"/>
      <c r="F35" s="66" t="s">
        <v>501</v>
      </c>
      <c r="G35" s="66" t="s">
        <v>502</v>
      </c>
      <c r="H35" s="66" t="s">
        <v>503</v>
      </c>
      <c r="I35" s="66" t="s">
        <v>501</v>
      </c>
      <c r="J35" s="34"/>
    </row>
    <row r="36" spans="1:10" ht="12.75">
      <c r="A36" s="122"/>
      <c r="B36" s="123"/>
      <c r="C36" s="123"/>
      <c r="D36" s="123"/>
      <c r="E36" s="124"/>
      <c r="F36" s="68">
        <v>0</v>
      </c>
      <c r="G36" s="71"/>
      <c r="H36" s="71"/>
      <c r="I36" s="68">
        <f>F36</f>
        <v>0</v>
      </c>
      <c r="J36" s="33"/>
    </row>
    <row r="37" spans="1:10" ht="12.75">
      <c r="A37" s="128" t="s">
        <v>499</v>
      </c>
      <c r="B37" s="129"/>
      <c r="C37" s="129"/>
      <c r="D37" s="129"/>
      <c r="E37" s="130"/>
      <c r="F37" s="69"/>
      <c r="G37" s="72"/>
      <c r="H37" s="72"/>
      <c r="I37" s="73">
        <f>SUM(I36:I36)</f>
        <v>0</v>
      </c>
      <c r="J37" s="34"/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</sheetData>
  <sheetProtection/>
  <mergeCells count="52">
    <mergeCell ref="A35:E35"/>
    <mergeCell ref="A36:E36"/>
    <mergeCell ref="A37:E37"/>
    <mergeCell ref="A26:E26"/>
    <mergeCell ref="A27:E27"/>
    <mergeCell ref="A28:E28"/>
    <mergeCell ref="A30:E30"/>
    <mergeCell ref="F30:I30"/>
    <mergeCell ref="A34:E34"/>
    <mergeCell ref="A19:E19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34" t="s">
        <v>442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81" t="str">
        <f>'Stavební rozpočet'!D2</f>
        <v>Stavební úpravy záchytných kotců</v>
      </c>
      <c r="C2" s="82"/>
      <c r="D2" s="84" t="s">
        <v>376</v>
      </c>
      <c r="E2" s="84" t="str">
        <f>'Stavební rozpočet'!I2</f>
        <v> </v>
      </c>
      <c r="F2" s="78"/>
      <c r="G2" s="135"/>
      <c r="H2" s="33"/>
    </row>
    <row r="3" spans="1:8" ht="12.75">
      <c r="A3" s="79"/>
      <c r="B3" s="83"/>
      <c r="C3" s="83"/>
      <c r="D3" s="80"/>
      <c r="E3" s="80"/>
      <c r="F3" s="80"/>
      <c r="G3" s="86"/>
      <c r="H3" s="33"/>
    </row>
    <row r="4" spans="1:8" ht="12.75">
      <c r="A4" s="87" t="s">
        <v>2</v>
      </c>
      <c r="B4" s="88" t="str">
        <f>'Stavební rozpočet'!D4</f>
        <v>Záchytné kotce</v>
      </c>
      <c r="C4" s="80"/>
      <c r="D4" s="88" t="s">
        <v>377</v>
      </c>
      <c r="E4" s="88" t="str">
        <f>'Stavební rozpočet'!I4</f>
        <v> </v>
      </c>
      <c r="F4" s="80"/>
      <c r="G4" s="86"/>
      <c r="H4" s="33"/>
    </row>
    <row r="5" spans="1:8" ht="12.75">
      <c r="A5" s="79"/>
      <c r="B5" s="80"/>
      <c r="C5" s="80"/>
      <c r="D5" s="80"/>
      <c r="E5" s="80"/>
      <c r="F5" s="80"/>
      <c r="G5" s="86"/>
      <c r="H5" s="33"/>
    </row>
    <row r="6" spans="1:8" ht="12.75">
      <c r="A6" s="87" t="s">
        <v>3</v>
      </c>
      <c r="B6" s="88" t="str">
        <f>'Stavební rozpočet'!D6</f>
        <v>Město Česká Lípa</v>
      </c>
      <c r="C6" s="80"/>
      <c r="D6" s="88" t="s">
        <v>378</v>
      </c>
      <c r="E6" s="88" t="str">
        <f>'Stavební rozpočet'!I6</f>
        <v> </v>
      </c>
      <c r="F6" s="80"/>
      <c r="G6" s="86"/>
      <c r="H6" s="33"/>
    </row>
    <row r="7" spans="1:8" ht="12.75">
      <c r="A7" s="79"/>
      <c r="B7" s="80"/>
      <c r="C7" s="80"/>
      <c r="D7" s="80"/>
      <c r="E7" s="80"/>
      <c r="F7" s="80"/>
      <c r="G7" s="86"/>
      <c r="H7" s="33"/>
    </row>
    <row r="8" spans="1:8" ht="12.75">
      <c r="A8" s="87" t="s">
        <v>379</v>
      </c>
      <c r="B8" s="88" t="str">
        <f>'Stavební rozpočet'!I8</f>
        <v> </v>
      </c>
      <c r="C8" s="80"/>
      <c r="D8" s="90" t="s">
        <v>363</v>
      </c>
      <c r="E8" s="88" t="str">
        <f>'Stavební rozpočet'!G8</f>
        <v>21.06.2023</v>
      </c>
      <c r="F8" s="80"/>
      <c r="G8" s="86"/>
      <c r="H8" s="33"/>
    </row>
    <row r="9" spans="1:8" ht="12.75">
      <c r="A9" s="136"/>
      <c r="B9" s="137"/>
      <c r="C9" s="137"/>
      <c r="D9" s="137"/>
      <c r="E9" s="137"/>
      <c r="F9" s="137"/>
      <c r="G9" s="138"/>
      <c r="H9" s="33"/>
    </row>
    <row r="10" spans="1:8" ht="12.75">
      <c r="A10" s="40" t="s">
        <v>77</v>
      </c>
      <c r="B10" s="42" t="s">
        <v>78</v>
      </c>
      <c r="C10" s="43" t="s">
        <v>443</v>
      </c>
      <c r="D10" s="44" t="s">
        <v>444</v>
      </c>
      <c r="E10" s="44" t="s">
        <v>445</v>
      </c>
      <c r="F10" s="44" t="s">
        <v>446</v>
      </c>
      <c r="G10" s="46" t="s">
        <v>447</v>
      </c>
      <c r="H10" s="34"/>
    </row>
    <row r="11" spans="1:9" ht="12.75">
      <c r="A11" s="41"/>
      <c r="B11" s="41" t="s">
        <v>17</v>
      </c>
      <c r="C11" s="41" t="s">
        <v>173</v>
      </c>
      <c r="D11" s="47">
        <f>'Stavební rozpočet'!H12</f>
        <v>0</v>
      </c>
      <c r="E11" s="47">
        <f>'Stavební rozpočet'!I12</f>
        <v>0</v>
      </c>
      <c r="F11" s="47">
        <f>'Stavební rozpočet'!J12</f>
        <v>0</v>
      </c>
      <c r="G11" s="47">
        <f>'Stavební rozpočet'!L12</f>
        <v>0</v>
      </c>
      <c r="H11" s="35" t="s">
        <v>448</v>
      </c>
      <c r="I11" s="35">
        <f aca="true" t="shared" si="0" ref="I11:I40">IF(H11="F",0,F11)</f>
        <v>0</v>
      </c>
    </row>
    <row r="12" spans="1:9" ht="12.75">
      <c r="A12" s="18"/>
      <c r="B12" s="18" t="s">
        <v>19</v>
      </c>
      <c r="C12" s="18" t="s">
        <v>177</v>
      </c>
      <c r="D12" s="35">
        <f>'Stavební rozpočet'!H16</f>
        <v>0</v>
      </c>
      <c r="E12" s="35">
        <f>'Stavební rozpočet'!I16</f>
        <v>0</v>
      </c>
      <c r="F12" s="35">
        <f>'Stavební rozpočet'!J16</f>
        <v>0</v>
      </c>
      <c r="G12" s="35">
        <f>'Stavební rozpočet'!L16</f>
        <v>0</v>
      </c>
      <c r="H12" s="35" t="s">
        <v>448</v>
      </c>
      <c r="I12" s="35">
        <f t="shared" si="0"/>
        <v>0</v>
      </c>
    </row>
    <row r="13" spans="1:9" ht="12.75">
      <c r="A13" s="18"/>
      <c r="B13" s="18" t="s">
        <v>24</v>
      </c>
      <c r="C13" s="18" t="s">
        <v>180</v>
      </c>
      <c r="D13" s="35">
        <f>'Stavební rozpočet'!H19</f>
        <v>0</v>
      </c>
      <c r="E13" s="35">
        <f>'Stavební rozpočet'!I19</f>
        <v>0</v>
      </c>
      <c r="F13" s="35">
        <f>'Stavební rozpočet'!J19</f>
        <v>0</v>
      </c>
      <c r="G13" s="35">
        <f>'Stavební rozpočet'!L19</f>
        <v>0</v>
      </c>
      <c r="H13" s="35" t="s">
        <v>448</v>
      </c>
      <c r="I13" s="35">
        <f t="shared" si="0"/>
        <v>0</v>
      </c>
    </row>
    <row r="14" spans="1:9" ht="12.75">
      <c r="A14" s="18"/>
      <c r="B14" s="18" t="s">
        <v>33</v>
      </c>
      <c r="C14" s="18" t="s">
        <v>183</v>
      </c>
      <c r="D14" s="35">
        <f>'Stavební rozpočet'!H22</f>
        <v>0</v>
      </c>
      <c r="E14" s="35">
        <f>'Stavební rozpočet'!I22</f>
        <v>0</v>
      </c>
      <c r="F14" s="35">
        <f>'Stavební rozpočet'!J22</f>
        <v>0</v>
      </c>
      <c r="G14" s="35">
        <f>'Stavební rozpočet'!L22</f>
        <v>1.7775999999999998</v>
      </c>
      <c r="H14" s="35" t="s">
        <v>448</v>
      </c>
      <c r="I14" s="35">
        <f t="shared" si="0"/>
        <v>0</v>
      </c>
    </row>
    <row r="15" spans="1:9" ht="12.75">
      <c r="A15" s="18"/>
      <c r="B15" s="18" t="s">
        <v>37</v>
      </c>
      <c r="C15" s="18" t="s">
        <v>185</v>
      </c>
      <c r="D15" s="35">
        <f>'Stavební rozpočet'!H25</f>
        <v>0</v>
      </c>
      <c r="E15" s="35">
        <f>'Stavební rozpočet'!I25</f>
        <v>0</v>
      </c>
      <c r="F15" s="35">
        <f>'Stavební rozpočet'!J25</f>
        <v>0</v>
      </c>
      <c r="G15" s="35">
        <f>'Stavební rozpočet'!L25</f>
        <v>3.0052</v>
      </c>
      <c r="H15" s="35" t="s">
        <v>448</v>
      </c>
      <c r="I15" s="35">
        <f t="shared" si="0"/>
        <v>0</v>
      </c>
    </row>
    <row r="16" spans="1:9" ht="12.75">
      <c r="A16" s="18"/>
      <c r="B16" s="18" t="s">
        <v>39</v>
      </c>
      <c r="C16" s="18" t="s">
        <v>189</v>
      </c>
      <c r="D16" s="35">
        <f>'Stavební rozpočet'!H29</f>
        <v>0</v>
      </c>
      <c r="E16" s="35">
        <f>'Stavební rozpočet'!I29</f>
        <v>0</v>
      </c>
      <c r="F16" s="35">
        <f>'Stavební rozpočet'!J29</f>
        <v>0</v>
      </c>
      <c r="G16" s="35">
        <f>'Stavební rozpočet'!L29</f>
        <v>0.26703</v>
      </c>
      <c r="H16" s="35" t="s">
        <v>448</v>
      </c>
      <c r="I16" s="35">
        <f t="shared" si="0"/>
        <v>0</v>
      </c>
    </row>
    <row r="17" spans="1:9" ht="12.75">
      <c r="A17" s="18"/>
      <c r="B17" s="18" t="s">
        <v>44</v>
      </c>
      <c r="C17" s="18" t="s">
        <v>192</v>
      </c>
      <c r="D17" s="35">
        <f>'Stavební rozpočet'!H32</f>
        <v>0</v>
      </c>
      <c r="E17" s="35">
        <f>'Stavební rozpočet'!I32</f>
        <v>0</v>
      </c>
      <c r="F17" s="35">
        <f>'Stavební rozpočet'!J32</f>
        <v>0</v>
      </c>
      <c r="G17" s="35">
        <f>'Stavební rozpočet'!L32</f>
        <v>0.045490800000000005</v>
      </c>
      <c r="H17" s="35" t="s">
        <v>448</v>
      </c>
      <c r="I17" s="35">
        <f t="shared" si="0"/>
        <v>0</v>
      </c>
    </row>
    <row r="18" spans="1:9" ht="12.75">
      <c r="A18" s="18"/>
      <c r="B18" s="18" t="s">
        <v>67</v>
      </c>
      <c r="C18" s="18" t="s">
        <v>198</v>
      </c>
      <c r="D18" s="35">
        <f>'Stavební rozpočet'!H38</f>
        <v>0</v>
      </c>
      <c r="E18" s="35">
        <f>'Stavební rozpočet'!I38</f>
        <v>0</v>
      </c>
      <c r="F18" s="35">
        <f>'Stavební rozpočet'!J38</f>
        <v>0</v>
      </c>
      <c r="G18" s="35">
        <f>'Stavební rozpočet'!L38</f>
        <v>0.1299</v>
      </c>
      <c r="H18" s="35" t="s">
        <v>448</v>
      </c>
      <c r="I18" s="35">
        <f t="shared" si="0"/>
        <v>0</v>
      </c>
    </row>
    <row r="19" spans="1:9" ht="12.75">
      <c r="A19" s="18"/>
      <c r="B19" s="18" t="s">
        <v>69</v>
      </c>
      <c r="C19" s="18" t="s">
        <v>204</v>
      </c>
      <c r="D19" s="35">
        <f>'Stavební rozpočet'!H44</f>
        <v>0</v>
      </c>
      <c r="E19" s="35">
        <f>'Stavební rozpočet'!I44</f>
        <v>0</v>
      </c>
      <c r="F19" s="35">
        <f>'Stavební rozpočet'!J44</f>
        <v>0</v>
      </c>
      <c r="G19" s="35">
        <f>'Stavební rozpočet'!L44</f>
        <v>3.21316</v>
      </c>
      <c r="H19" s="35" t="s">
        <v>448</v>
      </c>
      <c r="I19" s="35">
        <f t="shared" si="0"/>
        <v>0</v>
      </c>
    </row>
    <row r="20" spans="1:9" ht="12.75">
      <c r="A20" s="18"/>
      <c r="B20" s="18" t="s">
        <v>91</v>
      </c>
      <c r="C20" s="18" t="s">
        <v>215</v>
      </c>
      <c r="D20" s="35">
        <f>'Stavební rozpočet'!H55</f>
        <v>0</v>
      </c>
      <c r="E20" s="35">
        <f>'Stavební rozpočet'!I55</f>
        <v>0</v>
      </c>
      <c r="F20" s="35">
        <f>'Stavební rozpočet'!J55</f>
        <v>0</v>
      </c>
      <c r="G20" s="35">
        <f>'Stavební rozpočet'!L55</f>
        <v>0.338818</v>
      </c>
      <c r="H20" s="35" t="s">
        <v>448</v>
      </c>
      <c r="I20" s="35">
        <f t="shared" si="0"/>
        <v>0</v>
      </c>
    </row>
    <row r="21" spans="1:9" ht="12.75">
      <c r="A21" s="18"/>
      <c r="B21" s="18" t="s">
        <v>97</v>
      </c>
      <c r="C21" s="18" t="s">
        <v>229</v>
      </c>
      <c r="D21" s="35">
        <f>'Stavební rozpočet'!H69</f>
        <v>0</v>
      </c>
      <c r="E21" s="35">
        <f>'Stavební rozpočet'!I69</f>
        <v>0</v>
      </c>
      <c r="F21" s="35">
        <f>'Stavební rozpočet'!J69</f>
        <v>0</v>
      </c>
      <c r="G21" s="35">
        <f>'Stavební rozpočet'!L69</f>
        <v>0.2178176</v>
      </c>
      <c r="H21" s="35" t="s">
        <v>448</v>
      </c>
      <c r="I21" s="35">
        <f t="shared" si="0"/>
        <v>0</v>
      </c>
    </row>
    <row r="22" spans="1:9" ht="12.75">
      <c r="A22" s="18"/>
      <c r="B22" s="18" t="s">
        <v>101</v>
      </c>
      <c r="C22" s="18" t="s">
        <v>236</v>
      </c>
      <c r="D22" s="35">
        <f>'Stavební rozpočet'!H77</f>
        <v>0</v>
      </c>
      <c r="E22" s="35">
        <f>'Stavební rozpočet'!I77</f>
        <v>0</v>
      </c>
      <c r="F22" s="35">
        <f>'Stavební rozpočet'!J77</f>
        <v>0</v>
      </c>
      <c r="G22" s="35">
        <f>'Stavební rozpočet'!L77</f>
        <v>0.0033000000000000004</v>
      </c>
      <c r="H22" s="35" t="s">
        <v>448</v>
      </c>
      <c r="I22" s="35">
        <f t="shared" si="0"/>
        <v>0</v>
      </c>
    </row>
    <row r="23" spans="1:9" ht="12.75">
      <c r="A23" s="18"/>
      <c r="B23" s="18" t="s">
        <v>105</v>
      </c>
      <c r="C23" s="18" t="s">
        <v>243</v>
      </c>
      <c r="D23" s="35">
        <f>'Stavební rozpočet'!H85</f>
        <v>0</v>
      </c>
      <c r="E23" s="35">
        <f>'Stavební rozpočet'!I85</f>
        <v>0</v>
      </c>
      <c r="F23" s="35">
        <f>'Stavební rozpočet'!J85</f>
        <v>0</v>
      </c>
      <c r="G23" s="35">
        <f>'Stavební rozpočet'!L85</f>
        <v>1.1975630000000002</v>
      </c>
      <c r="H23" s="35" t="s">
        <v>448</v>
      </c>
      <c r="I23" s="35">
        <f t="shared" si="0"/>
        <v>0</v>
      </c>
    </row>
    <row r="24" spans="1:9" ht="12.75">
      <c r="A24" s="18"/>
      <c r="B24" s="18" t="s">
        <v>114</v>
      </c>
      <c r="C24" s="18" t="s">
        <v>268</v>
      </c>
      <c r="D24" s="35">
        <f>'Stavební rozpočet'!H111</f>
        <v>0</v>
      </c>
      <c r="E24" s="35">
        <f>'Stavební rozpočet'!I111</f>
        <v>0</v>
      </c>
      <c r="F24" s="35">
        <f>'Stavební rozpočet'!J111</f>
        <v>0</v>
      </c>
      <c r="G24" s="35">
        <f>'Stavební rozpočet'!L111</f>
        <v>0.0628875</v>
      </c>
      <c r="H24" s="35" t="s">
        <v>448</v>
      </c>
      <c r="I24" s="35">
        <f t="shared" si="0"/>
        <v>0</v>
      </c>
    </row>
    <row r="25" spans="1:9" ht="12.75">
      <c r="A25" s="18"/>
      <c r="B25" s="18" t="s">
        <v>117</v>
      </c>
      <c r="C25" s="18" t="s">
        <v>273</v>
      </c>
      <c r="D25" s="35">
        <f>'Stavební rozpočet'!H117</f>
        <v>0</v>
      </c>
      <c r="E25" s="35">
        <f>'Stavební rozpočet'!I117</f>
        <v>0</v>
      </c>
      <c r="F25" s="35">
        <f>'Stavební rozpočet'!J117</f>
        <v>0</v>
      </c>
      <c r="G25" s="35">
        <f>'Stavební rozpočet'!L117</f>
        <v>0.040519</v>
      </c>
      <c r="H25" s="35" t="s">
        <v>448</v>
      </c>
      <c r="I25" s="35">
        <f t="shared" si="0"/>
        <v>0</v>
      </c>
    </row>
    <row r="26" spans="1:9" ht="12.75">
      <c r="A26" s="18"/>
      <c r="B26" s="18" t="s">
        <v>125</v>
      </c>
      <c r="C26" s="18" t="s">
        <v>288</v>
      </c>
      <c r="D26" s="35">
        <f>'Stavební rozpočet'!H134</f>
        <v>0</v>
      </c>
      <c r="E26" s="35">
        <f>'Stavební rozpočet'!I134</f>
        <v>0</v>
      </c>
      <c r="F26" s="35">
        <f>'Stavební rozpočet'!J134</f>
        <v>0</v>
      </c>
      <c r="G26" s="35">
        <f>'Stavební rozpočet'!L134</f>
        <v>0.00024</v>
      </c>
      <c r="H26" s="35" t="s">
        <v>448</v>
      </c>
      <c r="I26" s="35">
        <f t="shared" si="0"/>
        <v>0</v>
      </c>
    </row>
    <row r="27" spans="1:9" ht="12.75">
      <c r="A27" s="18"/>
      <c r="B27" s="18" t="s">
        <v>127</v>
      </c>
      <c r="C27" s="18" t="s">
        <v>291</v>
      </c>
      <c r="D27" s="35">
        <f>'Stavební rozpočet'!H138</f>
        <v>0</v>
      </c>
      <c r="E27" s="35">
        <f>'Stavební rozpočet'!I138</f>
        <v>0</v>
      </c>
      <c r="F27" s="35">
        <f>'Stavební rozpočet'!J138</f>
        <v>0</v>
      </c>
      <c r="G27" s="35">
        <f>'Stavební rozpočet'!L138</f>
        <v>0.15488</v>
      </c>
      <c r="H27" s="35" t="s">
        <v>448</v>
      </c>
      <c r="I27" s="35">
        <f t="shared" si="0"/>
        <v>0</v>
      </c>
    </row>
    <row r="28" spans="1:9" ht="12.75">
      <c r="A28" s="18"/>
      <c r="B28" s="18" t="s">
        <v>133</v>
      </c>
      <c r="C28" s="18" t="s">
        <v>300</v>
      </c>
      <c r="D28" s="35">
        <f>'Stavební rozpočet'!H149</f>
        <v>0</v>
      </c>
      <c r="E28" s="35">
        <f>'Stavební rozpočet'!I149</f>
        <v>0</v>
      </c>
      <c r="F28" s="35">
        <f>'Stavební rozpočet'!J149</f>
        <v>0</v>
      </c>
      <c r="G28" s="35">
        <f>'Stavební rozpočet'!L149</f>
        <v>0.00904</v>
      </c>
      <c r="H28" s="35" t="s">
        <v>448</v>
      </c>
      <c r="I28" s="35">
        <f t="shared" si="0"/>
        <v>0</v>
      </c>
    </row>
    <row r="29" spans="1:9" ht="12.75">
      <c r="A29" s="18"/>
      <c r="B29" s="18" t="s">
        <v>136</v>
      </c>
      <c r="C29" s="18" t="s">
        <v>304</v>
      </c>
      <c r="D29" s="35">
        <f>'Stavební rozpočet'!H155</f>
        <v>0</v>
      </c>
      <c r="E29" s="35">
        <f>'Stavební rozpočet'!I155</f>
        <v>0</v>
      </c>
      <c r="F29" s="35">
        <f>'Stavební rozpočet'!J155</f>
        <v>0</v>
      </c>
      <c r="G29" s="35">
        <f>'Stavební rozpočet'!L155</f>
        <v>0.9741080000000001</v>
      </c>
      <c r="H29" s="35" t="s">
        <v>448</v>
      </c>
      <c r="I29" s="35">
        <f t="shared" si="0"/>
        <v>0</v>
      </c>
    </row>
    <row r="30" spans="1:9" ht="12.75">
      <c r="A30" s="18"/>
      <c r="B30" s="18" t="s">
        <v>140</v>
      </c>
      <c r="C30" s="18" t="s">
        <v>315</v>
      </c>
      <c r="D30" s="35">
        <f>'Stavební rozpočet'!H167</f>
        <v>0</v>
      </c>
      <c r="E30" s="35">
        <f>'Stavební rozpočet'!I167</f>
        <v>0</v>
      </c>
      <c r="F30" s="35">
        <f>'Stavební rozpočet'!J167</f>
        <v>0</v>
      </c>
      <c r="G30" s="35">
        <f>'Stavební rozpočet'!L167</f>
        <v>0.005489600000000001</v>
      </c>
      <c r="H30" s="35" t="s">
        <v>448</v>
      </c>
      <c r="I30" s="35">
        <f t="shared" si="0"/>
        <v>0</v>
      </c>
    </row>
    <row r="31" spans="1:9" ht="12.75">
      <c r="A31" s="18"/>
      <c r="B31" s="18" t="s">
        <v>142</v>
      </c>
      <c r="C31" s="18" t="s">
        <v>322</v>
      </c>
      <c r="D31" s="35">
        <f>'Stavební rozpočet'!H174</f>
        <v>0</v>
      </c>
      <c r="E31" s="35">
        <f>'Stavební rozpočet'!I174</f>
        <v>0</v>
      </c>
      <c r="F31" s="35">
        <f>'Stavební rozpočet'!J174</f>
        <v>0</v>
      </c>
      <c r="G31" s="35">
        <f>'Stavební rozpočet'!L174</f>
        <v>0.00025600000000000004</v>
      </c>
      <c r="H31" s="35" t="s">
        <v>448</v>
      </c>
      <c r="I31" s="35">
        <f t="shared" si="0"/>
        <v>0</v>
      </c>
    </row>
    <row r="32" spans="1:9" ht="12.75">
      <c r="A32" s="18"/>
      <c r="B32" s="18" t="s">
        <v>145</v>
      </c>
      <c r="C32" s="18" t="s">
        <v>326</v>
      </c>
      <c r="D32" s="35">
        <f>'Stavební rozpočet'!H179</f>
        <v>0</v>
      </c>
      <c r="E32" s="35">
        <f>'Stavební rozpočet'!I179</f>
        <v>0</v>
      </c>
      <c r="F32" s="35">
        <f>'Stavební rozpočet'!J179</f>
        <v>0</v>
      </c>
      <c r="G32" s="35">
        <f>'Stavební rozpočet'!L179</f>
        <v>0</v>
      </c>
      <c r="H32" s="35" t="s">
        <v>448</v>
      </c>
      <c r="I32" s="35">
        <f t="shared" si="0"/>
        <v>0</v>
      </c>
    </row>
    <row r="33" spans="1:9" ht="12.75">
      <c r="A33" s="18"/>
      <c r="B33" s="18" t="s">
        <v>147</v>
      </c>
      <c r="C33" s="18" t="s">
        <v>329</v>
      </c>
      <c r="D33" s="35">
        <f>'Stavební rozpočet'!H183</f>
        <v>0</v>
      </c>
      <c r="E33" s="35">
        <f>'Stavební rozpočet'!I183</f>
        <v>0</v>
      </c>
      <c r="F33" s="35">
        <f>'Stavební rozpočet'!J183</f>
        <v>0</v>
      </c>
      <c r="G33" s="35">
        <f>'Stavební rozpočet'!L183</f>
        <v>4E-05</v>
      </c>
      <c r="H33" s="35" t="s">
        <v>448</v>
      </c>
      <c r="I33" s="35">
        <f t="shared" si="0"/>
        <v>0</v>
      </c>
    </row>
    <row r="34" spans="1:9" ht="12.75">
      <c r="A34" s="18"/>
      <c r="B34" s="18" t="s">
        <v>149</v>
      </c>
      <c r="C34" s="18" t="s">
        <v>332</v>
      </c>
      <c r="D34" s="35">
        <f>'Stavební rozpočet'!H187</f>
        <v>0</v>
      </c>
      <c r="E34" s="35">
        <f>'Stavební rozpočet'!I187</f>
        <v>0</v>
      </c>
      <c r="F34" s="35">
        <f>'Stavební rozpočet'!J187</f>
        <v>0</v>
      </c>
      <c r="G34" s="35">
        <f>'Stavební rozpočet'!L187</f>
        <v>2.3764000000000003</v>
      </c>
      <c r="H34" s="35" t="s">
        <v>448</v>
      </c>
      <c r="I34" s="35">
        <f t="shared" si="0"/>
        <v>0</v>
      </c>
    </row>
    <row r="35" spans="1:9" ht="12.75">
      <c r="A35" s="18"/>
      <c r="B35" s="18" t="s">
        <v>152</v>
      </c>
      <c r="C35" s="18" t="s">
        <v>337</v>
      </c>
      <c r="D35" s="35">
        <f>'Stavební rozpočet'!H193</f>
        <v>0</v>
      </c>
      <c r="E35" s="35">
        <f>'Stavební rozpočet'!I193</f>
        <v>0</v>
      </c>
      <c r="F35" s="35">
        <f>'Stavební rozpočet'!J193</f>
        <v>0</v>
      </c>
      <c r="G35" s="35">
        <f>'Stavební rozpočet'!L193</f>
        <v>0.1647</v>
      </c>
      <c r="H35" s="35" t="s">
        <v>448</v>
      </c>
      <c r="I35" s="35">
        <f t="shared" si="0"/>
        <v>0</v>
      </c>
    </row>
    <row r="36" spans="1:9" ht="12.75">
      <c r="A36" s="18"/>
      <c r="B36" s="18" t="s">
        <v>154</v>
      </c>
      <c r="C36" s="18" t="s">
        <v>340</v>
      </c>
      <c r="D36" s="35">
        <f>'Stavební rozpočet'!H197</f>
        <v>0</v>
      </c>
      <c r="E36" s="35">
        <f>'Stavební rozpočet'!I197</f>
        <v>0</v>
      </c>
      <c r="F36" s="35">
        <f>'Stavební rozpočet'!J197</f>
        <v>0</v>
      </c>
      <c r="G36" s="35">
        <f>'Stavební rozpočet'!L197</f>
        <v>0</v>
      </c>
      <c r="H36" s="35" t="s">
        <v>448</v>
      </c>
      <c r="I36" s="35">
        <f t="shared" si="0"/>
        <v>0</v>
      </c>
    </row>
    <row r="37" spans="1:9" ht="12.75">
      <c r="A37" s="18"/>
      <c r="B37" s="18" t="s">
        <v>156</v>
      </c>
      <c r="C37" s="18" t="s">
        <v>342</v>
      </c>
      <c r="D37" s="35">
        <f>'Stavební rozpočet'!H199</f>
        <v>0</v>
      </c>
      <c r="E37" s="35">
        <f>'Stavební rozpočet'!I199</f>
        <v>0</v>
      </c>
      <c r="F37" s="35">
        <f>'Stavební rozpočet'!J199</f>
        <v>0</v>
      </c>
      <c r="G37" s="35">
        <f>'Stavební rozpočet'!L199</f>
        <v>0</v>
      </c>
      <c r="H37" s="35" t="s">
        <v>448</v>
      </c>
      <c r="I37" s="35">
        <f t="shared" si="0"/>
        <v>0</v>
      </c>
    </row>
    <row r="38" spans="1:9" ht="12.75">
      <c r="A38" s="18"/>
      <c r="B38" s="18" t="s">
        <v>158</v>
      </c>
      <c r="C38" s="18" t="s">
        <v>344</v>
      </c>
      <c r="D38" s="35">
        <f>'Stavební rozpočet'!H202</f>
        <v>0</v>
      </c>
      <c r="E38" s="35">
        <f>'Stavební rozpočet'!I202</f>
        <v>0</v>
      </c>
      <c r="F38" s="35">
        <f>'Stavební rozpočet'!J202</f>
        <v>0</v>
      </c>
      <c r="G38" s="35">
        <f>'Stavební rozpočet'!L202</f>
        <v>0</v>
      </c>
      <c r="H38" s="35" t="s">
        <v>448</v>
      </c>
      <c r="I38" s="35">
        <f t="shared" si="0"/>
        <v>0</v>
      </c>
    </row>
    <row r="39" spans="1:9" ht="12.75">
      <c r="A39" s="18"/>
      <c r="B39" s="18" t="s">
        <v>163</v>
      </c>
      <c r="C39" s="18" t="s">
        <v>351</v>
      </c>
      <c r="D39" s="35">
        <f>'Stavební rozpočet'!H213</f>
        <v>0</v>
      </c>
      <c r="E39" s="35">
        <f>'Stavební rozpočet'!I213</f>
        <v>0</v>
      </c>
      <c r="F39" s="35">
        <f>'Stavební rozpočet'!J213</f>
        <v>0</v>
      </c>
      <c r="G39" s="35">
        <f>'Stavební rozpočet'!L213</f>
        <v>0</v>
      </c>
      <c r="H39" s="35" t="s">
        <v>448</v>
      </c>
      <c r="I39" s="35">
        <f t="shared" si="0"/>
        <v>0</v>
      </c>
    </row>
    <row r="40" spans="1:9" ht="12.75">
      <c r="A40" s="18"/>
      <c r="B40" s="18"/>
      <c r="C40" s="18" t="s">
        <v>357</v>
      </c>
      <c r="D40" s="35">
        <f>'Stavební rozpočet'!H219</f>
        <v>0</v>
      </c>
      <c r="E40" s="35">
        <f>'Stavební rozpočet'!I219</f>
        <v>0</v>
      </c>
      <c r="F40" s="35">
        <f>'Stavební rozpočet'!J219</f>
        <v>0</v>
      </c>
      <c r="G40" s="35">
        <f>'Stavební rozpočet'!L219</f>
        <v>0.00987</v>
      </c>
      <c r="H40" s="35" t="s">
        <v>448</v>
      </c>
      <c r="I40" s="35">
        <f t="shared" si="0"/>
        <v>0</v>
      </c>
    </row>
    <row r="42" spans="5:6" ht="12.75">
      <c r="E42" s="45" t="s">
        <v>382</v>
      </c>
      <c r="F42" s="48">
        <f>SUM(I11:I40)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2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13" sqref="D13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65.57421875" style="0" customWidth="1"/>
    <col min="5" max="5" width="4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23" width="11.57421875" style="0" customWidth="1"/>
    <col min="24" max="61" width="12.140625" style="0" hidden="1" customWidth="1"/>
  </cols>
  <sheetData>
    <row r="1" spans="1:12" ht="72.75" customHeight="1">
      <c r="A1" s="134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2.75">
      <c r="A2" s="77" t="s">
        <v>1</v>
      </c>
      <c r="B2" s="78"/>
      <c r="C2" s="78"/>
      <c r="D2" s="81" t="s">
        <v>168</v>
      </c>
      <c r="E2" s="139" t="s">
        <v>360</v>
      </c>
      <c r="F2" s="78"/>
      <c r="G2" s="139" t="s">
        <v>6</v>
      </c>
      <c r="H2" s="84" t="s">
        <v>376</v>
      </c>
      <c r="I2" s="139" t="s">
        <v>383</v>
      </c>
      <c r="J2" s="78"/>
      <c r="K2" s="78"/>
      <c r="L2" s="78"/>
      <c r="M2" s="33"/>
    </row>
    <row r="3" spans="1:13" ht="12.75">
      <c r="A3" s="79"/>
      <c r="B3" s="80"/>
      <c r="C3" s="80"/>
      <c r="D3" s="83"/>
      <c r="E3" s="80"/>
      <c r="F3" s="80"/>
      <c r="G3" s="80"/>
      <c r="H3" s="80"/>
      <c r="I3" s="80"/>
      <c r="J3" s="80"/>
      <c r="K3" s="80"/>
      <c r="L3" s="80"/>
      <c r="M3" s="33"/>
    </row>
    <row r="4" spans="1:13" ht="12.75">
      <c r="A4" s="87" t="s">
        <v>2</v>
      </c>
      <c r="B4" s="80"/>
      <c r="C4" s="80"/>
      <c r="D4" s="88" t="s">
        <v>169</v>
      </c>
      <c r="E4" s="90" t="s">
        <v>361</v>
      </c>
      <c r="F4" s="80"/>
      <c r="G4" s="90" t="s">
        <v>373</v>
      </c>
      <c r="H4" s="88" t="s">
        <v>377</v>
      </c>
      <c r="I4" s="90" t="s">
        <v>383</v>
      </c>
      <c r="J4" s="80"/>
      <c r="K4" s="80"/>
      <c r="L4" s="80"/>
      <c r="M4" s="33"/>
    </row>
    <row r="5" spans="1:13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33"/>
    </row>
    <row r="6" spans="1:13" ht="12.75">
      <c r="A6" s="87" t="s">
        <v>3</v>
      </c>
      <c r="B6" s="80"/>
      <c r="C6" s="80"/>
      <c r="D6" s="88" t="s">
        <v>170</v>
      </c>
      <c r="E6" s="90" t="s">
        <v>362</v>
      </c>
      <c r="F6" s="80"/>
      <c r="G6" s="90" t="s">
        <v>6</v>
      </c>
      <c r="H6" s="88" t="s">
        <v>378</v>
      </c>
      <c r="I6" s="90" t="s">
        <v>383</v>
      </c>
      <c r="J6" s="80"/>
      <c r="K6" s="80"/>
      <c r="L6" s="80"/>
      <c r="M6" s="33"/>
    </row>
    <row r="7" spans="1:13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33"/>
    </row>
    <row r="8" spans="1:13" ht="12.75">
      <c r="A8" s="87" t="s">
        <v>4</v>
      </c>
      <c r="B8" s="80"/>
      <c r="C8" s="80"/>
      <c r="D8" s="88" t="s">
        <v>6</v>
      </c>
      <c r="E8" s="90" t="s">
        <v>363</v>
      </c>
      <c r="F8" s="80"/>
      <c r="G8" s="90" t="s">
        <v>373</v>
      </c>
      <c r="H8" s="88" t="s">
        <v>379</v>
      </c>
      <c r="I8" s="90" t="s">
        <v>383</v>
      </c>
      <c r="J8" s="80"/>
      <c r="K8" s="80"/>
      <c r="L8" s="80"/>
      <c r="M8" s="33"/>
    </row>
    <row r="9" spans="1:13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33"/>
    </row>
    <row r="10" spans="1:13" ht="12.75">
      <c r="A10" s="1" t="s">
        <v>5</v>
      </c>
      <c r="B10" s="10" t="s">
        <v>77</v>
      </c>
      <c r="C10" s="10" t="s">
        <v>78</v>
      </c>
      <c r="D10" s="10" t="s">
        <v>171</v>
      </c>
      <c r="E10" s="10" t="s">
        <v>364</v>
      </c>
      <c r="F10" s="19" t="s">
        <v>372</v>
      </c>
      <c r="G10" s="24" t="s">
        <v>374</v>
      </c>
      <c r="H10" s="140" t="s">
        <v>380</v>
      </c>
      <c r="I10" s="141"/>
      <c r="J10" s="142"/>
      <c r="K10" s="140" t="s">
        <v>386</v>
      </c>
      <c r="L10" s="142"/>
      <c r="M10" s="34"/>
    </row>
    <row r="11" spans="1:61" ht="12.75">
      <c r="A11" s="2" t="s">
        <v>6</v>
      </c>
      <c r="B11" s="11" t="s">
        <v>6</v>
      </c>
      <c r="C11" s="11" t="s">
        <v>6</v>
      </c>
      <c r="D11" s="14" t="s">
        <v>172</v>
      </c>
      <c r="E11" s="11" t="s">
        <v>6</v>
      </c>
      <c r="F11" s="11" t="s">
        <v>6</v>
      </c>
      <c r="G11" s="25" t="s">
        <v>375</v>
      </c>
      <c r="H11" s="26" t="s">
        <v>381</v>
      </c>
      <c r="I11" s="27" t="s">
        <v>384</v>
      </c>
      <c r="J11" s="28" t="s">
        <v>385</v>
      </c>
      <c r="K11" s="26" t="s">
        <v>387</v>
      </c>
      <c r="L11" s="28" t="s">
        <v>385</v>
      </c>
      <c r="M11" s="34"/>
      <c r="Y11" s="30" t="s">
        <v>388</v>
      </c>
      <c r="Z11" s="30" t="s">
        <v>389</v>
      </c>
      <c r="AA11" s="30" t="s">
        <v>390</v>
      </c>
      <c r="AB11" s="30" t="s">
        <v>391</v>
      </c>
      <c r="AC11" s="30" t="s">
        <v>392</v>
      </c>
      <c r="AD11" s="30" t="s">
        <v>393</v>
      </c>
      <c r="AE11" s="30" t="s">
        <v>394</v>
      </c>
      <c r="AF11" s="30" t="s">
        <v>395</v>
      </c>
      <c r="AG11" s="30" t="s">
        <v>396</v>
      </c>
      <c r="BG11" s="30" t="s">
        <v>439</v>
      </c>
      <c r="BH11" s="30" t="s">
        <v>440</v>
      </c>
      <c r="BI11" s="30" t="s">
        <v>441</v>
      </c>
    </row>
    <row r="12" spans="1:46" ht="12.75">
      <c r="A12" s="3"/>
      <c r="B12" s="12"/>
      <c r="C12" s="12" t="s">
        <v>17</v>
      </c>
      <c r="D12" s="12" t="s">
        <v>173</v>
      </c>
      <c r="E12" s="3" t="s">
        <v>6</v>
      </c>
      <c r="F12" s="3" t="s">
        <v>6</v>
      </c>
      <c r="G12" s="3" t="s">
        <v>6</v>
      </c>
      <c r="H12" s="37">
        <f>SUM(H13:H13)</f>
        <v>0</v>
      </c>
      <c r="I12" s="37">
        <f>SUM(I13:I13)</f>
        <v>0</v>
      </c>
      <c r="J12" s="37">
        <f>SUM(J13:J13)</f>
        <v>0</v>
      </c>
      <c r="K12" s="29"/>
      <c r="L12" s="37">
        <f>SUM(L13:L13)</f>
        <v>0</v>
      </c>
      <c r="AH12" s="30"/>
      <c r="AR12" s="38">
        <f>SUM(AI13:AI13)</f>
        <v>0</v>
      </c>
      <c r="AS12" s="38">
        <f>SUM(AJ13:AJ13)</f>
        <v>0</v>
      </c>
      <c r="AT12" s="38">
        <f>SUM(AK13:AK13)</f>
        <v>0</v>
      </c>
    </row>
    <row r="13" spans="1:61" ht="12.75">
      <c r="A13" s="4" t="s">
        <v>7</v>
      </c>
      <c r="B13" s="4"/>
      <c r="C13" s="4" t="s">
        <v>79</v>
      </c>
      <c r="D13" s="4" t="s">
        <v>174</v>
      </c>
      <c r="E13" s="4" t="s">
        <v>365</v>
      </c>
      <c r="F13" s="20">
        <v>4.5</v>
      </c>
      <c r="G13" s="20"/>
      <c r="H13" s="20">
        <f>F13*AN13</f>
        <v>0</v>
      </c>
      <c r="I13" s="20">
        <f>F13*AO13</f>
        <v>0</v>
      </c>
      <c r="J13" s="20">
        <f>F13*G13</f>
        <v>0</v>
      </c>
      <c r="K13" s="20">
        <v>0</v>
      </c>
      <c r="L13" s="20">
        <f>F13*K13</f>
        <v>0</v>
      </c>
      <c r="Y13" s="35">
        <f>IF(AP13="5",BI13,0)</f>
        <v>0</v>
      </c>
      <c r="AA13" s="35">
        <f>IF(AP13="1",BG13,0)</f>
        <v>0</v>
      </c>
      <c r="AB13" s="35">
        <f>IF(AP13="1",BH13,0)</f>
        <v>0</v>
      </c>
      <c r="AC13" s="35">
        <f>IF(AP13="7",BG13,0)</f>
        <v>0</v>
      </c>
      <c r="AD13" s="35">
        <f>IF(AP13="7",BH13,0)</f>
        <v>0</v>
      </c>
      <c r="AE13" s="35">
        <f>IF(AP13="2",BG13,0)</f>
        <v>0</v>
      </c>
      <c r="AF13" s="35">
        <f>IF(AP13="2",BH13,0)</f>
        <v>0</v>
      </c>
      <c r="AG13" s="35">
        <f>IF(AP13="0",BI13,0)</f>
        <v>0</v>
      </c>
      <c r="AH13" s="30"/>
      <c r="AI13" s="20">
        <f>IF(AM13=0,J13,0)</f>
        <v>0</v>
      </c>
      <c r="AJ13" s="20">
        <f>IF(AM13=15,J13,0)</f>
        <v>0</v>
      </c>
      <c r="AK13" s="20">
        <f>IF(AM13=21,J13,0)</f>
        <v>0</v>
      </c>
      <c r="AM13" s="35">
        <v>21</v>
      </c>
      <c r="AN13" s="35">
        <f>G13*0</f>
        <v>0</v>
      </c>
      <c r="AO13" s="35">
        <f>G13*(1-0)</f>
        <v>0</v>
      </c>
      <c r="AP13" s="31" t="s">
        <v>7</v>
      </c>
      <c r="AU13" s="35">
        <f>AV13+AW13</f>
        <v>0</v>
      </c>
      <c r="AV13" s="35">
        <f>F13*AN13</f>
        <v>0</v>
      </c>
      <c r="AW13" s="35">
        <f>F13*AO13</f>
        <v>0</v>
      </c>
      <c r="AX13" s="36" t="s">
        <v>398</v>
      </c>
      <c r="AY13" s="36" t="s">
        <v>428</v>
      </c>
      <c r="AZ13" s="30" t="s">
        <v>438</v>
      </c>
      <c r="BB13" s="35">
        <f>AV13+AW13</f>
        <v>0</v>
      </c>
      <c r="BC13" s="35">
        <f>G13/(100-BD13)*100</f>
        <v>0</v>
      </c>
      <c r="BD13" s="35">
        <v>0</v>
      </c>
      <c r="BE13" s="35">
        <f>L13</f>
        <v>0</v>
      </c>
      <c r="BG13" s="20">
        <f>F13*AN13</f>
        <v>0</v>
      </c>
      <c r="BH13" s="20">
        <f>F13*AO13</f>
        <v>0</v>
      </c>
      <c r="BI13" s="20">
        <f>F13*G13</f>
        <v>0</v>
      </c>
    </row>
    <row r="14" ht="12.75">
      <c r="D14" s="15" t="s">
        <v>175</v>
      </c>
    </row>
    <row r="15" spans="4:6" ht="12.75">
      <c r="D15" s="16" t="s">
        <v>176</v>
      </c>
      <c r="F15" s="21">
        <v>4.5</v>
      </c>
    </row>
    <row r="16" spans="1:46" ht="12.75">
      <c r="A16" s="5"/>
      <c r="B16" s="13"/>
      <c r="C16" s="13" t="s">
        <v>19</v>
      </c>
      <c r="D16" s="13" t="s">
        <v>177</v>
      </c>
      <c r="E16" s="5" t="s">
        <v>6</v>
      </c>
      <c r="F16" s="5" t="s">
        <v>6</v>
      </c>
      <c r="G16" s="5"/>
      <c r="H16" s="38">
        <f>SUM(H17:H17)</f>
        <v>0</v>
      </c>
      <c r="I16" s="38">
        <f>SUM(I17:I17)</f>
        <v>0</v>
      </c>
      <c r="J16" s="38">
        <f>SUM(J17:J17)</f>
        <v>0</v>
      </c>
      <c r="K16" s="30"/>
      <c r="L16" s="38">
        <f>SUM(L17:L17)</f>
        <v>0</v>
      </c>
      <c r="AH16" s="30"/>
      <c r="AR16" s="38">
        <f>SUM(AI17:AI17)</f>
        <v>0</v>
      </c>
      <c r="AS16" s="38">
        <f>SUM(AJ17:AJ17)</f>
        <v>0</v>
      </c>
      <c r="AT16" s="38">
        <f>SUM(AK17:AK17)</f>
        <v>0</v>
      </c>
    </row>
    <row r="17" spans="1:61" ht="12.75">
      <c r="A17" s="4" t="s">
        <v>8</v>
      </c>
      <c r="B17" s="4"/>
      <c r="C17" s="4" t="s">
        <v>80</v>
      </c>
      <c r="D17" s="4" t="s">
        <v>178</v>
      </c>
      <c r="E17" s="4" t="s">
        <v>366</v>
      </c>
      <c r="F17" s="20">
        <v>0.704</v>
      </c>
      <c r="G17" s="20"/>
      <c r="H17" s="20">
        <f>F17*AN17</f>
        <v>0</v>
      </c>
      <c r="I17" s="20">
        <f>F17*AO17</f>
        <v>0</v>
      </c>
      <c r="J17" s="20">
        <f>F17*G17</f>
        <v>0</v>
      </c>
      <c r="K17" s="20">
        <v>0</v>
      </c>
      <c r="L17" s="20">
        <f>F17*K17</f>
        <v>0</v>
      </c>
      <c r="Y17" s="35">
        <f>IF(AP17="5",BI17,0)</f>
        <v>0</v>
      </c>
      <c r="AA17" s="35">
        <f>IF(AP17="1",BG17,0)</f>
        <v>0</v>
      </c>
      <c r="AB17" s="35">
        <f>IF(AP17="1",BH17,0)</f>
        <v>0</v>
      </c>
      <c r="AC17" s="35">
        <f>IF(AP17="7",BG17,0)</f>
        <v>0</v>
      </c>
      <c r="AD17" s="35">
        <f>IF(AP17="7",BH17,0)</f>
        <v>0</v>
      </c>
      <c r="AE17" s="35">
        <f>IF(AP17="2",BG17,0)</f>
        <v>0</v>
      </c>
      <c r="AF17" s="35">
        <f>IF(AP17="2",BH17,0)</f>
        <v>0</v>
      </c>
      <c r="AG17" s="35">
        <f>IF(AP17="0",BI17,0)</f>
        <v>0</v>
      </c>
      <c r="AH17" s="30"/>
      <c r="AI17" s="20">
        <f>IF(AM17=0,J17,0)</f>
        <v>0</v>
      </c>
      <c r="AJ17" s="20">
        <f>IF(AM17=15,J17,0)</f>
        <v>0</v>
      </c>
      <c r="AK17" s="20">
        <f>IF(AM17=21,J17,0)</f>
        <v>0</v>
      </c>
      <c r="AM17" s="35">
        <v>21</v>
      </c>
      <c r="AN17" s="35">
        <f>G17*0</f>
        <v>0</v>
      </c>
      <c r="AO17" s="35">
        <f>G17*(1-0)</f>
        <v>0</v>
      </c>
      <c r="AP17" s="31" t="s">
        <v>7</v>
      </c>
      <c r="AU17" s="35">
        <f>AV17+AW17</f>
        <v>0</v>
      </c>
      <c r="AV17" s="35">
        <f>F17*AN17</f>
        <v>0</v>
      </c>
      <c r="AW17" s="35">
        <f>F17*AO17</f>
        <v>0</v>
      </c>
      <c r="AX17" s="36" t="s">
        <v>399</v>
      </c>
      <c r="AY17" s="36" t="s">
        <v>428</v>
      </c>
      <c r="AZ17" s="30" t="s">
        <v>438</v>
      </c>
      <c r="BB17" s="35">
        <f>AV17+AW17</f>
        <v>0</v>
      </c>
      <c r="BC17" s="35">
        <f>G17/(100-BD17)*100</f>
        <v>0</v>
      </c>
      <c r="BD17" s="35">
        <v>0</v>
      </c>
      <c r="BE17" s="35">
        <f>L17</f>
        <v>0</v>
      </c>
      <c r="BG17" s="20">
        <f>F17*AN17</f>
        <v>0</v>
      </c>
      <c r="BH17" s="20">
        <f>F17*AO17</f>
        <v>0</v>
      </c>
      <c r="BI17" s="20">
        <f>F17*G17</f>
        <v>0</v>
      </c>
    </row>
    <row r="18" spans="4:6" ht="12.75">
      <c r="D18" s="16" t="s">
        <v>179</v>
      </c>
      <c r="F18" s="21">
        <v>0.704</v>
      </c>
    </row>
    <row r="19" spans="1:46" ht="12.75">
      <c r="A19" s="5"/>
      <c r="B19" s="13"/>
      <c r="C19" s="13" t="s">
        <v>24</v>
      </c>
      <c r="D19" s="13" t="s">
        <v>180</v>
      </c>
      <c r="E19" s="5" t="s">
        <v>6</v>
      </c>
      <c r="F19" s="5" t="s">
        <v>6</v>
      </c>
      <c r="G19" s="5"/>
      <c r="H19" s="38">
        <f>SUM(H20:H20)</f>
        <v>0</v>
      </c>
      <c r="I19" s="38">
        <f>SUM(I20:I20)</f>
        <v>0</v>
      </c>
      <c r="J19" s="38">
        <f>SUM(J20:J20)</f>
        <v>0</v>
      </c>
      <c r="K19" s="30"/>
      <c r="L19" s="38">
        <f>SUM(L20:L20)</f>
        <v>0</v>
      </c>
      <c r="AH19" s="30"/>
      <c r="AR19" s="38">
        <f>SUM(AI20:AI20)</f>
        <v>0</v>
      </c>
      <c r="AS19" s="38">
        <f>SUM(AJ20:AJ20)</f>
        <v>0</v>
      </c>
      <c r="AT19" s="38">
        <f>SUM(AK20:AK20)</f>
        <v>0</v>
      </c>
    </row>
    <row r="20" spans="1:61" ht="12.75">
      <c r="A20" s="4" t="s">
        <v>9</v>
      </c>
      <c r="B20" s="4"/>
      <c r="C20" s="4" t="s">
        <v>81</v>
      </c>
      <c r="D20" s="4" t="s">
        <v>181</v>
      </c>
      <c r="E20" s="4" t="s">
        <v>365</v>
      </c>
      <c r="F20" s="20">
        <v>10</v>
      </c>
      <c r="G20" s="20"/>
      <c r="H20" s="20">
        <f>F20*AN20</f>
        <v>0</v>
      </c>
      <c r="I20" s="20">
        <f>F20*AO20</f>
        <v>0</v>
      </c>
      <c r="J20" s="20">
        <f>F20*G20</f>
        <v>0</v>
      </c>
      <c r="K20" s="20">
        <v>0</v>
      </c>
      <c r="L20" s="20">
        <f>F20*K20</f>
        <v>0</v>
      </c>
      <c r="Y20" s="35">
        <f>IF(AP20="5",BI20,0)</f>
        <v>0</v>
      </c>
      <c r="AA20" s="35">
        <f>IF(AP20="1",BG20,0)</f>
        <v>0</v>
      </c>
      <c r="AB20" s="35">
        <f>IF(AP20="1",BH20,0)</f>
        <v>0</v>
      </c>
      <c r="AC20" s="35">
        <f>IF(AP20="7",BG20,0)</f>
        <v>0</v>
      </c>
      <c r="AD20" s="35">
        <f>IF(AP20="7",BH20,0)</f>
        <v>0</v>
      </c>
      <c r="AE20" s="35">
        <f>IF(AP20="2",BG20,0)</f>
        <v>0</v>
      </c>
      <c r="AF20" s="35">
        <f>IF(AP20="2",BH20,0)</f>
        <v>0</v>
      </c>
      <c r="AG20" s="35">
        <f>IF(AP20="0",BI20,0)</f>
        <v>0</v>
      </c>
      <c r="AH20" s="30"/>
      <c r="AI20" s="20">
        <f>IF(AM20=0,J20,0)</f>
        <v>0</v>
      </c>
      <c r="AJ20" s="20">
        <f>IF(AM20=15,J20,0)</f>
        <v>0</v>
      </c>
      <c r="AK20" s="20">
        <f>IF(AM20=21,J20,0)</f>
        <v>0</v>
      </c>
      <c r="AM20" s="35">
        <v>21</v>
      </c>
      <c r="AN20" s="35">
        <f>G20*0.0404145077720207</f>
        <v>0</v>
      </c>
      <c r="AO20" s="35">
        <f>G20*(1-0.0404145077720207)</f>
        <v>0</v>
      </c>
      <c r="AP20" s="31" t="s">
        <v>7</v>
      </c>
      <c r="AU20" s="35">
        <f>AV20+AW20</f>
        <v>0</v>
      </c>
      <c r="AV20" s="35">
        <f>F20*AN20</f>
        <v>0</v>
      </c>
      <c r="AW20" s="35">
        <f>F20*AO20</f>
        <v>0</v>
      </c>
      <c r="AX20" s="36" t="s">
        <v>400</v>
      </c>
      <c r="AY20" s="36" t="s">
        <v>428</v>
      </c>
      <c r="AZ20" s="30" t="s">
        <v>438</v>
      </c>
      <c r="BB20" s="35">
        <f>AV20+AW20</f>
        <v>0</v>
      </c>
      <c r="BC20" s="35">
        <f>G20/(100-BD20)*100</f>
        <v>0</v>
      </c>
      <c r="BD20" s="35">
        <v>0</v>
      </c>
      <c r="BE20" s="35">
        <f>L20</f>
        <v>0</v>
      </c>
      <c r="BG20" s="20">
        <f>F20*AN20</f>
        <v>0</v>
      </c>
      <c r="BH20" s="20">
        <f>F20*AO20</f>
        <v>0</v>
      </c>
      <c r="BI20" s="20">
        <f>F20*G20</f>
        <v>0</v>
      </c>
    </row>
    <row r="21" spans="4:6" ht="12.75">
      <c r="D21" s="16" t="s">
        <v>182</v>
      </c>
      <c r="F21" s="21">
        <v>10</v>
      </c>
    </row>
    <row r="22" spans="1:46" ht="12.75">
      <c r="A22" s="5"/>
      <c r="B22" s="13"/>
      <c r="C22" s="13" t="s">
        <v>33</v>
      </c>
      <c r="D22" s="13" t="s">
        <v>183</v>
      </c>
      <c r="E22" s="5" t="s">
        <v>6</v>
      </c>
      <c r="F22" s="5" t="s">
        <v>6</v>
      </c>
      <c r="G22" s="5"/>
      <c r="H22" s="38">
        <f>SUM(H23:H23)</f>
        <v>0</v>
      </c>
      <c r="I22" s="38">
        <f>SUM(I23:I23)</f>
        <v>0</v>
      </c>
      <c r="J22" s="38">
        <f>SUM(J23:J23)</f>
        <v>0</v>
      </c>
      <c r="K22" s="30"/>
      <c r="L22" s="38">
        <f>SUM(L23:L23)</f>
        <v>1.7775999999999998</v>
      </c>
      <c r="AH22" s="30"/>
      <c r="AR22" s="38">
        <f>SUM(AI23:AI23)</f>
        <v>0</v>
      </c>
      <c r="AS22" s="38">
        <f>SUM(AJ23:AJ23)</f>
        <v>0</v>
      </c>
      <c r="AT22" s="38">
        <f>SUM(AK23:AK23)</f>
        <v>0</v>
      </c>
    </row>
    <row r="23" spans="1:61" ht="12.75">
      <c r="A23" s="4" t="s">
        <v>10</v>
      </c>
      <c r="B23" s="4"/>
      <c r="C23" s="4" t="s">
        <v>82</v>
      </c>
      <c r="D23" s="4" t="s">
        <v>184</v>
      </c>
      <c r="E23" s="4" t="s">
        <v>366</v>
      </c>
      <c r="F23" s="20">
        <v>0.704</v>
      </c>
      <c r="G23" s="20"/>
      <c r="H23" s="20">
        <f>F23*AN23</f>
        <v>0</v>
      </c>
      <c r="I23" s="20">
        <f>F23*AO23</f>
        <v>0</v>
      </c>
      <c r="J23" s="20">
        <f>F23*G23</f>
        <v>0</v>
      </c>
      <c r="K23" s="20">
        <v>2.525</v>
      </c>
      <c r="L23" s="20">
        <f>F23*K23</f>
        <v>1.7775999999999998</v>
      </c>
      <c r="Y23" s="35">
        <f>IF(AP23="5",BI23,0)</f>
        <v>0</v>
      </c>
      <c r="AA23" s="35">
        <f>IF(AP23="1",BG23,0)</f>
        <v>0</v>
      </c>
      <c r="AB23" s="35">
        <f>IF(AP23="1",BH23,0)</f>
        <v>0</v>
      </c>
      <c r="AC23" s="35">
        <f>IF(AP23="7",BG23,0)</f>
        <v>0</v>
      </c>
      <c r="AD23" s="35">
        <f>IF(AP23="7",BH23,0)</f>
        <v>0</v>
      </c>
      <c r="AE23" s="35">
        <f>IF(AP23="2",BG23,0)</f>
        <v>0</v>
      </c>
      <c r="AF23" s="35">
        <f>IF(AP23="2",BH23,0)</f>
        <v>0</v>
      </c>
      <c r="AG23" s="35">
        <f>IF(AP23="0",BI23,0)</f>
        <v>0</v>
      </c>
      <c r="AH23" s="30"/>
      <c r="AI23" s="20">
        <f>IF(AM23=0,J23,0)</f>
        <v>0</v>
      </c>
      <c r="AJ23" s="20">
        <f>IF(AM23=15,J23,0)</f>
        <v>0</v>
      </c>
      <c r="AK23" s="20">
        <f>IF(AM23=21,J23,0)</f>
        <v>0</v>
      </c>
      <c r="AM23" s="35">
        <v>21</v>
      </c>
      <c r="AN23" s="35">
        <f>G23*0.897571388738367</f>
        <v>0</v>
      </c>
      <c r="AO23" s="35">
        <f>G23*(1-0.897571388738367)</f>
        <v>0</v>
      </c>
      <c r="AP23" s="31" t="s">
        <v>7</v>
      </c>
      <c r="AU23" s="35">
        <f>AV23+AW23</f>
        <v>0</v>
      </c>
      <c r="AV23" s="35">
        <f>F23*AN23</f>
        <v>0</v>
      </c>
      <c r="AW23" s="35">
        <f>F23*AO23</f>
        <v>0</v>
      </c>
      <c r="AX23" s="36" t="s">
        <v>401</v>
      </c>
      <c r="AY23" s="36" t="s">
        <v>429</v>
      </c>
      <c r="AZ23" s="30" t="s">
        <v>438</v>
      </c>
      <c r="BB23" s="35">
        <f>AV23+AW23</f>
        <v>0</v>
      </c>
      <c r="BC23" s="35">
        <f>G23/(100-BD23)*100</f>
        <v>0</v>
      </c>
      <c r="BD23" s="35">
        <v>0</v>
      </c>
      <c r="BE23" s="35">
        <f>L23</f>
        <v>1.7775999999999998</v>
      </c>
      <c r="BG23" s="20">
        <f>F23*AN23</f>
        <v>0</v>
      </c>
      <c r="BH23" s="20">
        <f>F23*AO23</f>
        <v>0</v>
      </c>
      <c r="BI23" s="20">
        <f>F23*G23</f>
        <v>0</v>
      </c>
    </row>
    <row r="24" spans="4:6" ht="12.75">
      <c r="D24" s="16" t="s">
        <v>179</v>
      </c>
      <c r="F24" s="21">
        <v>0.704</v>
      </c>
    </row>
    <row r="25" spans="1:46" ht="12.75">
      <c r="A25" s="5"/>
      <c r="B25" s="13"/>
      <c r="C25" s="13" t="s">
        <v>37</v>
      </c>
      <c r="D25" s="13" t="s">
        <v>185</v>
      </c>
      <c r="E25" s="5" t="s">
        <v>6</v>
      </c>
      <c r="F25" s="5" t="s">
        <v>6</v>
      </c>
      <c r="G25" s="5"/>
      <c r="H25" s="38">
        <f>SUM(H26:H26)</f>
        <v>0</v>
      </c>
      <c r="I25" s="38">
        <f>SUM(I26:I26)</f>
        <v>0</v>
      </c>
      <c r="J25" s="38">
        <f>SUM(J26:J26)</f>
        <v>0</v>
      </c>
      <c r="K25" s="30"/>
      <c r="L25" s="38">
        <f>SUM(L26:L26)</f>
        <v>3.0052</v>
      </c>
      <c r="AH25" s="30"/>
      <c r="AR25" s="38">
        <f>SUM(AI26:AI26)</f>
        <v>0</v>
      </c>
      <c r="AS25" s="38">
        <f>SUM(AJ26:AJ26)</f>
        <v>0</v>
      </c>
      <c r="AT25" s="38">
        <f>SUM(AK26:AK26)</f>
        <v>0</v>
      </c>
    </row>
    <row r="26" spans="1:61" ht="12.75">
      <c r="A26" s="4" t="s">
        <v>11</v>
      </c>
      <c r="B26" s="4"/>
      <c r="C26" s="4" t="s">
        <v>83</v>
      </c>
      <c r="D26" s="4" t="s">
        <v>186</v>
      </c>
      <c r="E26" s="4" t="s">
        <v>365</v>
      </c>
      <c r="F26" s="20">
        <v>8</v>
      </c>
      <c r="G26" s="20"/>
      <c r="H26" s="20">
        <f>F26*AN26</f>
        <v>0</v>
      </c>
      <c r="I26" s="20">
        <f>F26*AO26</f>
        <v>0</v>
      </c>
      <c r="J26" s="20">
        <f>F26*G26</f>
        <v>0</v>
      </c>
      <c r="K26" s="20">
        <v>0.37565</v>
      </c>
      <c r="L26" s="20">
        <f>F26*K26</f>
        <v>3.0052</v>
      </c>
      <c r="Y26" s="35">
        <f>IF(AP26="5",BI26,0)</f>
        <v>0</v>
      </c>
      <c r="AA26" s="35">
        <f>IF(AP26="1",BG26,0)</f>
        <v>0</v>
      </c>
      <c r="AB26" s="35">
        <f>IF(AP26="1",BH26,0)</f>
        <v>0</v>
      </c>
      <c r="AC26" s="35">
        <f>IF(AP26="7",BG26,0)</f>
        <v>0</v>
      </c>
      <c r="AD26" s="35">
        <f>IF(AP26="7",BH26,0)</f>
        <v>0</v>
      </c>
      <c r="AE26" s="35">
        <f>IF(AP26="2",BG26,0)</f>
        <v>0</v>
      </c>
      <c r="AF26" s="35">
        <f>IF(AP26="2",BH26,0)</f>
        <v>0</v>
      </c>
      <c r="AG26" s="35">
        <f>IF(AP26="0",BI26,0)</f>
        <v>0</v>
      </c>
      <c r="AH26" s="30"/>
      <c r="AI26" s="20">
        <f>IF(AM26=0,J26,0)</f>
        <v>0</v>
      </c>
      <c r="AJ26" s="20">
        <f>IF(AM26=15,J26,0)</f>
        <v>0</v>
      </c>
      <c r="AK26" s="20">
        <f>IF(AM26=21,J26,0)</f>
        <v>0</v>
      </c>
      <c r="AM26" s="35">
        <v>21</v>
      </c>
      <c r="AN26" s="35">
        <f>G26*0.620865384615385</f>
        <v>0</v>
      </c>
      <c r="AO26" s="35">
        <f>G26*(1-0.620865384615385)</f>
        <v>0</v>
      </c>
      <c r="AP26" s="31" t="s">
        <v>7</v>
      </c>
      <c r="AU26" s="35">
        <f>AV26+AW26</f>
        <v>0</v>
      </c>
      <c r="AV26" s="35">
        <f>F26*AN26</f>
        <v>0</v>
      </c>
      <c r="AW26" s="35">
        <f>F26*AO26</f>
        <v>0</v>
      </c>
      <c r="AX26" s="36" t="s">
        <v>402</v>
      </c>
      <c r="AY26" s="36" t="s">
        <v>430</v>
      </c>
      <c r="AZ26" s="30" t="s">
        <v>438</v>
      </c>
      <c r="BB26" s="35">
        <f>AV26+AW26</f>
        <v>0</v>
      </c>
      <c r="BC26" s="35">
        <f>G26/(100-BD26)*100</f>
        <v>0</v>
      </c>
      <c r="BD26" s="35">
        <v>0</v>
      </c>
      <c r="BE26" s="35">
        <f>L26</f>
        <v>3.0052</v>
      </c>
      <c r="BG26" s="20">
        <f>F26*AN26</f>
        <v>0</v>
      </c>
      <c r="BH26" s="20">
        <f>F26*AO26</f>
        <v>0</v>
      </c>
      <c r="BI26" s="20">
        <f>F26*G26</f>
        <v>0</v>
      </c>
    </row>
    <row r="27" ht="12.75">
      <c r="D27" s="15" t="s">
        <v>187</v>
      </c>
    </row>
    <row r="28" spans="4:6" ht="12.75">
      <c r="D28" s="16" t="s">
        <v>188</v>
      </c>
      <c r="F28" s="21">
        <v>8</v>
      </c>
    </row>
    <row r="29" spans="1:46" ht="12.75">
      <c r="A29" s="5"/>
      <c r="B29" s="13"/>
      <c r="C29" s="13" t="s">
        <v>39</v>
      </c>
      <c r="D29" s="13" t="s">
        <v>189</v>
      </c>
      <c r="E29" s="5" t="s">
        <v>6</v>
      </c>
      <c r="F29" s="5" t="s">
        <v>6</v>
      </c>
      <c r="G29" s="5"/>
      <c r="H29" s="38">
        <f>SUM(H30:H30)</f>
        <v>0</v>
      </c>
      <c r="I29" s="38">
        <f>SUM(I30:I30)</f>
        <v>0</v>
      </c>
      <c r="J29" s="38">
        <f>SUM(J30:J30)</f>
        <v>0</v>
      </c>
      <c r="K29" s="30"/>
      <c r="L29" s="38">
        <f>SUM(L30:L30)</f>
        <v>0.26703</v>
      </c>
      <c r="AH29" s="30"/>
      <c r="AR29" s="38">
        <f>SUM(AI30:AI30)</f>
        <v>0</v>
      </c>
      <c r="AS29" s="38">
        <f>SUM(AJ30:AJ30)</f>
        <v>0</v>
      </c>
      <c r="AT29" s="38">
        <f>SUM(AK30:AK30)</f>
        <v>0</v>
      </c>
    </row>
    <row r="30" spans="1:61" ht="12.75">
      <c r="A30" s="4" t="s">
        <v>12</v>
      </c>
      <c r="B30" s="4"/>
      <c r="C30" s="4" t="s">
        <v>84</v>
      </c>
      <c r="D30" s="4" t="s">
        <v>190</v>
      </c>
      <c r="E30" s="4" t="s">
        <v>367</v>
      </c>
      <c r="F30" s="20">
        <v>13.5</v>
      </c>
      <c r="G30" s="20"/>
      <c r="H30" s="20">
        <f>F30*AN30</f>
        <v>0</v>
      </c>
      <c r="I30" s="20">
        <f>F30*AO30</f>
        <v>0</v>
      </c>
      <c r="J30" s="20">
        <f>F30*G30</f>
        <v>0</v>
      </c>
      <c r="K30" s="20">
        <v>0.01978</v>
      </c>
      <c r="L30" s="20">
        <f>F30*K30</f>
        <v>0.26703</v>
      </c>
      <c r="Y30" s="35">
        <f>IF(AP30="5",BI30,0)</f>
        <v>0</v>
      </c>
      <c r="AA30" s="35">
        <f>IF(AP30="1",BG30,0)</f>
        <v>0</v>
      </c>
      <c r="AB30" s="35">
        <f>IF(AP30="1",BH30,0)</f>
        <v>0</v>
      </c>
      <c r="AC30" s="35">
        <f>IF(AP30="7",BG30,0)</f>
        <v>0</v>
      </c>
      <c r="AD30" s="35">
        <f>IF(AP30="7",BH30,0)</f>
        <v>0</v>
      </c>
      <c r="AE30" s="35">
        <f>IF(AP30="2",BG30,0)</f>
        <v>0</v>
      </c>
      <c r="AF30" s="35">
        <f>IF(AP30="2",BH30,0)</f>
        <v>0</v>
      </c>
      <c r="AG30" s="35">
        <f>IF(AP30="0",BI30,0)</f>
        <v>0</v>
      </c>
      <c r="AH30" s="30"/>
      <c r="AI30" s="20">
        <f>IF(AM30=0,J30,0)</f>
        <v>0</v>
      </c>
      <c r="AJ30" s="20">
        <f>IF(AM30=15,J30,0)</f>
        <v>0</v>
      </c>
      <c r="AK30" s="20">
        <f>IF(AM30=21,J30,0)</f>
        <v>0</v>
      </c>
      <c r="AM30" s="35">
        <v>21</v>
      </c>
      <c r="AN30" s="35">
        <f>G30*0</f>
        <v>0</v>
      </c>
      <c r="AO30" s="35">
        <f>G30*(1-0)</f>
        <v>0</v>
      </c>
      <c r="AP30" s="31" t="s">
        <v>7</v>
      </c>
      <c r="AU30" s="35">
        <f>AV30+AW30</f>
        <v>0</v>
      </c>
      <c r="AV30" s="35">
        <f>F30*AN30</f>
        <v>0</v>
      </c>
      <c r="AW30" s="35">
        <f>F30*AO30</f>
        <v>0</v>
      </c>
      <c r="AX30" s="36" t="s">
        <v>403</v>
      </c>
      <c r="AY30" s="36" t="s">
        <v>430</v>
      </c>
      <c r="AZ30" s="30" t="s">
        <v>438</v>
      </c>
      <c r="BB30" s="35">
        <f>AV30+AW30</f>
        <v>0</v>
      </c>
      <c r="BC30" s="35">
        <f>G30/(100-BD30)*100</f>
        <v>0</v>
      </c>
      <c r="BD30" s="35">
        <v>0</v>
      </c>
      <c r="BE30" s="35">
        <f>L30</f>
        <v>0.26703</v>
      </c>
      <c r="BG30" s="20">
        <f>F30*AN30</f>
        <v>0</v>
      </c>
      <c r="BH30" s="20">
        <f>F30*AO30</f>
        <v>0</v>
      </c>
      <c r="BI30" s="20">
        <f>F30*G30</f>
        <v>0</v>
      </c>
    </row>
    <row r="31" spans="4:6" ht="12.75">
      <c r="D31" s="16" t="s">
        <v>191</v>
      </c>
      <c r="F31" s="21">
        <v>13.5</v>
      </c>
    </row>
    <row r="32" spans="1:46" ht="12.75">
      <c r="A32" s="5"/>
      <c r="B32" s="13"/>
      <c r="C32" s="13" t="s">
        <v>44</v>
      </c>
      <c r="D32" s="13" t="s">
        <v>192</v>
      </c>
      <c r="E32" s="5" t="s">
        <v>6</v>
      </c>
      <c r="F32" s="5" t="s">
        <v>6</v>
      </c>
      <c r="G32" s="5"/>
      <c r="H32" s="38">
        <f>SUM(H33:H33)</f>
        <v>0</v>
      </c>
      <c r="I32" s="38">
        <f>SUM(I33:I33)</f>
        <v>0</v>
      </c>
      <c r="J32" s="38">
        <f>SUM(J33:J33)</f>
        <v>0</v>
      </c>
      <c r="K32" s="30"/>
      <c r="L32" s="38">
        <f>SUM(L33:L33)</f>
        <v>0.045490800000000005</v>
      </c>
      <c r="AH32" s="30"/>
      <c r="AR32" s="38">
        <f>SUM(AI33:AI33)</f>
        <v>0</v>
      </c>
      <c r="AS32" s="38">
        <f>SUM(AJ33:AJ33)</f>
        <v>0</v>
      </c>
      <c r="AT32" s="38">
        <f>SUM(AK33:AK33)</f>
        <v>0</v>
      </c>
    </row>
    <row r="33" spans="1:61" ht="12.75">
      <c r="A33" s="4" t="s">
        <v>13</v>
      </c>
      <c r="B33" s="4"/>
      <c r="C33" s="4" t="s">
        <v>85</v>
      </c>
      <c r="D33" s="4" t="s">
        <v>193</v>
      </c>
      <c r="E33" s="4" t="s">
        <v>368</v>
      </c>
      <c r="F33" s="20">
        <v>0.0454</v>
      </c>
      <c r="G33" s="20"/>
      <c r="H33" s="20">
        <f>F33*AN33</f>
        <v>0</v>
      </c>
      <c r="I33" s="20">
        <f>F33*AO33</f>
        <v>0</v>
      </c>
      <c r="J33" s="20">
        <f>F33*G33</f>
        <v>0</v>
      </c>
      <c r="K33" s="20">
        <v>1.002</v>
      </c>
      <c r="L33" s="20">
        <f>F33*K33</f>
        <v>0.045490800000000005</v>
      </c>
      <c r="Y33" s="35">
        <f>IF(AP33="5",BI33,0)</f>
        <v>0</v>
      </c>
      <c r="AA33" s="35">
        <f>IF(AP33="1",BG33,0)</f>
        <v>0</v>
      </c>
      <c r="AB33" s="35">
        <f>IF(AP33="1",BH33,0)</f>
        <v>0</v>
      </c>
      <c r="AC33" s="35">
        <f>IF(AP33="7",BG33,0)</f>
        <v>0</v>
      </c>
      <c r="AD33" s="35">
        <f>IF(AP33="7",BH33,0)</f>
        <v>0</v>
      </c>
      <c r="AE33" s="35">
        <f>IF(AP33="2",BG33,0)</f>
        <v>0</v>
      </c>
      <c r="AF33" s="35">
        <f>IF(AP33="2",BH33,0)</f>
        <v>0</v>
      </c>
      <c r="AG33" s="35">
        <f>IF(AP33="0",BI33,0)</f>
        <v>0</v>
      </c>
      <c r="AH33" s="30"/>
      <c r="AI33" s="20">
        <f>IF(AM33=0,J33,0)</f>
        <v>0</v>
      </c>
      <c r="AJ33" s="20">
        <f>IF(AM33=15,J33,0)</f>
        <v>0</v>
      </c>
      <c r="AK33" s="20">
        <f>IF(AM33=21,J33,0)</f>
        <v>0</v>
      </c>
      <c r="AM33" s="35">
        <v>21</v>
      </c>
      <c r="AN33" s="35">
        <f>G33*0.718498974836906</f>
        <v>0</v>
      </c>
      <c r="AO33" s="35">
        <f>G33*(1-0.718498974836906)</f>
        <v>0</v>
      </c>
      <c r="AP33" s="31" t="s">
        <v>7</v>
      </c>
      <c r="AU33" s="35">
        <f>AV33+AW33</f>
        <v>0</v>
      </c>
      <c r="AV33" s="35">
        <f>F33*AN33</f>
        <v>0</v>
      </c>
      <c r="AW33" s="35">
        <f>F33*AO33</f>
        <v>0</v>
      </c>
      <c r="AX33" s="36" t="s">
        <v>404</v>
      </c>
      <c r="AY33" s="36" t="s">
        <v>430</v>
      </c>
      <c r="AZ33" s="30" t="s">
        <v>438</v>
      </c>
      <c r="BB33" s="35">
        <f>AV33+AW33</f>
        <v>0</v>
      </c>
      <c r="BC33" s="35">
        <f>G33/(100-BD33)*100</f>
        <v>0</v>
      </c>
      <c r="BD33" s="35">
        <v>0</v>
      </c>
      <c r="BE33" s="35">
        <f>L33</f>
        <v>0.045490800000000005</v>
      </c>
      <c r="BG33" s="20">
        <f>F33*AN33</f>
        <v>0</v>
      </c>
      <c r="BH33" s="20">
        <f>F33*AO33</f>
        <v>0</v>
      </c>
      <c r="BI33" s="20">
        <f>F33*G33</f>
        <v>0</v>
      </c>
    </row>
    <row r="34" ht="12.75">
      <c r="D34" s="15" t="s">
        <v>194</v>
      </c>
    </row>
    <row r="35" spans="4:6" ht="12.75">
      <c r="D35" s="16" t="s">
        <v>195</v>
      </c>
      <c r="F35" s="21">
        <v>0.024</v>
      </c>
    </row>
    <row r="36" spans="4:6" ht="12.75">
      <c r="D36" s="16" t="s">
        <v>196</v>
      </c>
      <c r="F36" s="21">
        <v>0.016</v>
      </c>
    </row>
    <row r="37" spans="4:6" ht="12.75">
      <c r="D37" s="16" t="s">
        <v>197</v>
      </c>
      <c r="F37" s="21">
        <v>0.0054</v>
      </c>
    </row>
    <row r="38" spans="1:46" ht="12.75">
      <c r="A38" s="5"/>
      <c r="B38" s="13"/>
      <c r="C38" s="13" t="s">
        <v>67</v>
      </c>
      <c r="D38" s="13" t="s">
        <v>198</v>
      </c>
      <c r="E38" s="5" t="s">
        <v>6</v>
      </c>
      <c r="F38" s="5" t="s">
        <v>6</v>
      </c>
      <c r="G38" s="5"/>
      <c r="H38" s="38">
        <f>SUM(H39:H42)</f>
        <v>0</v>
      </c>
      <c r="I38" s="38">
        <f>SUM(I39:I42)</f>
        <v>0</v>
      </c>
      <c r="J38" s="38">
        <f>SUM(J39:J42)</f>
        <v>0</v>
      </c>
      <c r="K38" s="30"/>
      <c r="L38" s="38">
        <f>SUM(L39:L42)</f>
        <v>0.1299</v>
      </c>
      <c r="AH38" s="30"/>
      <c r="AR38" s="38">
        <f>SUM(AI39:AI42)</f>
        <v>0</v>
      </c>
      <c r="AS38" s="38">
        <f>SUM(AJ39:AJ42)</f>
        <v>0</v>
      </c>
      <c r="AT38" s="38">
        <f>SUM(AK39:AK42)</f>
        <v>0</v>
      </c>
    </row>
    <row r="39" spans="1:61" ht="12.75">
      <c r="A39" s="4" t="s">
        <v>14</v>
      </c>
      <c r="B39" s="4"/>
      <c r="C39" s="4" t="s">
        <v>86</v>
      </c>
      <c r="D39" s="4" t="s">
        <v>199</v>
      </c>
      <c r="E39" s="4" t="s">
        <v>367</v>
      </c>
      <c r="F39" s="20">
        <v>30</v>
      </c>
      <c r="G39" s="20"/>
      <c r="H39" s="20">
        <f>F39*AN39</f>
        <v>0</v>
      </c>
      <c r="I39" s="20">
        <f>F39*AO39</f>
        <v>0</v>
      </c>
      <c r="J39" s="20">
        <f>F39*G39</f>
        <v>0</v>
      </c>
      <c r="K39" s="20">
        <v>0.00433</v>
      </c>
      <c r="L39" s="20">
        <f>F39*K39</f>
        <v>0.1299</v>
      </c>
      <c r="Y39" s="35">
        <f>IF(AP39="5",BI39,0)</f>
        <v>0</v>
      </c>
      <c r="AA39" s="35">
        <f>IF(AP39="1",BG39,0)</f>
        <v>0</v>
      </c>
      <c r="AB39" s="35">
        <f>IF(AP39="1",BH39,0)</f>
        <v>0</v>
      </c>
      <c r="AC39" s="35">
        <f>IF(AP39="7",BG39,0)</f>
        <v>0</v>
      </c>
      <c r="AD39" s="35">
        <f>IF(AP39="7",BH39,0)</f>
        <v>0</v>
      </c>
      <c r="AE39" s="35">
        <f>IF(AP39="2",BG39,0)</f>
        <v>0</v>
      </c>
      <c r="AF39" s="35">
        <f>IF(AP39="2",BH39,0)</f>
        <v>0</v>
      </c>
      <c r="AG39" s="35">
        <f>IF(AP39="0",BI39,0)</f>
        <v>0</v>
      </c>
      <c r="AH39" s="30"/>
      <c r="AI39" s="20">
        <f>IF(AM39=0,J39,0)</f>
        <v>0</v>
      </c>
      <c r="AJ39" s="20">
        <f>IF(AM39=15,J39,0)</f>
        <v>0</v>
      </c>
      <c r="AK39" s="20">
        <f>IF(AM39=21,J39,0)</f>
        <v>0</v>
      </c>
      <c r="AM39" s="35">
        <v>21</v>
      </c>
      <c r="AN39" s="35">
        <f>G39*0.174358974358974</f>
        <v>0</v>
      </c>
      <c r="AO39" s="35">
        <f>G39*(1-0.174358974358974)</f>
        <v>0</v>
      </c>
      <c r="AP39" s="31" t="s">
        <v>7</v>
      </c>
      <c r="AU39" s="35">
        <f>AV39+AW39</f>
        <v>0</v>
      </c>
      <c r="AV39" s="35">
        <f>F39*AN39</f>
        <v>0</v>
      </c>
      <c r="AW39" s="35">
        <f>F39*AO39</f>
        <v>0</v>
      </c>
      <c r="AX39" s="36" t="s">
        <v>405</v>
      </c>
      <c r="AY39" s="36" t="s">
        <v>431</v>
      </c>
      <c r="AZ39" s="30" t="s">
        <v>438</v>
      </c>
      <c r="BB39" s="35">
        <f>AV39+AW39</f>
        <v>0</v>
      </c>
      <c r="BC39" s="35">
        <f>G39/(100-BD39)*100</f>
        <v>0</v>
      </c>
      <c r="BD39" s="35">
        <v>0</v>
      </c>
      <c r="BE39" s="35">
        <f>L39</f>
        <v>0.1299</v>
      </c>
      <c r="BG39" s="20">
        <f>F39*AN39</f>
        <v>0</v>
      </c>
      <c r="BH39" s="20">
        <f>F39*AO39</f>
        <v>0</v>
      </c>
      <c r="BI39" s="20">
        <f>F39*G39</f>
        <v>0</v>
      </c>
    </row>
    <row r="40" ht="12.75">
      <c r="D40" s="15" t="s">
        <v>200</v>
      </c>
    </row>
    <row r="41" spans="4:6" ht="12.75">
      <c r="D41" s="16" t="s">
        <v>201</v>
      </c>
      <c r="F41" s="21">
        <v>30</v>
      </c>
    </row>
    <row r="42" spans="1:61" ht="12.75">
      <c r="A42" s="4" t="s">
        <v>15</v>
      </c>
      <c r="B42" s="4"/>
      <c r="C42" s="4" t="s">
        <v>87</v>
      </c>
      <c r="D42" s="4" t="s">
        <v>202</v>
      </c>
      <c r="E42" s="4" t="s">
        <v>365</v>
      </c>
      <c r="F42" s="20">
        <v>2.1</v>
      </c>
      <c r="G42" s="20"/>
      <c r="H42" s="20">
        <f>F42*AN42</f>
        <v>0</v>
      </c>
      <c r="I42" s="20">
        <f>F42*AO42</f>
        <v>0</v>
      </c>
      <c r="J42" s="20">
        <f>F42*G42</f>
        <v>0</v>
      </c>
      <c r="K42" s="20">
        <v>0</v>
      </c>
      <c r="L42" s="20">
        <f>F42*K42</f>
        <v>0</v>
      </c>
      <c r="Y42" s="35">
        <f>IF(AP42="5",BI42,0)</f>
        <v>0</v>
      </c>
      <c r="AA42" s="35">
        <f>IF(AP42="1",BG42,0)</f>
        <v>0</v>
      </c>
      <c r="AB42" s="35">
        <f>IF(AP42="1",BH42,0)</f>
        <v>0</v>
      </c>
      <c r="AC42" s="35">
        <f>IF(AP42="7",BG42,0)</f>
        <v>0</v>
      </c>
      <c r="AD42" s="35">
        <f>IF(AP42="7",BH42,0)</f>
        <v>0</v>
      </c>
      <c r="AE42" s="35">
        <f>IF(AP42="2",BG42,0)</f>
        <v>0</v>
      </c>
      <c r="AF42" s="35">
        <f>IF(AP42="2",BH42,0)</f>
        <v>0</v>
      </c>
      <c r="AG42" s="35">
        <f>IF(AP42="0",BI42,0)</f>
        <v>0</v>
      </c>
      <c r="AH42" s="30"/>
      <c r="AI42" s="20">
        <f>IF(AM42=0,J42,0)</f>
        <v>0</v>
      </c>
      <c r="AJ42" s="20">
        <f>IF(AM42=15,J42,0)</f>
        <v>0</v>
      </c>
      <c r="AK42" s="20">
        <f>IF(AM42=21,J42,0)</f>
        <v>0</v>
      </c>
      <c r="AM42" s="35">
        <v>21</v>
      </c>
      <c r="AN42" s="35">
        <f>G42*0</f>
        <v>0</v>
      </c>
      <c r="AO42" s="35">
        <f>G42*(1-0)</f>
        <v>0</v>
      </c>
      <c r="AP42" s="31" t="s">
        <v>7</v>
      </c>
      <c r="AU42" s="35">
        <f>AV42+AW42</f>
        <v>0</v>
      </c>
      <c r="AV42" s="35">
        <f>F42*AN42</f>
        <v>0</v>
      </c>
      <c r="AW42" s="35">
        <f>F42*AO42</f>
        <v>0</v>
      </c>
      <c r="AX42" s="36" t="s">
        <v>405</v>
      </c>
      <c r="AY42" s="36" t="s">
        <v>431</v>
      </c>
      <c r="AZ42" s="30" t="s">
        <v>438</v>
      </c>
      <c r="BB42" s="35">
        <f>AV42+AW42</f>
        <v>0</v>
      </c>
      <c r="BC42" s="35">
        <f>G42/(100-BD42)*100</f>
        <v>0</v>
      </c>
      <c r="BD42" s="35">
        <v>0</v>
      </c>
      <c r="BE42" s="35">
        <f>L42</f>
        <v>0</v>
      </c>
      <c r="BG42" s="20">
        <f>F42*AN42</f>
        <v>0</v>
      </c>
      <c r="BH42" s="20">
        <f>F42*AO42</f>
        <v>0</v>
      </c>
      <c r="BI42" s="20">
        <f>F42*G42</f>
        <v>0</v>
      </c>
    </row>
    <row r="43" spans="4:6" ht="12.75">
      <c r="D43" s="16" t="s">
        <v>203</v>
      </c>
      <c r="F43" s="21">
        <v>2.1</v>
      </c>
    </row>
    <row r="44" spans="1:46" ht="12.75">
      <c r="A44" s="5"/>
      <c r="B44" s="13"/>
      <c r="C44" s="13" t="s">
        <v>69</v>
      </c>
      <c r="D44" s="13" t="s">
        <v>204</v>
      </c>
      <c r="E44" s="5" t="s">
        <v>6</v>
      </c>
      <c r="F44" s="5" t="s">
        <v>6</v>
      </c>
      <c r="G44" s="5"/>
      <c r="H44" s="38">
        <f>SUM(H45:H52)</f>
        <v>0</v>
      </c>
      <c r="I44" s="38">
        <f>SUM(I45:I52)</f>
        <v>0</v>
      </c>
      <c r="J44" s="38">
        <f>SUM(J45:J52)</f>
        <v>0</v>
      </c>
      <c r="K44" s="30"/>
      <c r="L44" s="38">
        <f>SUM(L45:L52)</f>
        <v>3.21316</v>
      </c>
      <c r="AH44" s="30"/>
      <c r="AR44" s="38">
        <f>SUM(AI45:AI52)</f>
        <v>0</v>
      </c>
      <c r="AS44" s="38">
        <f>SUM(AJ45:AJ52)</f>
        <v>0</v>
      </c>
      <c r="AT44" s="38">
        <f>SUM(AK45:AK52)</f>
        <v>0</v>
      </c>
    </row>
    <row r="45" spans="1:61" ht="12.75">
      <c r="A45" s="4" t="s">
        <v>16</v>
      </c>
      <c r="B45" s="4"/>
      <c r="C45" s="4" t="s">
        <v>88</v>
      </c>
      <c r="D45" s="4" t="s">
        <v>205</v>
      </c>
      <c r="E45" s="4" t="s">
        <v>366</v>
      </c>
      <c r="F45" s="20">
        <v>1.24</v>
      </c>
      <c r="G45" s="20"/>
      <c r="H45" s="20">
        <f>F45*AN45</f>
        <v>0</v>
      </c>
      <c r="I45" s="20">
        <f>F45*AO45</f>
        <v>0</v>
      </c>
      <c r="J45" s="20">
        <f>F45*G45</f>
        <v>0</v>
      </c>
      <c r="K45" s="20">
        <v>2.545</v>
      </c>
      <c r="L45" s="20">
        <f>F45*K45</f>
        <v>3.1557999999999997</v>
      </c>
      <c r="Y45" s="35">
        <f>IF(AP45="5",BI45,0)</f>
        <v>0</v>
      </c>
      <c r="AA45" s="35">
        <f>IF(AP45="1",BG45,0)</f>
        <v>0</v>
      </c>
      <c r="AB45" s="35">
        <f>IF(AP45="1",BH45,0)</f>
        <v>0</v>
      </c>
      <c r="AC45" s="35">
        <f>IF(AP45="7",BG45,0)</f>
        <v>0</v>
      </c>
      <c r="AD45" s="35">
        <f>IF(AP45="7",BH45,0)</f>
        <v>0</v>
      </c>
      <c r="AE45" s="35">
        <f>IF(AP45="2",BG45,0)</f>
        <v>0</v>
      </c>
      <c r="AF45" s="35">
        <f>IF(AP45="2",BH45,0)</f>
        <v>0</v>
      </c>
      <c r="AG45" s="35">
        <f>IF(AP45="0",BI45,0)</f>
        <v>0</v>
      </c>
      <c r="AH45" s="30"/>
      <c r="AI45" s="20">
        <f>IF(AM45=0,J45,0)</f>
        <v>0</v>
      </c>
      <c r="AJ45" s="20">
        <f>IF(AM45=15,J45,0)</f>
        <v>0</v>
      </c>
      <c r="AK45" s="20">
        <f>IF(AM45=21,J45,0)</f>
        <v>0</v>
      </c>
      <c r="AM45" s="35">
        <v>21</v>
      </c>
      <c r="AN45" s="35">
        <f>G45*0.68408547008547</f>
        <v>0</v>
      </c>
      <c r="AO45" s="35">
        <f>G45*(1-0.68408547008547)</f>
        <v>0</v>
      </c>
      <c r="AP45" s="31" t="s">
        <v>7</v>
      </c>
      <c r="AU45" s="35">
        <f>AV45+AW45</f>
        <v>0</v>
      </c>
      <c r="AV45" s="35">
        <f>F45*AN45</f>
        <v>0</v>
      </c>
      <c r="AW45" s="35">
        <f>F45*AO45</f>
        <v>0</v>
      </c>
      <c r="AX45" s="36" t="s">
        <v>406</v>
      </c>
      <c r="AY45" s="36" t="s">
        <v>431</v>
      </c>
      <c r="AZ45" s="30" t="s">
        <v>438</v>
      </c>
      <c r="BB45" s="35">
        <f>AV45+AW45</f>
        <v>0</v>
      </c>
      <c r="BC45" s="35">
        <f>G45/(100-BD45)*100</f>
        <v>0</v>
      </c>
      <c r="BD45" s="35">
        <v>0</v>
      </c>
      <c r="BE45" s="35">
        <f>L45</f>
        <v>3.1557999999999997</v>
      </c>
      <c r="BG45" s="20">
        <f>F45*AN45</f>
        <v>0</v>
      </c>
      <c r="BH45" s="20">
        <f>F45*AO45</f>
        <v>0</v>
      </c>
      <c r="BI45" s="20">
        <f>F45*G45</f>
        <v>0</v>
      </c>
    </row>
    <row r="46" ht="12.75">
      <c r="D46" s="15" t="s">
        <v>206</v>
      </c>
    </row>
    <row r="47" spans="4:6" ht="12.75">
      <c r="D47" s="16" t="s">
        <v>207</v>
      </c>
      <c r="F47" s="21">
        <v>0.24</v>
      </c>
    </row>
    <row r="48" spans="4:6" ht="12.75">
      <c r="D48" s="16" t="s">
        <v>208</v>
      </c>
      <c r="F48" s="21">
        <v>1</v>
      </c>
    </row>
    <row r="49" spans="1:61" ht="12.75">
      <c r="A49" s="4" t="s">
        <v>17</v>
      </c>
      <c r="B49" s="4"/>
      <c r="C49" s="4" t="s">
        <v>89</v>
      </c>
      <c r="D49" s="4" t="s">
        <v>209</v>
      </c>
      <c r="E49" s="4" t="s">
        <v>365</v>
      </c>
      <c r="F49" s="20">
        <v>4</v>
      </c>
      <c r="G49" s="20"/>
      <c r="H49" s="20">
        <f>F49*AN49</f>
        <v>0</v>
      </c>
      <c r="I49" s="20">
        <f>F49*AO49</f>
        <v>0</v>
      </c>
      <c r="J49" s="20">
        <f>F49*G49</f>
        <v>0</v>
      </c>
      <c r="K49" s="20">
        <v>0.00378</v>
      </c>
      <c r="L49" s="20">
        <f>F49*K49</f>
        <v>0.01512</v>
      </c>
      <c r="Y49" s="35">
        <f>IF(AP49="5",BI49,0)</f>
        <v>0</v>
      </c>
      <c r="AA49" s="35">
        <f>IF(AP49="1",BG49,0)</f>
        <v>0</v>
      </c>
      <c r="AB49" s="35">
        <f>IF(AP49="1",BH49,0)</f>
        <v>0</v>
      </c>
      <c r="AC49" s="35">
        <f>IF(AP49="7",BG49,0)</f>
        <v>0</v>
      </c>
      <c r="AD49" s="35">
        <f>IF(AP49="7",BH49,0)</f>
        <v>0</v>
      </c>
      <c r="AE49" s="35">
        <f>IF(AP49="2",BG49,0)</f>
        <v>0</v>
      </c>
      <c r="AF49" s="35">
        <f>IF(AP49="2",BH49,0)</f>
        <v>0</v>
      </c>
      <c r="AG49" s="35">
        <f>IF(AP49="0",BI49,0)</f>
        <v>0</v>
      </c>
      <c r="AH49" s="30"/>
      <c r="AI49" s="20">
        <f>IF(AM49=0,J49,0)</f>
        <v>0</v>
      </c>
      <c r="AJ49" s="20">
        <f>IF(AM49=15,J49,0)</f>
        <v>0</v>
      </c>
      <c r="AK49" s="20">
        <f>IF(AM49=21,J49,0)</f>
        <v>0</v>
      </c>
      <c r="AM49" s="35">
        <v>21</v>
      </c>
      <c r="AN49" s="35">
        <f>G49*0.353475177304965</f>
        <v>0</v>
      </c>
      <c r="AO49" s="35">
        <f>G49*(1-0.353475177304965)</f>
        <v>0</v>
      </c>
      <c r="AP49" s="31" t="s">
        <v>7</v>
      </c>
      <c r="AU49" s="35">
        <f>AV49+AW49</f>
        <v>0</v>
      </c>
      <c r="AV49" s="35">
        <f>F49*AN49</f>
        <v>0</v>
      </c>
      <c r="AW49" s="35">
        <f>F49*AO49</f>
        <v>0</v>
      </c>
      <c r="AX49" s="36" t="s">
        <v>406</v>
      </c>
      <c r="AY49" s="36" t="s">
        <v>431</v>
      </c>
      <c r="AZ49" s="30" t="s">
        <v>438</v>
      </c>
      <c r="BB49" s="35">
        <f>AV49+AW49</f>
        <v>0</v>
      </c>
      <c r="BC49" s="35">
        <f>G49/(100-BD49)*100</f>
        <v>0</v>
      </c>
      <c r="BD49" s="35">
        <v>0</v>
      </c>
      <c r="BE49" s="35">
        <f>L49</f>
        <v>0.01512</v>
      </c>
      <c r="BG49" s="20">
        <f>F49*AN49</f>
        <v>0</v>
      </c>
      <c r="BH49" s="20">
        <f>F49*AO49</f>
        <v>0</v>
      </c>
      <c r="BI49" s="20">
        <f>F49*G49</f>
        <v>0</v>
      </c>
    </row>
    <row r="50" ht="12.75">
      <c r="D50" s="15" t="s">
        <v>210</v>
      </c>
    </row>
    <row r="51" spans="4:6" ht="12.75">
      <c r="D51" s="16" t="s">
        <v>211</v>
      </c>
      <c r="F51" s="21">
        <v>4</v>
      </c>
    </row>
    <row r="52" spans="1:61" ht="12.75">
      <c r="A52" s="4" t="s">
        <v>18</v>
      </c>
      <c r="B52" s="4"/>
      <c r="C52" s="4" t="s">
        <v>90</v>
      </c>
      <c r="D52" s="4" t="s">
        <v>212</v>
      </c>
      <c r="E52" s="4" t="s">
        <v>365</v>
      </c>
      <c r="F52" s="20">
        <v>4</v>
      </c>
      <c r="G52" s="20"/>
      <c r="H52" s="20">
        <f>F52*AN52</f>
        <v>0</v>
      </c>
      <c r="I52" s="20">
        <f>F52*AO52</f>
        <v>0</v>
      </c>
      <c r="J52" s="20">
        <f>F52*G52</f>
        <v>0</v>
      </c>
      <c r="K52" s="20">
        <v>0.01056</v>
      </c>
      <c r="L52" s="20">
        <f>F52*K52</f>
        <v>0.04224</v>
      </c>
      <c r="Y52" s="35">
        <f>IF(AP52="5",BI52,0)</f>
        <v>0</v>
      </c>
      <c r="AA52" s="35">
        <f>IF(AP52="1",BG52,0)</f>
        <v>0</v>
      </c>
      <c r="AB52" s="35">
        <f>IF(AP52="1",BH52,0)</f>
        <v>0</v>
      </c>
      <c r="AC52" s="35">
        <f>IF(AP52="7",BG52,0)</f>
        <v>0</v>
      </c>
      <c r="AD52" s="35">
        <f>IF(AP52="7",BH52,0)</f>
        <v>0</v>
      </c>
      <c r="AE52" s="35">
        <f>IF(AP52="2",BG52,0)</f>
        <v>0</v>
      </c>
      <c r="AF52" s="35">
        <f>IF(AP52="2",BH52,0)</f>
        <v>0</v>
      </c>
      <c r="AG52" s="35">
        <f>IF(AP52="0",BI52,0)</f>
        <v>0</v>
      </c>
      <c r="AH52" s="30"/>
      <c r="AI52" s="20">
        <f>IF(AM52=0,J52,0)</f>
        <v>0</v>
      </c>
      <c r="AJ52" s="20">
        <f>IF(AM52=15,J52,0)</f>
        <v>0</v>
      </c>
      <c r="AK52" s="20">
        <f>IF(AM52=21,J52,0)</f>
        <v>0</v>
      </c>
      <c r="AM52" s="35">
        <v>21</v>
      </c>
      <c r="AN52" s="35">
        <f>G52*0.859451728247914</f>
        <v>0</v>
      </c>
      <c r="AO52" s="35">
        <f>G52*(1-0.859451728247914)</f>
        <v>0</v>
      </c>
      <c r="AP52" s="31" t="s">
        <v>7</v>
      </c>
      <c r="AU52" s="35">
        <f>AV52+AW52</f>
        <v>0</v>
      </c>
      <c r="AV52" s="35">
        <f>F52*AN52</f>
        <v>0</v>
      </c>
      <c r="AW52" s="35">
        <f>F52*AO52</f>
        <v>0</v>
      </c>
      <c r="AX52" s="36" t="s">
        <v>406</v>
      </c>
      <c r="AY52" s="36" t="s">
        <v>431</v>
      </c>
      <c r="AZ52" s="30" t="s">
        <v>438</v>
      </c>
      <c r="BB52" s="35">
        <f>AV52+AW52</f>
        <v>0</v>
      </c>
      <c r="BC52" s="35">
        <f>G52/(100-BD52)*100</f>
        <v>0</v>
      </c>
      <c r="BD52" s="35">
        <v>0</v>
      </c>
      <c r="BE52" s="35">
        <f>L52</f>
        <v>0.04224</v>
      </c>
      <c r="BG52" s="20">
        <f>F52*AN52</f>
        <v>0</v>
      </c>
      <c r="BH52" s="20">
        <f>F52*AO52</f>
        <v>0</v>
      </c>
      <c r="BI52" s="20">
        <f>F52*G52</f>
        <v>0</v>
      </c>
    </row>
    <row r="53" ht="12.75">
      <c r="D53" s="15" t="s">
        <v>213</v>
      </c>
    </row>
    <row r="54" spans="4:6" ht="12.75">
      <c r="D54" s="16" t="s">
        <v>214</v>
      </c>
      <c r="F54" s="21">
        <v>4</v>
      </c>
    </row>
    <row r="55" spans="1:46" ht="12.75">
      <c r="A55" s="5"/>
      <c r="B55" s="13"/>
      <c r="C55" s="13" t="s">
        <v>91</v>
      </c>
      <c r="D55" s="13" t="s">
        <v>215</v>
      </c>
      <c r="E55" s="5" t="s">
        <v>6</v>
      </c>
      <c r="F55" s="5" t="s">
        <v>6</v>
      </c>
      <c r="G55" s="5"/>
      <c r="H55" s="38">
        <f>SUM(H56:H67)</f>
        <v>0</v>
      </c>
      <c r="I55" s="38">
        <f>SUM(I56:I67)</f>
        <v>0</v>
      </c>
      <c r="J55" s="38">
        <f>SUM(J56:J67)</f>
        <v>0</v>
      </c>
      <c r="K55" s="30"/>
      <c r="L55" s="38">
        <f>SUM(L56:L67)</f>
        <v>0.338818</v>
      </c>
      <c r="AH55" s="30"/>
      <c r="AR55" s="38">
        <f>SUM(AI56:AI67)</f>
        <v>0</v>
      </c>
      <c r="AS55" s="38">
        <f>SUM(AJ56:AJ67)</f>
        <v>0</v>
      </c>
      <c r="AT55" s="38">
        <f>SUM(AK56:AK67)</f>
        <v>0</v>
      </c>
    </row>
    <row r="56" spans="1:61" ht="12.75">
      <c r="A56" s="4" t="s">
        <v>19</v>
      </c>
      <c r="B56" s="4"/>
      <c r="C56" s="4" t="s">
        <v>92</v>
      </c>
      <c r="D56" s="4" t="s">
        <v>216</v>
      </c>
      <c r="E56" s="4" t="s">
        <v>365</v>
      </c>
      <c r="F56" s="20">
        <v>3.7</v>
      </c>
      <c r="G56" s="20"/>
      <c r="H56" s="20">
        <f>F56*AN56</f>
        <v>0</v>
      </c>
      <c r="I56" s="20">
        <f>F56*AO56</f>
        <v>0</v>
      </c>
      <c r="J56" s="20">
        <f>F56*G56</f>
        <v>0</v>
      </c>
      <c r="K56" s="20">
        <v>0.00974</v>
      </c>
      <c r="L56" s="20">
        <f>F56*K56</f>
        <v>0.036038</v>
      </c>
      <c r="Y56" s="35">
        <f>IF(AP56="5",BI56,0)</f>
        <v>0</v>
      </c>
      <c r="AA56" s="35">
        <f>IF(AP56="1",BG56,0)</f>
        <v>0</v>
      </c>
      <c r="AB56" s="35">
        <f>IF(AP56="1",BH56,0)</f>
        <v>0</v>
      </c>
      <c r="AC56" s="35">
        <f>IF(AP56="7",BG56,0)</f>
        <v>0</v>
      </c>
      <c r="AD56" s="35">
        <f>IF(AP56="7",BH56,0)</f>
        <v>0</v>
      </c>
      <c r="AE56" s="35">
        <f>IF(AP56="2",BG56,0)</f>
        <v>0</v>
      </c>
      <c r="AF56" s="35">
        <f>IF(AP56="2",BH56,0)</f>
        <v>0</v>
      </c>
      <c r="AG56" s="35">
        <f>IF(AP56="0",BI56,0)</f>
        <v>0</v>
      </c>
      <c r="AH56" s="30"/>
      <c r="AI56" s="20">
        <f>IF(AM56=0,J56,0)</f>
        <v>0</v>
      </c>
      <c r="AJ56" s="20">
        <f>IF(AM56=15,J56,0)</f>
        <v>0</v>
      </c>
      <c r="AK56" s="20">
        <f>IF(AM56=21,J56,0)</f>
        <v>0</v>
      </c>
      <c r="AM56" s="35">
        <v>21</v>
      </c>
      <c r="AN56" s="35">
        <f>G56*0</f>
        <v>0</v>
      </c>
      <c r="AO56" s="35">
        <f>G56*(1-0)</f>
        <v>0</v>
      </c>
      <c r="AP56" s="31" t="s">
        <v>13</v>
      </c>
      <c r="AU56" s="35">
        <f>AV56+AW56</f>
        <v>0</v>
      </c>
      <c r="AV56" s="35">
        <f>F56*AN56</f>
        <v>0</v>
      </c>
      <c r="AW56" s="35">
        <f>F56*AO56</f>
        <v>0</v>
      </c>
      <c r="AX56" s="36" t="s">
        <v>407</v>
      </c>
      <c r="AY56" s="36" t="s">
        <v>432</v>
      </c>
      <c r="AZ56" s="30" t="s">
        <v>438</v>
      </c>
      <c r="BB56" s="35">
        <f>AV56+AW56</f>
        <v>0</v>
      </c>
      <c r="BC56" s="35">
        <f>G56/(100-BD56)*100</f>
        <v>0</v>
      </c>
      <c r="BD56" s="35">
        <v>0</v>
      </c>
      <c r="BE56" s="35">
        <f>L56</f>
        <v>0.036038</v>
      </c>
      <c r="BG56" s="20">
        <f>F56*AN56</f>
        <v>0</v>
      </c>
      <c r="BH56" s="20">
        <f>F56*AO56</f>
        <v>0</v>
      </c>
      <c r="BI56" s="20">
        <f>F56*G56</f>
        <v>0</v>
      </c>
    </row>
    <row r="57" ht="12.75">
      <c r="D57" s="15" t="s">
        <v>217</v>
      </c>
    </row>
    <row r="58" spans="4:6" ht="12.75">
      <c r="D58" s="16" t="s">
        <v>218</v>
      </c>
      <c r="F58" s="21">
        <v>3.7</v>
      </c>
    </row>
    <row r="59" spans="1:61" ht="12.75">
      <c r="A59" s="4" t="s">
        <v>20</v>
      </c>
      <c r="B59" s="4"/>
      <c r="C59" s="4" t="s">
        <v>93</v>
      </c>
      <c r="D59" s="4" t="s">
        <v>219</v>
      </c>
      <c r="E59" s="4" t="s">
        <v>365</v>
      </c>
      <c r="F59" s="20">
        <v>6</v>
      </c>
      <c r="G59" s="20"/>
      <c r="H59" s="20">
        <f>F59*AN59</f>
        <v>0</v>
      </c>
      <c r="I59" s="20">
        <f>F59*AO59</f>
        <v>0</v>
      </c>
      <c r="J59" s="20">
        <f>F59*G59</f>
        <v>0</v>
      </c>
      <c r="K59" s="20">
        <v>0.00323</v>
      </c>
      <c r="L59" s="20">
        <f>F59*K59</f>
        <v>0.019379999999999998</v>
      </c>
      <c r="Y59" s="35">
        <f>IF(AP59="5",BI59,0)</f>
        <v>0</v>
      </c>
      <c r="AA59" s="35">
        <f>IF(AP59="1",BG59,0)</f>
        <v>0</v>
      </c>
      <c r="AB59" s="35">
        <f>IF(AP59="1",BH59,0)</f>
        <v>0</v>
      </c>
      <c r="AC59" s="35">
        <f>IF(AP59="7",BG59,0)</f>
        <v>0</v>
      </c>
      <c r="AD59" s="35">
        <f>IF(AP59="7",BH59,0)</f>
        <v>0</v>
      </c>
      <c r="AE59" s="35">
        <f>IF(AP59="2",BG59,0)</f>
        <v>0</v>
      </c>
      <c r="AF59" s="35">
        <f>IF(AP59="2",BH59,0)</f>
        <v>0</v>
      </c>
      <c r="AG59" s="35">
        <f>IF(AP59="0",BI59,0)</f>
        <v>0</v>
      </c>
      <c r="AH59" s="30"/>
      <c r="AI59" s="20">
        <f>IF(AM59=0,J59,0)</f>
        <v>0</v>
      </c>
      <c r="AJ59" s="20">
        <f>IF(AM59=15,J59,0)</f>
        <v>0</v>
      </c>
      <c r="AK59" s="20">
        <f>IF(AM59=21,J59,0)</f>
        <v>0</v>
      </c>
      <c r="AM59" s="35">
        <v>21</v>
      </c>
      <c r="AN59" s="35">
        <f>G59*0.553025830258303</f>
        <v>0</v>
      </c>
      <c r="AO59" s="35">
        <f>G59*(1-0.553025830258303)</f>
        <v>0</v>
      </c>
      <c r="AP59" s="31" t="s">
        <v>13</v>
      </c>
      <c r="AU59" s="35">
        <f>AV59+AW59</f>
        <v>0</v>
      </c>
      <c r="AV59" s="35">
        <f>F59*AN59</f>
        <v>0</v>
      </c>
      <c r="AW59" s="35">
        <f>F59*AO59</f>
        <v>0</v>
      </c>
      <c r="AX59" s="36" t="s">
        <v>407</v>
      </c>
      <c r="AY59" s="36" t="s">
        <v>432</v>
      </c>
      <c r="AZ59" s="30" t="s">
        <v>438</v>
      </c>
      <c r="BB59" s="35">
        <f>AV59+AW59</f>
        <v>0</v>
      </c>
      <c r="BC59" s="35">
        <f>G59/(100-BD59)*100</f>
        <v>0</v>
      </c>
      <c r="BD59" s="35">
        <v>0</v>
      </c>
      <c r="BE59" s="35">
        <f>L59</f>
        <v>0.019379999999999998</v>
      </c>
      <c r="BG59" s="20">
        <f>F59*AN59</f>
        <v>0</v>
      </c>
      <c r="BH59" s="20">
        <f>F59*AO59</f>
        <v>0</v>
      </c>
      <c r="BI59" s="20">
        <f>F59*G59</f>
        <v>0</v>
      </c>
    </row>
    <row r="60" ht="12.75">
      <c r="D60" s="15" t="s">
        <v>220</v>
      </c>
    </row>
    <row r="61" spans="4:6" ht="12.75">
      <c r="D61" s="16" t="s">
        <v>221</v>
      </c>
      <c r="F61" s="21">
        <v>6</v>
      </c>
    </row>
    <row r="62" spans="1:61" ht="12.75">
      <c r="A62" s="4" t="s">
        <v>21</v>
      </c>
      <c r="B62" s="4"/>
      <c r="C62" s="4" t="s">
        <v>94</v>
      </c>
      <c r="D62" s="4" t="s">
        <v>222</v>
      </c>
      <c r="E62" s="4" t="s">
        <v>367</v>
      </c>
      <c r="F62" s="20">
        <v>50</v>
      </c>
      <c r="G62" s="20"/>
      <c r="H62" s="20">
        <f>F62*AN62</f>
        <v>0</v>
      </c>
      <c r="I62" s="20">
        <f>F62*AO62</f>
        <v>0</v>
      </c>
      <c r="J62" s="20">
        <f>F62*G62</f>
        <v>0</v>
      </c>
      <c r="K62" s="20">
        <v>0.00032</v>
      </c>
      <c r="L62" s="20">
        <f>F62*K62</f>
        <v>0.016</v>
      </c>
      <c r="Y62" s="35">
        <f>IF(AP62="5",BI62,0)</f>
        <v>0</v>
      </c>
      <c r="AA62" s="35">
        <f>IF(AP62="1",BG62,0)</f>
        <v>0</v>
      </c>
      <c r="AB62" s="35">
        <f>IF(AP62="1",BH62,0)</f>
        <v>0</v>
      </c>
      <c r="AC62" s="35">
        <f>IF(AP62="7",BG62,0)</f>
        <v>0</v>
      </c>
      <c r="AD62" s="35">
        <f>IF(AP62="7",BH62,0)</f>
        <v>0</v>
      </c>
      <c r="AE62" s="35">
        <f>IF(AP62="2",BG62,0)</f>
        <v>0</v>
      </c>
      <c r="AF62" s="35">
        <f>IF(AP62="2",BH62,0)</f>
        <v>0</v>
      </c>
      <c r="AG62" s="35">
        <f>IF(AP62="0",BI62,0)</f>
        <v>0</v>
      </c>
      <c r="AH62" s="30"/>
      <c r="AI62" s="20">
        <f>IF(AM62=0,J62,0)</f>
        <v>0</v>
      </c>
      <c r="AJ62" s="20">
        <f>IF(AM62=15,J62,0)</f>
        <v>0</v>
      </c>
      <c r="AK62" s="20">
        <f>IF(AM62=21,J62,0)</f>
        <v>0</v>
      </c>
      <c r="AM62" s="35">
        <v>21</v>
      </c>
      <c r="AN62" s="35">
        <f>G62*0.614239130434783</f>
        <v>0</v>
      </c>
      <c r="AO62" s="35">
        <f>G62*(1-0.614239130434783)</f>
        <v>0</v>
      </c>
      <c r="AP62" s="31" t="s">
        <v>13</v>
      </c>
      <c r="AU62" s="35">
        <f>AV62+AW62</f>
        <v>0</v>
      </c>
      <c r="AV62" s="35">
        <f>F62*AN62</f>
        <v>0</v>
      </c>
      <c r="AW62" s="35">
        <f>F62*AO62</f>
        <v>0</v>
      </c>
      <c r="AX62" s="36" t="s">
        <v>407</v>
      </c>
      <c r="AY62" s="36" t="s">
        <v>432</v>
      </c>
      <c r="AZ62" s="30" t="s">
        <v>438</v>
      </c>
      <c r="BB62" s="35">
        <f>AV62+AW62</f>
        <v>0</v>
      </c>
      <c r="BC62" s="35">
        <f>G62/(100-BD62)*100</f>
        <v>0</v>
      </c>
      <c r="BD62" s="35">
        <v>0</v>
      </c>
      <c r="BE62" s="35">
        <f>L62</f>
        <v>0.016</v>
      </c>
      <c r="BG62" s="20">
        <f>F62*AN62</f>
        <v>0</v>
      </c>
      <c r="BH62" s="20">
        <f>F62*AO62</f>
        <v>0</v>
      </c>
      <c r="BI62" s="20">
        <f>F62*G62</f>
        <v>0</v>
      </c>
    </row>
    <row r="63" spans="4:6" ht="12.75">
      <c r="D63" s="16" t="s">
        <v>223</v>
      </c>
      <c r="F63" s="21">
        <v>50</v>
      </c>
    </row>
    <row r="64" spans="1:61" ht="12.75">
      <c r="A64" s="4" t="s">
        <v>22</v>
      </c>
      <c r="B64" s="4"/>
      <c r="C64" s="4" t="s">
        <v>95</v>
      </c>
      <c r="D64" s="4" t="s">
        <v>224</v>
      </c>
      <c r="E64" s="4" t="s">
        <v>365</v>
      </c>
      <c r="F64" s="20">
        <v>70</v>
      </c>
      <c r="G64" s="20"/>
      <c r="H64" s="20">
        <f>F64*AN64</f>
        <v>0</v>
      </c>
      <c r="I64" s="20">
        <f>F64*AO64</f>
        <v>0</v>
      </c>
      <c r="J64" s="20">
        <f>F64*G64</f>
        <v>0</v>
      </c>
      <c r="K64" s="20">
        <v>0.00382</v>
      </c>
      <c r="L64" s="20">
        <f>F64*K64</f>
        <v>0.2674</v>
      </c>
      <c r="Y64" s="35">
        <f>IF(AP64="5",BI64,0)</f>
        <v>0</v>
      </c>
      <c r="AA64" s="35">
        <f>IF(AP64="1",BG64,0)</f>
        <v>0</v>
      </c>
      <c r="AB64" s="35">
        <f>IF(AP64="1",BH64,0)</f>
        <v>0</v>
      </c>
      <c r="AC64" s="35">
        <f>IF(AP64="7",BG64,0)</f>
        <v>0</v>
      </c>
      <c r="AD64" s="35">
        <f>IF(AP64="7",BH64,0)</f>
        <v>0</v>
      </c>
      <c r="AE64" s="35">
        <f>IF(AP64="2",BG64,0)</f>
        <v>0</v>
      </c>
      <c r="AF64" s="35">
        <f>IF(AP64="2",BH64,0)</f>
        <v>0</v>
      </c>
      <c r="AG64" s="35">
        <f>IF(AP64="0",BI64,0)</f>
        <v>0</v>
      </c>
      <c r="AH64" s="30"/>
      <c r="AI64" s="20">
        <f>IF(AM64=0,J64,0)</f>
        <v>0</v>
      </c>
      <c r="AJ64" s="20">
        <f>IF(AM64=15,J64,0)</f>
        <v>0</v>
      </c>
      <c r="AK64" s="20">
        <f>IF(AM64=21,J64,0)</f>
        <v>0</v>
      </c>
      <c r="AM64" s="35">
        <v>21</v>
      </c>
      <c r="AN64" s="35">
        <f>G64*0.249132420091324</f>
        <v>0</v>
      </c>
      <c r="AO64" s="35">
        <f>G64*(1-0.249132420091324)</f>
        <v>0</v>
      </c>
      <c r="AP64" s="31" t="s">
        <v>13</v>
      </c>
      <c r="AU64" s="35">
        <f>AV64+AW64</f>
        <v>0</v>
      </c>
      <c r="AV64" s="35">
        <f>F64*AN64</f>
        <v>0</v>
      </c>
      <c r="AW64" s="35">
        <f>F64*AO64</f>
        <v>0</v>
      </c>
      <c r="AX64" s="36" t="s">
        <v>407</v>
      </c>
      <c r="AY64" s="36" t="s">
        <v>432</v>
      </c>
      <c r="AZ64" s="30" t="s">
        <v>438</v>
      </c>
      <c r="BB64" s="35">
        <f>AV64+AW64</f>
        <v>0</v>
      </c>
      <c r="BC64" s="35">
        <f>G64/(100-BD64)*100</f>
        <v>0</v>
      </c>
      <c r="BD64" s="35">
        <v>0</v>
      </c>
      <c r="BE64" s="35">
        <f>L64</f>
        <v>0.2674</v>
      </c>
      <c r="BG64" s="20">
        <f>F64*AN64</f>
        <v>0</v>
      </c>
      <c r="BH64" s="20">
        <f>F64*AO64</f>
        <v>0</v>
      </c>
      <c r="BI64" s="20">
        <f>F64*G64</f>
        <v>0</v>
      </c>
    </row>
    <row r="65" ht="25.5">
      <c r="D65" s="15" t="s">
        <v>225</v>
      </c>
    </row>
    <row r="66" spans="4:6" ht="12.75">
      <c r="D66" s="16" t="s">
        <v>226</v>
      </c>
      <c r="F66" s="21">
        <v>70</v>
      </c>
    </row>
    <row r="67" spans="1:61" ht="12.75">
      <c r="A67" s="4" t="s">
        <v>23</v>
      </c>
      <c r="B67" s="4"/>
      <c r="C67" s="4" t="s">
        <v>96</v>
      </c>
      <c r="D67" s="4" t="s">
        <v>227</v>
      </c>
      <c r="E67" s="4" t="s">
        <v>368</v>
      </c>
      <c r="F67" s="20">
        <v>0.3388</v>
      </c>
      <c r="G67" s="20"/>
      <c r="H67" s="20">
        <f>F67*AN67</f>
        <v>0</v>
      </c>
      <c r="I67" s="20">
        <f>F67*AO67</f>
        <v>0</v>
      </c>
      <c r="J67" s="20">
        <f>F67*G67</f>
        <v>0</v>
      </c>
      <c r="K67" s="20">
        <v>0</v>
      </c>
      <c r="L67" s="20">
        <f>F67*K67</f>
        <v>0</v>
      </c>
      <c r="Y67" s="35">
        <f>IF(AP67="5",BI67,0)</f>
        <v>0</v>
      </c>
      <c r="AA67" s="35">
        <f>IF(AP67="1",BG67,0)</f>
        <v>0</v>
      </c>
      <c r="AB67" s="35">
        <f>IF(AP67="1",BH67,0)</f>
        <v>0</v>
      </c>
      <c r="AC67" s="35">
        <f>IF(AP67="7",BG67,0)</f>
        <v>0</v>
      </c>
      <c r="AD67" s="35">
        <f>IF(AP67="7",BH67,0)</f>
        <v>0</v>
      </c>
      <c r="AE67" s="35">
        <f>IF(AP67="2",BG67,0)</f>
        <v>0</v>
      </c>
      <c r="AF67" s="35">
        <f>IF(AP67="2",BH67,0)</f>
        <v>0</v>
      </c>
      <c r="AG67" s="35">
        <f>IF(AP67="0",BI67,0)</f>
        <v>0</v>
      </c>
      <c r="AH67" s="30"/>
      <c r="AI67" s="20">
        <f>IF(AM67=0,J67,0)</f>
        <v>0</v>
      </c>
      <c r="AJ67" s="20">
        <f>IF(AM67=15,J67,0)</f>
        <v>0</v>
      </c>
      <c r="AK67" s="20">
        <f>IF(AM67=21,J67,0)</f>
        <v>0</v>
      </c>
      <c r="AM67" s="35">
        <v>21</v>
      </c>
      <c r="AN67" s="35">
        <f>G67*0</f>
        <v>0</v>
      </c>
      <c r="AO67" s="35">
        <f>G67*(1-0)</f>
        <v>0</v>
      </c>
      <c r="AP67" s="31" t="s">
        <v>11</v>
      </c>
      <c r="AU67" s="35">
        <f>AV67+AW67</f>
        <v>0</v>
      </c>
      <c r="AV67" s="35">
        <f>F67*AN67</f>
        <v>0</v>
      </c>
      <c r="AW67" s="35">
        <f>F67*AO67</f>
        <v>0</v>
      </c>
      <c r="AX67" s="36" t="s">
        <v>407</v>
      </c>
      <c r="AY67" s="36" t="s">
        <v>432</v>
      </c>
      <c r="AZ67" s="30" t="s">
        <v>438</v>
      </c>
      <c r="BB67" s="35">
        <f>AV67+AW67</f>
        <v>0</v>
      </c>
      <c r="BC67" s="35">
        <f>G67/(100-BD67)*100</f>
        <v>0</v>
      </c>
      <c r="BD67" s="35">
        <v>0</v>
      </c>
      <c r="BE67" s="35">
        <f>L67</f>
        <v>0</v>
      </c>
      <c r="BG67" s="20">
        <f>F67*AN67</f>
        <v>0</v>
      </c>
      <c r="BH67" s="20">
        <f>F67*AO67</f>
        <v>0</v>
      </c>
      <c r="BI67" s="20">
        <f>F67*G67</f>
        <v>0</v>
      </c>
    </row>
    <row r="68" spans="4:6" ht="12.75">
      <c r="D68" s="16" t="s">
        <v>228</v>
      </c>
      <c r="F68" s="21">
        <v>0.3388</v>
      </c>
    </row>
    <row r="69" spans="1:46" ht="12.75">
      <c r="A69" s="5"/>
      <c r="B69" s="13"/>
      <c r="C69" s="13" t="s">
        <v>97</v>
      </c>
      <c r="D69" s="13" t="s">
        <v>229</v>
      </c>
      <c r="E69" s="5" t="s">
        <v>6</v>
      </c>
      <c r="F69" s="5" t="s">
        <v>6</v>
      </c>
      <c r="G69" s="5"/>
      <c r="H69" s="38">
        <f>SUM(H70:H75)</f>
        <v>0</v>
      </c>
      <c r="I69" s="38">
        <f>SUM(I70:I75)</f>
        <v>0</v>
      </c>
      <c r="J69" s="38">
        <f>SUM(J70:J75)</f>
        <v>0</v>
      </c>
      <c r="K69" s="30"/>
      <c r="L69" s="38">
        <f>SUM(L70:L75)</f>
        <v>0.2178176</v>
      </c>
      <c r="AH69" s="30"/>
      <c r="AR69" s="38">
        <f>SUM(AI70:AI75)</f>
        <v>0</v>
      </c>
      <c r="AS69" s="38">
        <f>SUM(AJ70:AJ75)</f>
        <v>0</v>
      </c>
      <c r="AT69" s="38">
        <f>SUM(AK70:AK75)</f>
        <v>0</v>
      </c>
    </row>
    <row r="70" spans="1:61" ht="12.75">
      <c r="A70" s="4" t="s">
        <v>24</v>
      </c>
      <c r="B70" s="4"/>
      <c r="C70" s="4" t="s">
        <v>98</v>
      </c>
      <c r="D70" s="4" t="s">
        <v>230</v>
      </c>
      <c r="E70" s="4" t="s">
        <v>365</v>
      </c>
      <c r="F70" s="20">
        <v>32.032</v>
      </c>
      <c r="G70" s="20"/>
      <c r="H70" s="20">
        <f>F70*AN70</f>
        <v>0</v>
      </c>
      <c r="I70" s="20">
        <f>F70*AO70</f>
        <v>0</v>
      </c>
      <c r="J70" s="20">
        <f>F70*G70</f>
        <v>0</v>
      </c>
      <c r="K70" s="20">
        <v>0.0053</v>
      </c>
      <c r="L70" s="20">
        <f>F70*K70</f>
        <v>0.1697696</v>
      </c>
      <c r="Y70" s="35">
        <f>IF(AP70="5",BI70,0)</f>
        <v>0</v>
      </c>
      <c r="AA70" s="35">
        <f>IF(AP70="1",BG70,0)</f>
        <v>0</v>
      </c>
      <c r="AB70" s="35">
        <f>IF(AP70="1",BH70,0)</f>
        <v>0</v>
      </c>
      <c r="AC70" s="35">
        <f>IF(AP70="7",BG70,0)</f>
        <v>0</v>
      </c>
      <c r="AD70" s="35">
        <f>IF(AP70="7",BH70,0)</f>
        <v>0</v>
      </c>
      <c r="AE70" s="35">
        <f>IF(AP70="2",BG70,0)</f>
        <v>0</v>
      </c>
      <c r="AF70" s="35">
        <f>IF(AP70="2",BH70,0)</f>
        <v>0</v>
      </c>
      <c r="AG70" s="35">
        <f>IF(AP70="0",BI70,0)</f>
        <v>0</v>
      </c>
      <c r="AH70" s="30"/>
      <c r="AI70" s="20">
        <f>IF(AM70=0,J70,0)</f>
        <v>0</v>
      </c>
      <c r="AJ70" s="20">
        <f>IF(AM70=15,J70,0)</f>
        <v>0</v>
      </c>
      <c r="AK70" s="20">
        <f>IF(AM70=21,J70,0)</f>
        <v>0</v>
      </c>
      <c r="AM70" s="35">
        <v>21</v>
      </c>
      <c r="AN70" s="35">
        <f>G70*0.707258390110126</f>
        <v>0</v>
      </c>
      <c r="AO70" s="35">
        <f>G70*(1-0.707258390110126)</f>
        <v>0</v>
      </c>
      <c r="AP70" s="31" t="s">
        <v>13</v>
      </c>
      <c r="AU70" s="35">
        <f>AV70+AW70</f>
        <v>0</v>
      </c>
      <c r="AV70" s="35">
        <f>F70*AN70</f>
        <v>0</v>
      </c>
      <c r="AW70" s="35">
        <f>F70*AO70</f>
        <v>0</v>
      </c>
      <c r="AX70" s="36" t="s">
        <v>408</v>
      </c>
      <c r="AY70" s="36" t="s">
        <v>432</v>
      </c>
      <c r="AZ70" s="30" t="s">
        <v>438</v>
      </c>
      <c r="BB70" s="35">
        <f>AV70+AW70</f>
        <v>0</v>
      </c>
      <c r="BC70" s="35">
        <f>G70/(100-BD70)*100</f>
        <v>0</v>
      </c>
      <c r="BD70" s="35">
        <v>0</v>
      </c>
      <c r="BE70" s="35">
        <f>L70</f>
        <v>0.1697696</v>
      </c>
      <c r="BG70" s="20">
        <f>F70*AN70</f>
        <v>0</v>
      </c>
      <c r="BH70" s="20">
        <f>F70*AO70</f>
        <v>0</v>
      </c>
      <c r="BI70" s="20">
        <f>F70*G70</f>
        <v>0</v>
      </c>
    </row>
    <row r="71" ht="12.75">
      <c r="D71" s="15" t="s">
        <v>231</v>
      </c>
    </row>
    <row r="72" spans="4:6" ht="12.75">
      <c r="D72" s="16" t="s">
        <v>232</v>
      </c>
      <c r="F72" s="21">
        <v>32.032</v>
      </c>
    </row>
    <row r="73" spans="1:61" ht="12.75">
      <c r="A73" s="4" t="s">
        <v>25</v>
      </c>
      <c r="B73" s="4"/>
      <c r="C73" s="4" t="s">
        <v>99</v>
      </c>
      <c r="D73" s="4" t="s">
        <v>233</v>
      </c>
      <c r="E73" s="4" t="s">
        <v>365</v>
      </c>
      <c r="F73" s="20">
        <v>32.032</v>
      </c>
      <c r="G73" s="20"/>
      <c r="H73" s="20">
        <f>F73*AN73</f>
        <v>0</v>
      </c>
      <c r="I73" s="20">
        <f>F73*AO73</f>
        <v>0</v>
      </c>
      <c r="J73" s="20">
        <f>F73*G73</f>
        <v>0</v>
      </c>
      <c r="K73" s="20">
        <v>0.0015</v>
      </c>
      <c r="L73" s="20">
        <f>F73*K73</f>
        <v>0.048047999999999993</v>
      </c>
      <c r="Y73" s="35">
        <f>IF(AP73="5",BI73,0)</f>
        <v>0</v>
      </c>
      <c r="AA73" s="35">
        <f>IF(AP73="1",BG73,0)</f>
        <v>0</v>
      </c>
      <c r="AB73" s="35">
        <f>IF(AP73="1",BH73,0)</f>
        <v>0</v>
      </c>
      <c r="AC73" s="35">
        <f>IF(AP73="7",BG73,0)</f>
        <v>0</v>
      </c>
      <c r="AD73" s="35">
        <f>IF(AP73="7",BH73,0)</f>
        <v>0</v>
      </c>
      <c r="AE73" s="35">
        <f>IF(AP73="2",BG73,0)</f>
        <v>0</v>
      </c>
      <c r="AF73" s="35">
        <f>IF(AP73="2",BH73,0)</f>
        <v>0</v>
      </c>
      <c r="AG73" s="35">
        <f>IF(AP73="0",BI73,0)</f>
        <v>0</v>
      </c>
      <c r="AH73" s="30"/>
      <c r="AI73" s="20">
        <f>IF(AM73=0,J73,0)</f>
        <v>0</v>
      </c>
      <c r="AJ73" s="20">
        <f>IF(AM73=15,J73,0)</f>
        <v>0</v>
      </c>
      <c r="AK73" s="20">
        <f>IF(AM73=21,J73,0)</f>
        <v>0</v>
      </c>
      <c r="AM73" s="35">
        <v>21</v>
      </c>
      <c r="AN73" s="35">
        <f>G73*0.71661948914738</f>
        <v>0</v>
      </c>
      <c r="AO73" s="35">
        <f>G73*(1-0.71661948914738)</f>
        <v>0</v>
      </c>
      <c r="AP73" s="31" t="s">
        <v>13</v>
      </c>
      <c r="AU73" s="35">
        <f>AV73+AW73</f>
        <v>0</v>
      </c>
      <c r="AV73" s="35">
        <f>F73*AN73</f>
        <v>0</v>
      </c>
      <c r="AW73" s="35">
        <f>F73*AO73</f>
        <v>0</v>
      </c>
      <c r="AX73" s="36" t="s">
        <v>408</v>
      </c>
      <c r="AY73" s="36" t="s">
        <v>432</v>
      </c>
      <c r="AZ73" s="30" t="s">
        <v>438</v>
      </c>
      <c r="BB73" s="35">
        <f>AV73+AW73</f>
        <v>0</v>
      </c>
      <c r="BC73" s="35">
        <f>G73/(100-BD73)*100</f>
        <v>0</v>
      </c>
      <c r="BD73" s="35">
        <v>0</v>
      </c>
      <c r="BE73" s="35">
        <f>L73</f>
        <v>0.048047999999999993</v>
      </c>
      <c r="BG73" s="20">
        <f>F73*AN73</f>
        <v>0</v>
      </c>
      <c r="BH73" s="20">
        <f>F73*AO73</f>
        <v>0</v>
      </c>
      <c r="BI73" s="20">
        <f>F73*G73</f>
        <v>0</v>
      </c>
    </row>
    <row r="74" spans="4:6" ht="12.75">
      <c r="D74" s="16" t="s">
        <v>232</v>
      </c>
      <c r="F74" s="21">
        <v>32.032</v>
      </c>
    </row>
    <row r="75" spans="1:61" ht="12.75">
      <c r="A75" s="4" t="s">
        <v>26</v>
      </c>
      <c r="B75" s="4"/>
      <c r="C75" s="4" t="s">
        <v>100</v>
      </c>
      <c r="D75" s="4" t="s">
        <v>234</v>
      </c>
      <c r="E75" s="4" t="s">
        <v>368</v>
      </c>
      <c r="F75" s="20">
        <v>0.2178</v>
      </c>
      <c r="G75" s="20"/>
      <c r="H75" s="20">
        <f>F75*AN75</f>
        <v>0</v>
      </c>
      <c r="I75" s="20">
        <f>F75*AO75</f>
        <v>0</v>
      </c>
      <c r="J75" s="20">
        <f>F75*G75</f>
        <v>0</v>
      </c>
      <c r="K75" s="20">
        <v>0</v>
      </c>
      <c r="L75" s="20">
        <f>F75*K75</f>
        <v>0</v>
      </c>
      <c r="Y75" s="35">
        <f>IF(AP75="5",BI75,0)</f>
        <v>0</v>
      </c>
      <c r="AA75" s="35">
        <f>IF(AP75="1",BG75,0)</f>
        <v>0</v>
      </c>
      <c r="AB75" s="35">
        <f>IF(AP75="1",BH75,0)</f>
        <v>0</v>
      </c>
      <c r="AC75" s="35">
        <f>IF(AP75="7",BG75,0)</f>
        <v>0</v>
      </c>
      <c r="AD75" s="35">
        <f>IF(AP75="7",BH75,0)</f>
        <v>0</v>
      </c>
      <c r="AE75" s="35">
        <f>IF(AP75="2",BG75,0)</f>
        <v>0</v>
      </c>
      <c r="AF75" s="35">
        <f>IF(AP75="2",BH75,0)</f>
        <v>0</v>
      </c>
      <c r="AG75" s="35">
        <f>IF(AP75="0",BI75,0)</f>
        <v>0</v>
      </c>
      <c r="AH75" s="30"/>
      <c r="AI75" s="20">
        <f>IF(AM75=0,J75,0)</f>
        <v>0</v>
      </c>
      <c r="AJ75" s="20">
        <f>IF(AM75=15,J75,0)</f>
        <v>0</v>
      </c>
      <c r="AK75" s="20">
        <f>IF(AM75=21,J75,0)</f>
        <v>0</v>
      </c>
      <c r="AM75" s="35">
        <v>21</v>
      </c>
      <c r="AN75" s="35">
        <f>G75*0</f>
        <v>0</v>
      </c>
      <c r="AO75" s="35">
        <f>G75*(1-0)</f>
        <v>0</v>
      </c>
      <c r="AP75" s="31" t="s">
        <v>11</v>
      </c>
      <c r="AU75" s="35">
        <f>AV75+AW75</f>
        <v>0</v>
      </c>
      <c r="AV75" s="35">
        <f>F75*AN75</f>
        <v>0</v>
      </c>
      <c r="AW75" s="35">
        <f>F75*AO75</f>
        <v>0</v>
      </c>
      <c r="AX75" s="36" t="s">
        <v>408</v>
      </c>
      <c r="AY75" s="36" t="s">
        <v>432</v>
      </c>
      <c r="AZ75" s="30" t="s">
        <v>438</v>
      </c>
      <c r="BB75" s="35">
        <f>AV75+AW75</f>
        <v>0</v>
      </c>
      <c r="BC75" s="35">
        <f>G75/(100-BD75)*100</f>
        <v>0</v>
      </c>
      <c r="BD75" s="35">
        <v>0</v>
      </c>
      <c r="BE75" s="35">
        <f>L75</f>
        <v>0</v>
      </c>
      <c r="BG75" s="20">
        <f>F75*AN75</f>
        <v>0</v>
      </c>
      <c r="BH75" s="20">
        <f>F75*AO75</f>
        <v>0</v>
      </c>
      <c r="BI75" s="20">
        <f>F75*G75</f>
        <v>0</v>
      </c>
    </row>
    <row r="76" spans="4:6" ht="12.75">
      <c r="D76" s="16" t="s">
        <v>235</v>
      </c>
      <c r="F76" s="21">
        <v>0.2178</v>
      </c>
    </row>
    <row r="77" spans="1:46" ht="12.75">
      <c r="A77" s="5"/>
      <c r="B77" s="13"/>
      <c r="C77" s="13" t="s">
        <v>101</v>
      </c>
      <c r="D77" s="13" t="s">
        <v>236</v>
      </c>
      <c r="E77" s="5" t="s">
        <v>6</v>
      </c>
      <c r="F77" s="5" t="s">
        <v>6</v>
      </c>
      <c r="G77" s="5"/>
      <c r="H77" s="38">
        <f>SUM(H78:H83)</f>
        <v>0</v>
      </c>
      <c r="I77" s="38">
        <f>SUM(I78:I83)</f>
        <v>0</v>
      </c>
      <c r="J77" s="38">
        <f>SUM(J78:J83)</f>
        <v>0</v>
      </c>
      <c r="K77" s="30"/>
      <c r="L77" s="38">
        <f>SUM(L78:L83)</f>
        <v>0.0033000000000000004</v>
      </c>
      <c r="AH77" s="30"/>
      <c r="AR77" s="38">
        <f>SUM(AI78:AI83)</f>
        <v>0</v>
      </c>
      <c r="AS77" s="38">
        <f>SUM(AJ78:AJ83)</f>
        <v>0</v>
      </c>
      <c r="AT77" s="38">
        <f>SUM(AK78:AK83)</f>
        <v>0</v>
      </c>
    </row>
    <row r="78" spans="1:61" ht="12.75">
      <c r="A78" s="4" t="s">
        <v>27</v>
      </c>
      <c r="B78" s="4"/>
      <c r="C78" s="4" t="s">
        <v>102</v>
      </c>
      <c r="D78" s="4" t="s">
        <v>237</v>
      </c>
      <c r="E78" s="4" t="s">
        <v>365</v>
      </c>
      <c r="F78" s="20">
        <v>4</v>
      </c>
      <c r="G78" s="20"/>
      <c r="H78" s="20">
        <f>F78*AN78</f>
        <v>0</v>
      </c>
      <c r="I78" s="20">
        <f>F78*AO78</f>
        <v>0</v>
      </c>
      <c r="J78" s="20">
        <f>F78*G78</f>
        <v>0</v>
      </c>
      <c r="K78" s="20">
        <v>0</v>
      </c>
      <c r="L78" s="20">
        <f>F78*K78</f>
        <v>0</v>
      </c>
      <c r="Y78" s="35">
        <f>IF(AP78="5",BI78,0)</f>
        <v>0</v>
      </c>
      <c r="AA78" s="35">
        <f>IF(AP78="1",BG78,0)</f>
        <v>0</v>
      </c>
      <c r="AB78" s="35">
        <f>IF(AP78="1",BH78,0)</f>
        <v>0</v>
      </c>
      <c r="AC78" s="35">
        <f>IF(AP78="7",BG78,0)</f>
        <v>0</v>
      </c>
      <c r="AD78" s="35">
        <f>IF(AP78="7",BH78,0)</f>
        <v>0</v>
      </c>
      <c r="AE78" s="35">
        <f>IF(AP78="2",BG78,0)</f>
        <v>0</v>
      </c>
      <c r="AF78" s="35">
        <f>IF(AP78="2",BH78,0)</f>
        <v>0</v>
      </c>
      <c r="AG78" s="35">
        <f>IF(AP78="0",BI78,0)</f>
        <v>0</v>
      </c>
      <c r="AH78" s="30"/>
      <c r="AI78" s="20">
        <f>IF(AM78=0,J78,0)</f>
        <v>0</v>
      </c>
      <c r="AJ78" s="20">
        <f>IF(AM78=15,J78,0)</f>
        <v>0</v>
      </c>
      <c r="AK78" s="20">
        <f>IF(AM78=21,J78,0)</f>
        <v>0</v>
      </c>
      <c r="AM78" s="35">
        <v>21</v>
      </c>
      <c r="AN78" s="35">
        <f>G78*0</f>
        <v>0</v>
      </c>
      <c r="AO78" s="35">
        <f>G78*(1-0)</f>
        <v>0</v>
      </c>
      <c r="AP78" s="31" t="s">
        <v>13</v>
      </c>
      <c r="AU78" s="35">
        <f>AV78+AW78</f>
        <v>0</v>
      </c>
      <c r="AV78" s="35">
        <f>F78*AN78</f>
        <v>0</v>
      </c>
      <c r="AW78" s="35">
        <f>F78*AO78</f>
        <v>0</v>
      </c>
      <c r="AX78" s="36" t="s">
        <v>409</v>
      </c>
      <c r="AY78" s="36" t="s">
        <v>432</v>
      </c>
      <c r="AZ78" s="30" t="s">
        <v>438</v>
      </c>
      <c r="BB78" s="35">
        <f>AV78+AW78</f>
        <v>0</v>
      </c>
      <c r="BC78" s="35">
        <f>G78/(100-BD78)*100</f>
        <v>0</v>
      </c>
      <c r="BD78" s="35">
        <v>0</v>
      </c>
      <c r="BE78" s="35">
        <f>L78</f>
        <v>0</v>
      </c>
      <c r="BG78" s="20">
        <f>F78*AN78</f>
        <v>0</v>
      </c>
      <c r="BH78" s="20">
        <f>F78*AO78</f>
        <v>0</v>
      </c>
      <c r="BI78" s="20">
        <f>F78*G78</f>
        <v>0</v>
      </c>
    </row>
    <row r="79" ht="12.75">
      <c r="D79" s="15" t="s">
        <v>238</v>
      </c>
    </row>
    <row r="80" spans="4:6" ht="12.75">
      <c r="D80" s="16" t="s">
        <v>211</v>
      </c>
      <c r="F80" s="21">
        <v>4</v>
      </c>
    </row>
    <row r="81" spans="1:61" ht="12.75">
      <c r="A81" s="6" t="s">
        <v>28</v>
      </c>
      <c r="B81" s="6"/>
      <c r="C81" s="6" t="s">
        <v>103</v>
      </c>
      <c r="D81" s="6" t="s">
        <v>239</v>
      </c>
      <c r="E81" s="6" t="s">
        <v>365</v>
      </c>
      <c r="F81" s="22">
        <v>4.4</v>
      </c>
      <c r="G81" s="22"/>
      <c r="H81" s="22">
        <f>F81*AN81</f>
        <v>0</v>
      </c>
      <c r="I81" s="22">
        <f>F81*AO81</f>
        <v>0</v>
      </c>
      <c r="J81" s="22">
        <f>F81*G81</f>
        <v>0</v>
      </c>
      <c r="K81" s="22">
        <v>0.00075</v>
      </c>
      <c r="L81" s="22">
        <f>F81*K81</f>
        <v>0.0033000000000000004</v>
      </c>
      <c r="Y81" s="35">
        <f>IF(AP81="5",BI81,0)</f>
        <v>0</v>
      </c>
      <c r="AA81" s="35">
        <f>IF(AP81="1",BG81,0)</f>
        <v>0</v>
      </c>
      <c r="AB81" s="35">
        <f>IF(AP81="1",BH81,0)</f>
        <v>0</v>
      </c>
      <c r="AC81" s="35">
        <f>IF(AP81="7",BG81,0)</f>
        <v>0</v>
      </c>
      <c r="AD81" s="35">
        <f>IF(AP81="7",BH81,0)</f>
        <v>0</v>
      </c>
      <c r="AE81" s="35">
        <f>IF(AP81="2",BG81,0)</f>
        <v>0</v>
      </c>
      <c r="AF81" s="35">
        <f>IF(AP81="2",BH81,0)</f>
        <v>0</v>
      </c>
      <c r="AG81" s="35">
        <f>IF(AP81="0",BI81,0)</f>
        <v>0</v>
      </c>
      <c r="AH81" s="30"/>
      <c r="AI81" s="22">
        <f>IF(AM81=0,J81,0)</f>
        <v>0</v>
      </c>
      <c r="AJ81" s="22">
        <f>IF(AM81=15,J81,0)</f>
        <v>0</v>
      </c>
      <c r="AK81" s="22">
        <f>IF(AM81=21,J81,0)</f>
        <v>0</v>
      </c>
      <c r="AM81" s="35">
        <v>21</v>
      </c>
      <c r="AN81" s="35">
        <f>G81*1</f>
        <v>0</v>
      </c>
      <c r="AO81" s="35">
        <f>G81*(1-1)</f>
        <v>0</v>
      </c>
      <c r="AP81" s="32" t="s">
        <v>13</v>
      </c>
      <c r="AU81" s="35">
        <f>AV81+AW81</f>
        <v>0</v>
      </c>
      <c r="AV81" s="35">
        <f>F81*AN81</f>
        <v>0</v>
      </c>
      <c r="AW81" s="35">
        <f>F81*AO81</f>
        <v>0</v>
      </c>
      <c r="AX81" s="36" t="s">
        <v>409</v>
      </c>
      <c r="AY81" s="36" t="s">
        <v>432</v>
      </c>
      <c r="AZ81" s="30" t="s">
        <v>438</v>
      </c>
      <c r="BB81" s="35">
        <f>AV81+AW81</f>
        <v>0</v>
      </c>
      <c r="BC81" s="35">
        <f>G81/(100-BD81)*100</f>
        <v>0</v>
      </c>
      <c r="BD81" s="35">
        <v>0</v>
      </c>
      <c r="BE81" s="35">
        <f>L81</f>
        <v>0.0033000000000000004</v>
      </c>
      <c r="BG81" s="22">
        <f>F81*AN81</f>
        <v>0</v>
      </c>
      <c r="BH81" s="22">
        <f>F81*AO81</f>
        <v>0</v>
      </c>
      <c r="BI81" s="22">
        <f>F81*G81</f>
        <v>0</v>
      </c>
    </row>
    <row r="82" spans="4:6" ht="12.75">
      <c r="D82" s="16" t="s">
        <v>240</v>
      </c>
      <c r="F82" s="21">
        <v>4.4</v>
      </c>
    </row>
    <row r="83" spans="1:61" ht="12.75">
      <c r="A83" s="4" t="s">
        <v>29</v>
      </c>
      <c r="B83" s="4"/>
      <c r="C83" s="4" t="s">
        <v>104</v>
      </c>
      <c r="D83" s="4" t="s">
        <v>241</v>
      </c>
      <c r="E83" s="4" t="s">
        <v>368</v>
      </c>
      <c r="F83" s="20">
        <v>0.033</v>
      </c>
      <c r="G83" s="20"/>
      <c r="H83" s="20">
        <f>F83*AN83</f>
        <v>0</v>
      </c>
      <c r="I83" s="20">
        <f>F83*AO83</f>
        <v>0</v>
      </c>
      <c r="J83" s="20">
        <f>F83*G83</f>
        <v>0</v>
      </c>
      <c r="K83" s="20">
        <v>0</v>
      </c>
      <c r="L83" s="20">
        <f>F83*K83</f>
        <v>0</v>
      </c>
      <c r="Y83" s="35">
        <f>IF(AP83="5",BI83,0)</f>
        <v>0</v>
      </c>
      <c r="AA83" s="35">
        <f>IF(AP83="1",BG83,0)</f>
        <v>0</v>
      </c>
      <c r="AB83" s="35">
        <f>IF(AP83="1",BH83,0)</f>
        <v>0</v>
      </c>
      <c r="AC83" s="35">
        <f>IF(AP83="7",BG83,0)</f>
        <v>0</v>
      </c>
      <c r="AD83" s="35">
        <f>IF(AP83="7",BH83,0)</f>
        <v>0</v>
      </c>
      <c r="AE83" s="35">
        <f>IF(AP83="2",BG83,0)</f>
        <v>0</v>
      </c>
      <c r="AF83" s="35">
        <f>IF(AP83="2",BH83,0)</f>
        <v>0</v>
      </c>
      <c r="AG83" s="35">
        <f>IF(AP83="0",BI83,0)</f>
        <v>0</v>
      </c>
      <c r="AH83" s="30"/>
      <c r="AI83" s="20">
        <f>IF(AM83=0,J83,0)</f>
        <v>0</v>
      </c>
      <c r="AJ83" s="20">
        <f>IF(AM83=15,J83,0)</f>
        <v>0</v>
      </c>
      <c r="AK83" s="20">
        <f>IF(AM83=21,J83,0)</f>
        <v>0</v>
      </c>
      <c r="AM83" s="35">
        <v>21</v>
      </c>
      <c r="AN83" s="35">
        <f>G83*0</f>
        <v>0</v>
      </c>
      <c r="AO83" s="35">
        <f>G83*(1-0)</f>
        <v>0</v>
      </c>
      <c r="AP83" s="31" t="s">
        <v>11</v>
      </c>
      <c r="AU83" s="35">
        <f>AV83+AW83</f>
        <v>0</v>
      </c>
      <c r="AV83" s="35">
        <f>F83*AN83</f>
        <v>0</v>
      </c>
      <c r="AW83" s="35">
        <f>F83*AO83</f>
        <v>0</v>
      </c>
      <c r="AX83" s="36" t="s">
        <v>409</v>
      </c>
      <c r="AY83" s="36" t="s">
        <v>432</v>
      </c>
      <c r="AZ83" s="30" t="s">
        <v>438</v>
      </c>
      <c r="BB83" s="35">
        <f>AV83+AW83</f>
        <v>0</v>
      </c>
      <c r="BC83" s="35">
        <f>G83/(100-BD83)*100</f>
        <v>0</v>
      </c>
      <c r="BD83" s="35">
        <v>0</v>
      </c>
      <c r="BE83" s="35">
        <f>L83</f>
        <v>0</v>
      </c>
      <c r="BG83" s="20">
        <f>F83*AN83</f>
        <v>0</v>
      </c>
      <c r="BH83" s="20">
        <f>F83*AO83</f>
        <v>0</v>
      </c>
      <c r="BI83" s="20">
        <f>F83*G83</f>
        <v>0</v>
      </c>
    </row>
    <row r="84" spans="4:6" ht="12.75">
      <c r="D84" s="16" t="s">
        <v>242</v>
      </c>
      <c r="F84" s="21">
        <v>0.033</v>
      </c>
    </row>
    <row r="85" spans="1:46" ht="12.75">
      <c r="A85" s="5"/>
      <c r="B85" s="13"/>
      <c r="C85" s="13" t="s">
        <v>105</v>
      </c>
      <c r="D85" s="13" t="s">
        <v>243</v>
      </c>
      <c r="E85" s="5" t="s">
        <v>6</v>
      </c>
      <c r="F85" s="5" t="s">
        <v>6</v>
      </c>
      <c r="G85" s="5"/>
      <c r="H85" s="38">
        <f>SUM(H86:H109)</f>
        <v>0</v>
      </c>
      <c r="I85" s="38">
        <f>SUM(I86:I109)</f>
        <v>0</v>
      </c>
      <c r="J85" s="38">
        <f>SUM(J86:J109)</f>
        <v>0</v>
      </c>
      <c r="K85" s="30"/>
      <c r="L85" s="38">
        <f>SUM(L86:L109)</f>
        <v>1.1975630000000002</v>
      </c>
      <c r="AH85" s="30"/>
      <c r="AR85" s="38">
        <f>SUM(AI86:AI109)</f>
        <v>0</v>
      </c>
      <c r="AS85" s="38">
        <f>SUM(AJ86:AJ109)</f>
        <v>0</v>
      </c>
      <c r="AT85" s="38">
        <f>SUM(AK86:AK109)</f>
        <v>0</v>
      </c>
    </row>
    <row r="86" spans="1:61" ht="12.75">
      <c r="A86" s="4" t="s">
        <v>30</v>
      </c>
      <c r="B86" s="4"/>
      <c r="C86" s="4" t="s">
        <v>106</v>
      </c>
      <c r="D86" s="4" t="s">
        <v>244</v>
      </c>
      <c r="E86" s="4" t="s">
        <v>369</v>
      </c>
      <c r="F86" s="20">
        <v>23</v>
      </c>
      <c r="G86" s="20"/>
      <c r="H86" s="20">
        <f>F86*AN86</f>
        <v>0</v>
      </c>
      <c r="I86" s="20">
        <f>F86*AO86</f>
        <v>0</v>
      </c>
      <c r="J86" s="20">
        <f>F86*G86</f>
        <v>0</v>
      </c>
      <c r="K86" s="20">
        <v>0</v>
      </c>
      <c r="L86" s="20">
        <f>F86*K86</f>
        <v>0</v>
      </c>
      <c r="Y86" s="35">
        <f>IF(AP86="5",BI86,0)</f>
        <v>0</v>
      </c>
      <c r="AA86" s="35">
        <f>IF(AP86="1",BG86,0)</f>
        <v>0</v>
      </c>
      <c r="AB86" s="35">
        <f>IF(AP86="1",BH86,0)</f>
        <v>0</v>
      </c>
      <c r="AC86" s="35">
        <f>IF(AP86="7",BG86,0)</f>
        <v>0</v>
      </c>
      <c r="AD86" s="35">
        <f>IF(AP86="7",BH86,0)</f>
        <v>0</v>
      </c>
      <c r="AE86" s="35">
        <f>IF(AP86="2",BG86,0)</f>
        <v>0</v>
      </c>
      <c r="AF86" s="35">
        <f>IF(AP86="2",BH86,0)</f>
        <v>0</v>
      </c>
      <c r="AG86" s="35">
        <f>IF(AP86="0",BI86,0)</f>
        <v>0</v>
      </c>
      <c r="AH86" s="30"/>
      <c r="AI86" s="20">
        <f>IF(AM86=0,J86,0)</f>
        <v>0</v>
      </c>
      <c r="AJ86" s="20">
        <f>IF(AM86=15,J86,0)</f>
        <v>0</v>
      </c>
      <c r="AK86" s="20">
        <f>IF(AM86=21,J86,0)</f>
        <v>0</v>
      </c>
      <c r="AM86" s="35">
        <v>21</v>
      </c>
      <c r="AN86" s="35">
        <f>G86*0</f>
        <v>0</v>
      </c>
      <c r="AO86" s="35">
        <f>G86*(1-0)</f>
        <v>0</v>
      </c>
      <c r="AP86" s="31" t="s">
        <v>13</v>
      </c>
      <c r="AU86" s="35">
        <f>AV86+AW86</f>
        <v>0</v>
      </c>
      <c r="AV86" s="35">
        <f>F86*AN86</f>
        <v>0</v>
      </c>
      <c r="AW86" s="35">
        <f>F86*AO86</f>
        <v>0</v>
      </c>
      <c r="AX86" s="36" t="s">
        <v>410</v>
      </c>
      <c r="AY86" s="36" t="s">
        <v>433</v>
      </c>
      <c r="AZ86" s="30" t="s">
        <v>438</v>
      </c>
      <c r="BB86" s="35">
        <f>AV86+AW86</f>
        <v>0</v>
      </c>
      <c r="BC86" s="35">
        <f>G86/(100-BD86)*100</f>
        <v>0</v>
      </c>
      <c r="BD86" s="35">
        <v>0</v>
      </c>
      <c r="BE86" s="35">
        <f>L86</f>
        <v>0</v>
      </c>
      <c r="BG86" s="20">
        <f>F86*AN86</f>
        <v>0</v>
      </c>
      <c r="BH86" s="20">
        <f>F86*AO86</f>
        <v>0</v>
      </c>
      <c r="BI86" s="20">
        <f>F86*G86</f>
        <v>0</v>
      </c>
    </row>
    <row r="87" ht="12.75">
      <c r="D87" s="15" t="s">
        <v>245</v>
      </c>
    </row>
    <row r="88" spans="4:6" ht="12.75">
      <c r="D88" s="16" t="s">
        <v>246</v>
      </c>
      <c r="F88" s="21">
        <v>11</v>
      </c>
    </row>
    <row r="89" spans="4:6" ht="12.75">
      <c r="D89" s="16" t="s">
        <v>247</v>
      </c>
      <c r="F89" s="21">
        <v>12</v>
      </c>
    </row>
    <row r="90" spans="1:61" ht="12.75">
      <c r="A90" s="4" t="s">
        <v>31</v>
      </c>
      <c r="B90" s="4"/>
      <c r="C90" s="4" t="s">
        <v>107</v>
      </c>
      <c r="D90" s="4" t="s">
        <v>248</v>
      </c>
      <c r="E90" s="4" t="s">
        <v>367</v>
      </c>
      <c r="F90" s="20">
        <v>11.5</v>
      </c>
      <c r="G90" s="20"/>
      <c r="H90" s="20">
        <f>F90*AN90</f>
        <v>0</v>
      </c>
      <c r="I90" s="20">
        <f>F90*AO90</f>
        <v>0</v>
      </c>
      <c r="J90" s="20">
        <f>F90*G90</f>
        <v>0</v>
      </c>
      <c r="K90" s="20">
        <v>0.01253</v>
      </c>
      <c r="L90" s="20">
        <f>F90*K90</f>
        <v>0.144095</v>
      </c>
      <c r="Y90" s="35">
        <f>IF(AP90="5",BI90,0)</f>
        <v>0</v>
      </c>
      <c r="AA90" s="35">
        <f>IF(AP90="1",BG90,0)</f>
        <v>0</v>
      </c>
      <c r="AB90" s="35">
        <f>IF(AP90="1",BH90,0)</f>
        <v>0</v>
      </c>
      <c r="AC90" s="35">
        <f>IF(AP90="7",BG90,0)</f>
        <v>0</v>
      </c>
      <c r="AD90" s="35">
        <f>IF(AP90="7",BH90,0)</f>
        <v>0</v>
      </c>
      <c r="AE90" s="35">
        <f>IF(AP90="2",BG90,0)</f>
        <v>0</v>
      </c>
      <c r="AF90" s="35">
        <f>IF(AP90="2",BH90,0)</f>
        <v>0</v>
      </c>
      <c r="AG90" s="35">
        <f>IF(AP90="0",BI90,0)</f>
        <v>0</v>
      </c>
      <c r="AH90" s="30"/>
      <c r="AI90" s="20">
        <f>IF(AM90=0,J90,0)</f>
        <v>0</v>
      </c>
      <c r="AJ90" s="20">
        <f>IF(AM90=15,J90,0)</f>
        <v>0</v>
      </c>
      <c r="AK90" s="20">
        <f>IF(AM90=21,J90,0)</f>
        <v>0</v>
      </c>
      <c r="AM90" s="35">
        <v>21</v>
      </c>
      <c r="AN90" s="35">
        <f>G90*0.278153594771242</f>
        <v>0</v>
      </c>
      <c r="AO90" s="35">
        <f>G90*(1-0.278153594771242)</f>
        <v>0</v>
      </c>
      <c r="AP90" s="31" t="s">
        <v>13</v>
      </c>
      <c r="AU90" s="35">
        <f>AV90+AW90</f>
        <v>0</v>
      </c>
      <c r="AV90" s="35">
        <f>F90*AN90</f>
        <v>0</v>
      </c>
      <c r="AW90" s="35">
        <f>F90*AO90</f>
        <v>0</v>
      </c>
      <c r="AX90" s="36" t="s">
        <v>410</v>
      </c>
      <c r="AY90" s="36" t="s">
        <v>433</v>
      </c>
      <c r="AZ90" s="30" t="s">
        <v>438</v>
      </c>
      <c r="BB90" s="35">
        <f>AV90+AW90</f>
        <v>0</v>
      </c>
      <c r="BC90" s="35">
        <f>G90/(100-BD90)*100</f>
        <v>0</v>
      </c>
      <c r="BD90" s="35">
        <v>0</v>
      </c>
      <c r="BE90" s="35">
        <f>L90</f>
        <v>0.144095</v>
      </c>
      <c r="BG90" s="20">
        <f>F90*AN90</f>
        <v>0</v>
      </c>
      <c r="BH90" s="20">
        <f>F90*AO90</f>
        <v>0</v>
      </c>
      <c r="BI90" s="20">
        <f>F90*G90</f>
        <v>0</v>
      </c>
    </row>
    <row r="91" ht="25.5">
      <c r="D91" s="15" t="s">
        <v>249</v>
      </c>
    </row>
    <row r="92" spans="4:6" ht="12.75">
      <c r="D92" s="16" t="s">
        <v>250</v>
      </c>
      <c r="F92" s="21">
        <v>7.3</v>
      </c>
    </row>
    <row r="93" spans="4:6" ht="12.75">
      <c r="D93" s="16" t="s">
        <v>251</v>
      </c>
      <c r="F93" s="21">
        <v>4.2</v>
      </c>
    </row>
    <row r="94" spans="1:61" ht="12.75">
      <c r="A94" s="4" t="s">
        <v>32</v>
      </c>
      <c r="B94" s="4"/>
      <c r="C94" s="4" t="s">
        <v>108</v>
      </c>
      <c r="D94" s="4" t="s">
        <v>252</v>
      </c>
      <c r="E94" s="4" t="s">
        <v>367</v>
      </c>
      <c r="F94" s="20">
        <v>42</v>
      </c>
      <c r="G94" s="20"/>
      <c r="H94" s="20">
        <f>F94*AN94</f>
        <v>0</v>
      </c>
      <c r="I94" s="20">
        <f>F94*AO94</f>
        <v>0</v>
      </c>
      <c r="J94" s="20">
        <f>F94*G94</f>
        <v>0</v>
      </c>
      <c r="K94" s="20">
        <v>0.01115</v>
      </c>
      <c r="L94" s="20">
        <f>F94*K94</f>
        <v>0.4683</v>
      </c>
      <c r="Y94" s="35">
        <f>IF(AP94="5",BI94,0)</f>
        <v>0</v>
      </c>
      <c r="AA94" s="35">
        <f>IF(AP94="1",BG94,0)</f>
        <v>0</v>
      </c>
      <c r="AB94" s="35">
        <f>IF(AP94="1",BH94,0)</f>
        <v>0</v>
      </c>
      <c r="AC94" s="35">
        <f>IF(AP94="7",BG94,0)</f>
        <v>0</v>
      </c>
      <c r="AD94" s="35">
        <f>IF(AP94="7",BH94,0)</f>
        <v>0</v>
      </c>
      <c r="AE94" s="35">
        <f>IF(AP94="2",BG94,0)</f>
        <v>0</v>
      </c>
      <c r="AF94" s="35">
        <f>IF(AP94="2",BH94,0)</f>
        <v>0</v>
      </c>
      <c r="AG94" s="35">
        <f>IF(AP94="0",BI94,0)</f>
        <v>0</v>
      </c>
      <c r="AH94" s="30"/>
      <c r="AI94" s="20">
        <f>IF(AM94=0,J94,0)</f>
        <v>0</v>
      </c>
      <c r="AJ94" s="20">
        <f>IF(AM94=15,J94,0)</f>
        <v>0</v>
      </c>
      <c r="AK94" s="20">
        <f>IF(AM94=21,J94,0)</f>
        <v>0</v>
      </c>
      <c r="AM94" s="35">
        <v>21</v>
      </c>
      <c r="AN94" s="35">
        <f>G94*0.373603238866397</f>
        <v>0</v>
      </c>
      <c r="AO94" s="35">
        <f>G94*(1-0.373603238866397)</f>
        <v>0</v>
      </c>
      <c r="AP94" s="31" t="s">
        <v>13</v>
      </c>
      <c r="AU94" s="35">
        <f>AV94+AW94</f>
        <v>0</v>
      </c>
      <c r="AV94" s="35">
        <f>F94*AN94</f>
        <v>0</v>
      </c>
      <c r="AW94" s="35">
        <f>F94*AO94</f>
        <v>0</v>
      </c>
      <c r="AX94" s="36" t="s">
        <v>410</v>
      </c>
      <c r="AY94" s="36" t="s">
        <v>433</v>
      </c>
      <c r="AZ94" s="30" t="s">
        <v>438</v>
      </c>
      <c r="BB94" s="35">
        <f>AV94+AW94</f>
        <v>0</v>
      </c>
      <c r="BC94" s="35">
        <f>G94/(100-BD94)*100</f>
        <v>0</v>
      </c>
      <c r="BD94" s="35">
        <v>0</v>
      </c>
      <c r="BE94" s="35">
        <f>L94</f>
        <v>0.4683</v>
      </c>
      <c r="BG94" s="20">
        <f>F94*AN94</f>
        <v>0</v>
      </c>
      <c r="BH94" s="20">
        <f>F94*AO94</f>
        <v>0</v>
      </c>
      <c r="BI94" s="20">
        <f>F94*G94</f>
        <v>0</v>
      </c>
    </row>
    <row r="95" ht="12.75">
      <c r="D95" s="15" t="s">
        <v>253</v>
      </c>
    </row>
    <row r="96" spans="4:6" ht="12.75">
      <c r="D96" s="16" t="s">
        <v>254</v>
      </c>
      <c r="F96" s="21">
        <v>42</v>
      </c>
    </row>
    <row r="97" spans="1:61" ht="12.75">
      <c r="A97" s="4" t="s">
        <v>33</v>
      </c>
      <c r="B97" s="4"/>
      <c r="C97" s="4" t="s">
        <v>109</v>
      </c>
      <c r="D97" s="4" t="s">
        <v>248</v>
      </c>
      <c r="E97" s="4" t="s">
        <v>367</v>
      </c>
      <c r="F97" s="20">
        <v>9.1</v>
      </c>
      <c r="G97" s="20"/>
      <c r="H97" s="20">
        <f>F97*AN97</f>
        <v>0</v>
      </c>
      <c r="I97" s="20">
        <f>F97*AO97</f>
        <v>0</v>
      </c>
      <c r="J97" s="20">
        <f>F97*G97</f>
        <v>0</v>
      </c>
      <c r="K97" s="20">
        <v>0.01585</v>
      </c>
      <c r="L97" s="20">
        <f>F97*K97</f>
        <v>0.144235</v>
      </c>
      <c r="Y97" s="35">
        <f>IF(AP97="5",BI97,0)</f>
        <v>0</v>
      </c>
      <c r="AA97" s="35">
        <f>IF(AP97="1",BG97,0)</f>
        <v>0</v>
      </c>
      <c r="AB97" s="35">
        <f>IF(AP97="1",BH97,0)</f>
        <v>0</v>
      </c>
      <c r="AC97" s="35">
        <f>IF(AP97="7",BG97,0)</f>
        <v>0</v>
      </c>
      <c r="AD97" s="35">
        <f>IF(AP97="7",BH97,0)</f>
        <v>0</v>
      </c>
      <c r="AE97" s="35">
        <f>IF(AP97="2",BG97,0)</f>
        <v>0</v>
      </c>
      <c r="AF97" s="35">
        <f>IF(AP97="2",BH97,0)</f>
        <v>0</v>
      </c>
      <c r="AG97" s="35">
        <f>IF(AP97="0",BI97,0)</f>
        <v>0</v>
      </c>
      <c r="AH97" s="30"/>
      <c r="AI97" s="20">
        <f>IF(AM97=0,J97,0)</f>
        <v>0</v>
      </c>
      <c r="AJ97" s="20">
        <f>IF(AM97=15,J97,0)</f>
        <v>0</v>
      </c>
      <c r="AK97" s="20">
        <f>IF(AM97=21,J97,0)</f>
        <v>0</v>
      </c>
      <c r="AM97" s="35">
        <v>21</v>
      </c>
      <c r="AN97" s="35">
        <f>G97*0.357806637806638</f>
        <v>0</v>
      </c>
      <c r="AO97" s="35">
        <f>G97*(1-0.357806637806638)</f>
        <v>0</v>
      </c>
      <c r="AP97" s="31" t="s">
        <v>13</v>
      </c>
      <c r="AU97" s="35">
        <f>AV97+AW97</f>
        <v>0</v>
      </c>
      <c r="AV97" s="35">
        <f>F97*AN97</f>
        <v>0</v>
      </c>
      <c r="AW97" s="35">
        <f>F97*AO97</f>
        <v>0</v>
      </c>
      <c r="AX97" s="36" t="s">
        <v>410</v>
      </c>
      <c r="AY97" s="36" t="s">
        <v>433</v>
      </c>
      <c r="AZ97" s="30" t="s">
        <v>438</v>
      </c>
      <c r="BB97" s="35">
        <f>AV97+AW97</f>
        <v>0</v>
      </c>
      <c r="BC97" s="35">
        <f>G97/(100-BD97)*100</f>
        <v>0</v>
      </c>
      <c r="BD97" s="35">
        <v>0</v>
      </c>
      <c r="BE97" s="35">
        <f>L97</f>
        <v>0.144235</v>
      </c>
      <c r="BG97" s="20">
        <f>F97*AN97</f>
        <v>0</v>
      </c>
      <c r="BH97" s="20">
        <f>F97*AO97</f>
        <v>0</v>
      </c>
      <c r="BI97" s="20">
        <f>F97*G97</f>
        <v>0</v>
      </c>
    </row>
    <row r="98" ht="12.75">
      <c r="D98" s="15" t="s">
        <v>255</v>
      </c>
    </row>
    <row r="99" spans="4:6" ht="12.75">
      <c r="D99" s="16" t="s">
        <v>256</v>
      </c>
      <c r="F99" s="21">
        <v>9.1</v>
      </c>
    </row>
    <row r="100" spans="1:61" ht="12.75">
      <c r="A100" s="4" t="s">
        <v>34</v>
      </c>
      <c r="B100" s="4"/>
      <c r="C100" s="4" t="s">
        <v>110</v>
      </c>
      <c r="D100" s="4" t="s">
        <v>257</v>
      </c>
      <c r="E100" s="4" t="s">
        <v>365</v>
      </c>
      <c r="F100" s="20">
        <v>3.6</v>
      </c>
      <c r="G100" s="20"/>
      <c r="H100" s="20">
        <f>F100*AN100</f>
        <v>0</v>
      </c>
      <c r="I100" s="20">
        <f>F100*AO100</f>
        <v>0</v>
      </c>
      <c r="J100" s="20">
        <f>F100*G100</f>
        <v>0</v>
      </c>
      <c r="K100" s="20">
        <v>0.015</v>
      </c>
      <c r="L100" s="20">
        <f>F100*K100</f>
        <v>0.054</v>
      </c>
      <c r="Y100" s="35">
        <f>IF(AP100="5",BI100,0)</f>
        <v>0</v>
      </c>
      <c r="AA100" s="35">
        <f>IF(AP100="1",BG100,0)</f>
        <v>0</v>
      </c>
      <c r="AB100" s="35">
        <f>IF(AP100="1",BH100,0)</f>
        <v>0</v>
      </c>
      <c r="AC100" s="35">
        <f>IF(AP100="7",BG100,0)</f>
        <v>0</v>
      </c>
      <c r="AD100" s="35">
        <f>IF(AP100="7",BH100,0)</f>
        <v>0</v>
      </c>
      <c r="AE100" s="35">
        <f>IF(AP100="2",BG100,0)</f>
        <v>0</v>
      </c>
      <c r="AF100" s="35">
        <f>IF(AP100="2",BH100,0)</f>
        <v>0</v>
      </c>
      <c r="AG100" s="35">
        <f>IF(AP100="0",BI100,0)</f>
        <v>0</v>
      </c>
      <c r="AH100" s="30"/>
      <c r="AI100" s="20">
        <f>IF(AM100=0,J100,0)</f>
        <v>0</v>
      </c>
      <c r="AJ100" s="20">
        <f>IF(AM100=15,J100,0)</f>
        <v>0</v>
      </c>
      <c r="AK100" s="20">
        <f>IF(AM100=21,J100,0)</f>
        <v>0</v>
      </c>
      <c r="AM100" s="35">
        <v>21</v>
      </c>
      <c r="AN100" s="35">
        <f>G100*0</f>
        <v>0</v>
      </c>
      <c r="AO100" s="35">
        <f>G100*(1-0)</f>
        <v>0</v>
      </c>
      <c r="AP100" s="31" t="s">
        <v>13</v>
      </c>
      <c r="AU100" s="35">
        <f>AV100+AW100</f>
        <v>0</v>
      </c>
      <c r="AV100" s="35">
        <f>F100*AN100</f>
        <v>0</v>
      </c>
      <c r="AW100" s="35">
        <f>F100*AO100</f>
        <v>0</v>
      </c>
      <c r="AX100" s="36" t="s">
        <v>410</v>
      </c>
      <c r="AY100" s="36" t="s">
        <v>433</v>
      </c>
      <c r="AZ100" s="30" t="s">
        <v>438</v>
      </c>
      <c r="BB100" s="35">
        <f>AV100+AW100</f>
        <v>0</v>
      </c>
      <c r="BC100" s="35">
        <f>G100/(100-BD100)*100</f>
        <v>0</v>
      </c>
      <c r="BD100" s="35">
        <v>0</v>
      </c>
      <c r="BE100" s="35">
        <f>L100</f>
        <v>0.054</v>
      </c>
      <c r="BG100" s="20">
        <f>F100*AN100</f>
        <v>0</v>
      </c>
      <c r="BH100" s="20">
        <f>F100*AO100</f>
        <v>0</v>
      </c>
      <c r="BI100" s="20">
        <f>F100*G100</f>
        <v>0</v>
      </c>
    </row>
    <row r="101" ht="12.75">
      <c r="D101" s="15" t="s">
        <v>258</v>
      </c>
    </row>
    <row r="102" spans="4:6" ht="12.75">
      <c r="D102" s="16" t="s">
        <v>259</v>
      </c>
      <c r="F102" s="21">
        <v>3.6</v>
      </c>
    </row>
    <row r="103" spans="1:61" ht="12.75">
      <c r="A103" s="4" t="s">
        <v>35</v>
      </c>
      <c r="B103" s="4"/>
      <c r="C103" s="4" t="s">
        <v>111</v>
      </c>
      <c r="D103" s="4" t="s">
        <v>260</v>
      </c>
      <c r="E103" s="4" t="s">
        <v>365</v>
      </c>
      <c r="F103" s="20">
        <v>27.3</v>
      </c>
      <c r="G103" s="20"/>
      <c r="H103" s="20">
        <f>F103*AN103</f>
        <v>0</v>
      </c>
      <c r="I103" s="20">
        <f>F103*AO103</f>
        <v>0</v>
      </c>
      <c r="J103" s="20">
        <f>F103*G103</f>
        <v>0</v>
      </c>
      <c r="K103" s="20">
        <v>0.01331</v>
      </c>
      <c r="L103" s="20">
        <f>F103*K103</f>
        <v>0.36336300000000005</v>
      </c>
      <c r="Y103" s="35">
        <f>IF(AP103="5",BI103,0)</f>
        <v>0</v>
      </c>
      <c r="AA103" s="35">
        <f>IF(AP103="1",BG103,0)</f>
        <v>0</v>
      </c>
      <c r="AB103" s="35">
        <f>IF(AP103="1",BH103,0)</f>
        <v>0</v>
      </c>
      <c r="AC103" s="35">
        <f>IF(AP103="7",BG103,0)</f>
        <v>0</v>
      </c>
      <c r="AD103" s="35">
        <f>IF(AP103="7",BH103,0)</f>
        <v>0</v>
      </c>
      <c r="AE103" s="35">
        <f>IF(AP103="2",BG103,0)</f>
        <v>0</v>
      </c>
      <c r="AF103" s="35">
        <f>IF(AP103="2",BH103,0)</f>
        <v>0</v>
      </c>
      <c r="AG103" s="35">
        <f>IF(AP103="0",BI103,0)</f>
        <v>0</v>
      </c>
      <c r="AH103" s="30"/>
      <c r="AI103" s="20">
        <f>IF(AM103=0,J103,0)</f>
        <v>0</v>
      </c>
      <c r="AJ103" s="20">
        <f>IF(AM103=15,J103,0)</f>
        <v>0</v>
      </c>
      <c r="AK103" s="20">
        <f>IF(AM103=21,J103,0)</f>
        <v>0</v>
      </c>
      <c r="AM103" s="35">
        <v>21</v>
      </c>
      <c r="AN103" s="35">
        <f>G103*0.610631366384314</f>
        <v>0</v>
      </c>
      <c r="AO103" s="35">
        <f>G103*(1-0.610631366384314)</f>
        <v>0</v>
      </c>
      <c r="AP103" s="31" t="s">
        <v>13</v>
      </c>
      <c r="AU103" s="35">
        <f>AV103+AW103</f>
        <v>0</v>
      </c>
      <c r="AV103" s="35">
        <f>F103*AN103</f>
        <v>0</v>
      </c>
      <c r="AW103" s="35">
        <f>F103*AO103</f>
        <v>0</v>
      </c>
      <c r="AX103" s="36" t="s">
        <v>410</v>
      </c>
      <c r="AY103" s="36" t="s">
        <v>433</v>
      </c>
      <c r="AZ103" s="30" t="s">
        <v>438</v>
      </c>
      <c r="BB103" s="35">
        <f>AV103+AW103</f>
        <v>0</v>
      </c>
      <c r="BC103" s="35">
        <f>G103/(100-BD103)*100</f>
        <v>0</v>
      </c>
      <c r="BD103" s="35">
        <v>0</v>
      </c>
      <c r="BE103" s="35">
        <f>L103</f>
        <v>0.36336300000000005</v>
      </c>
      <c r="BG103" s="20">
        <f>F103*AN103</f>
        <v>0</v>
      </c>
      <c r="BH103" s="20">
        <f>F103*AO103</f>
        <v>0</v>
      </c>
      <c r="BI103" s="20">
        <f>F103*G103</f>
        <v>0</v>
      </c>
    </row>
    <row r="104" ht="12.75">
      <c r="D104" s="15" t="s">
        <v>261</v>
      </c>
    </row>
    <row r="105" spans="4:6" ht="12.75">
      <c r="D105" s="16" t="s">
        <v>262</v>
      </c>
      <c r="F105" s="21">
        <v>27.3</v>
      </c>
    </row>
    <row r="106" spans="1:61" ht="12.75">
      <c r="A106" s="4" t="s">
        <v>36</v>
      </c>
      <c r="B106" s="4"/>
      <c r="C106" s="4" t="s">
        <v>112</v>
      </c>
      <c r="D106" s="4" t="s">
        <v>263</v>
      </c>
      <c r="E106" s="4" t="s">
        <v>366</v>
      </c>
      <c r="F106" s="20">
        <v>1</v>
      </c>
      <c r="G106" s="20"/>
      <c r="H106" s="20">
        <f>F106*AN106</f>
        <v>0</v>
      </c>
      <c r="I106" s="20">
        <f>F106*AO106</f>
        <v>0</v>
      </c>
      <c r="J106" s="20">
        <f>F106*G106</f>
        <v>0</v>
      </c>
      <c r="K106" s="20">
        <v>0.02357</v>
      </c>
      <c r="L106" s="20">
        <f>F106*K106</f>
        <v>0.02357</v>
      </c>
      <c r="Y106" s="35">
        <f>IF(AP106="5",BI106,0)</f>
        <v>0</v>
      </c>
      <c r="AA106" s="35">
        <f>IF(AP106="1",BG106,0)</f>
        <v>0</v>
      </c>
      <c r="AB106" s="35">
        <f>IF(AP106="1",BH106,0)</f>
        <v>0</v>
      </c>
      <c r="AC106" s="35">
        <f>IF(AP106="7",BG106,0)</f>
        <v>0</v>
      </c>
      <c r="AD106" s="35">
        <f>IF(AP106="7",BH106,0)</f>
        <v>0</v>
      </c>
      <c r="AE106" s="35">
        <f>IF(AP106="2",BG106,0)</f>
        <v>0</v>
      </c>
      <c r="AF106" s="35">
        <f>IF(AP106="2",BH106,0)</f>
        <v>0</v>
      </c>
      <c r="AG106" s="35">
        <f>IF(AP106="0",BI106,0)</f>
        <v>0</v>
      </c>
      <c r="AH106" s="30"/>
      <c r="AI106" s="20">
        <f>IF(AM106=0,J106,0)</f>
        <v>0</v>
      </c>
      <c r="AJ106" s="20">
        <f>IF(AM106=15,J106,0)</f>
        <v>0</v>
      </c>
      <c r="AK106" s="20">
        <f>IF(AM106=21,J106,0)</f>
        <v>0</v>
      </c>
      <c r="AM106" s="35">
        <v>21</v>
      </c>
      <c r="AN106" s="35">
        <f>G106*1</f>
        <v>0</v>
      </c>
      <c r="AO106" s="35">
        <f>G106*(1-1)</f>
        <v>0</v>
      </c>
      <c r="AP106" s="31" t="s">
        <v>13</v>
      </c>
      <c r="AU106" s="35">
        <f>AV106+AW106</f>
        <v>0</v>
      </c>
      <c r="AV106" s="35">
        <f>F106*AN106</f>
        <v>0</v>
      </c>
      <c r="AW106" s="35">
        <f>F106*AO106</f>
        <v>0</v>
      </c>
      <c r="AX106" s="36" t="s">
        <v>410</v>
      </c>
      <c r="AY106" s="36" t="s">
        <v>433</v>
      </c>
      <c r="AZ106" s="30" t="s">
        <v>438</v>
      </c>
      <c r="BB106" s="35">
        <f>AV106+AW106</f>
        <v>0</v>
      </c>
      <c r="BC106" s="35">
        <f>G106/(100-BD106)*100</f>
        <v>0</v>
      </c>
      <c r="BD106" s="35">
        <v>0</v>
      </c>
      <c r="BE106" s="35">
        <f>L106</f>
        <v>0.02357</v>
      </c>
      <c r="BG106" s="20">
        <f>F106*AN106</f>
        <v>0</v>
      </c>
      <c r="BH106" s="20">
        <f>F106*AO106</f>
        <v>0</v>
      </c>
      <c r="BI106" s="20">
        <f>F106*G106</f>
        <v>0</v>
      </c>
    </row>
    <row r="107" ht="12.75">
      <c r="D107" s="15" t="s">
        <v>264</v>
      </c>
    </row>
    <row r="108" spans="4:6" ht="12.75">
      <c r="D108" s="16" t="s">
        <v>265</v>
      </c>
      <c r="F108" s="21">
        <v>1</v>
      </c>
    </row>
    <row r="109" spans="1:61" ht="12.75">
      <c r="A109" s="4" t="s">
        <v>37</v>
      </c>
      <c r="B109" s="4"/>
      <c r="C109" s="4" t="s">
        <v>113</v>
      </c>
      <c r="D109" s="4" t="s">
        <v>266</v>
      </c>
      <c r="E109" s="4" t="s">
        <v>368</v>
      </c>
      <c r="F109" s="20">
        <v>1.19</v>
      </c>
      <c r="G109" s="20"/>
      <c r="H109" s="20">
        <f>F109*AN109</f>
        <v>0</v>
      </c>
      <c r="I109" s="20">
        <f>F109*AO109</f>
        <v>0</v>
      </c>
      <c r="J109" s="20">
        <f>F109*G109</f>
        <v>0</v>
      </c>
      <c r="K109" s="20">
        <v>0</v>
      </c>
      <c r="L109" s="20">
        <f>F109*K109</f>
        <v>0</v>
      </c>
      <c r="Y109" s="35">
        <f>IF(AP109="5",BI109,0)</f>
        <v>0</v>
      </c>
      <c r="AA109" s="35">
        <f>IF(AP109="1",BG109,0)</f>
        <v>0</v>
      </c>
      <c r="AB109" s="35">
        <f>IF(AP109="1",BH109,0)</f>
        <v>0</v>
      </c>
      <c r="AC109" s="35">
        <f>IF(AP109="7",BG109,0)</f>
        <v>0</v>
      </c>
      <c r="AD109" s="35">
        <f>IF(AP109="7",BH109,0)</f>
        <v>0</v>
      </c>
      <c r="AE109" s="35">
        <f>IF(AP109="2",BG109,0)</f>
        <v>0</v>
      </c>
      <c r="AF109" s="35">
        <f>IF(AP109="2",BH109,0)</f>
        <v>0</v>
      </c>
      <c r="AG109" s="35">
        <f>IF(AP109="0",BI109,0)</f>
        <v>0</v>
      </c>
      <c r="AH109" s="30"/>
      <c r="AI109" s="20">
        <f>IF(AM109=0,J109,0)</f>
        <v>0</v>
      </c>
      <c r="AJ109" s="20">
        <f>IF(AM109=15,J109,0)</f>
        <v>0</v>
      </c>
      <c r="AK109" s="20">
        <f>IF(AM109=21,J109,0)</f>
        <v>0</v>
      </c>
      <c r="AM109" s="35">
        <v>21</v>
      </c>
      <c r="AN109" s="35">
        <f>G109*0</f>
        <v>0</v>
      </c>
      <c r="AO109" s="35">
        <f>G109*(1-0)</f>
        <v>0</v>
      </c>
      <c r="AP109" s="31" t="s">
        <v>11</v>
      </c>
      <c r="AU109" s="35">
        <f>AV109+AW109</f>
        <v>0</v>
      </c>
      <c r="AV109" s="35">
        <f>F109*AN109</f>
        <v>0</v>
      </c>
      <c r="AW109" s="35">
        <f>F109*AO109</f>
        <v>0</v>
      </c>
      <c r="AX109" s="36" t="s">
        <v>410</v>
      </c>
      <c r="AY109" s="36" t="s">
        <v>433</v>
      </c>
      <c r="AZ109" s="30" t="s">
        <v>438</v>
      </c>
      <c r="BB109" s="35">
        <f>AV109+AW109</f>
        <v>0</v>
      </c>
      <c r="BC109" s="35">
        <f>G109/(100-BD109)*100</f>
        <v>0</v>
      </c>
      <c r="BD109" s="35">
        <v>0</v>
      </c>
      <c r="BE109" s="35">
        <f>L109</f>
        <v>0</v>
      </c>
      <c r="BG109" s="20">
        <f>F109*AN109</f>
        <v>0</v>
      </c>
      <c r="BH109" s="20">
        <f>F109*AO109</f>
        <v>0</v>
      </c>
      <c r="BI109" s="20">
        <f>F109*G109</f>
        <v>0</v>
      </c>
    </row>
    <row r="110" spans="4:6" ht="12.75">
      <c r="D110" s="16" t="s">
        <v>267</v>
      </c>
      <c r="F110" s="21">
        <v>1.19</v>
      </c>
    </row>
    <row r="111" spans="1:46" ht="12.75">
      <c r="A111" s="5"/>
      <c r="B111" s="13"/>
      <c r="C111" s="13" t="s">
        <v>114</v>
      </c>
      <c r="D111" s="13" t="s">
        <v>268</v>
      </c>
      <c r="E111" s="5" t="s">
        <v>6</v>
      </c>
      <c r="F111" s="5" t="s">
        <v>6</v>
      </c>
      <c r="G111" s="5"/>
      <c r="H111" s="38">
        <f>SUM(H112:H114)</f>
        <v>0</v>
      </c>
      <c r="I111" s="38">
        <f>SUM(I112:I114)</f>
        <v>0</v>
      </c>
      <c r="J111" s="38">
        <f>SUM(J112:J114)</f>
        <v>0</v>
      </c>
      <c r="K111" s="30"/>
      <c r="L111" s="38">
        <f>SUM(L112:L114)</f>
        <v>0.0628875</v>
      </c>
      <c r="AH111" s="30"/>
      <c r="AR111" s="38">
        <f>SUM(AI112:AI114)</f>
        <v>0</v>
      </c>
      <c r="AS111" s="38">
        <f>SUM(AJ112:AJ114)</f>
        <v>0</v>
      </c>
      <c r="AT111" s="38">
        <f>SUM(AK112:AK114)</f>
        <v>0</v>
      </c>
    </row>
    <row r="112" spans="1:61" ht="12.75">
      <c r="A112" s="6" t="s">
        <v>38</v>
      </c>
      <c r="B112" s="6"/>
      <c r="C112" s="6" t="s">
        <v>115</v>
      </c>
      <c r="D112" s="6" t="s">
        <v>269</v>
      </c>
      <c r="E112" s="6" t="s">
        <v>369</v>
      </c>
      <c r="F112" s="22">
        <v>4</v>
      </c>
      <c r="G112" s="22"/>
      <c r="H112" s="22">
        <f>F112*AN112</f>
        <v>0</v>
      </c>
      <c r="I112" s="22">
        <f>F112*AO112</f>
        <v>0</v>
      </c>
      <c r="J112" s="22">
        <f>F112*G112</f>
        <v>0</v>
      </c>
      <c r="K112" s="22">
        <v>0.00065</v>
      </c>
      <c r="L112" s="22">
        <f>F112*K112</f>
        <v>0.0026</v>
      </c>
      <c r="Y112" s="35">
        <f>IF(AP112="5",BI112,0)</f>
        <v>0</v>
      </c>
      <c r="AA112" s="35">
        <f>IF(AP112="1",BG112,0)</f>
        <v>0</v>
      </c>
      <c r="AB112" s="35">
        <f>IF(AP112="1",BH112,0)</f>
        <v>0</v>
      </c>
      <c r="AC112" s="35">
        <f>IF(AP112="7",BG112,0)</f>
        <v>0</v>
      </c>
      <c r="AD112" s="35">
        <f>IF(AP112="7",BH112,0)</f>
        <v>0</v>
      </c>
      <c r="AE112" s="35">
        <f>IF(AP112="2",BG112,0)</f>
        <v>0</v>
      </c>
      <c r="AF112" s="35">
        <f>IF(AP112="2",BH112,0)</f>
        <v>0</v>
      </c>
      <c r="AG112" s="35">
        <f>IF(AP112="0",BI112,0)</f>
        <v>0</v>
      </c>
      <c r="AH112" s="30"/>
      <c r="AI112" s="22">
        <f>IF(AM112=0,J112,0)</f>
        <v>0</v>
      </c>
      <c r="AJ112" s="22">
        <f>IF(AM112=15,J112,0)</f>
        <v>0</v>
      </c>
      <c r="AK112" s="22">
        <f>IF(AM112=21,J112,0)</f>
        <v>0</v>
      </c>
      <c r="AM112" s="35">
        <v>21</v>
      </c>
      <c r="AN112" s="35">
        <f>G112*1</f>
        <v>0</v>
      </c>
      <c r="AO112" s="35">
        <f>G112*(1-1)</f>
        <v>0</v>
      </c>
      <c r="AP112" s="32" t="s">
        <v>13</v>
      </c>
      <c r="AU112" s="35">
        <f>AV112+AW112</f>
        <v>0</v>
      </c>
      <c r="AV112" s="35">
        <f>F112*AN112</f>
        <v>0</v>
      </c>
      <c r="AW112" s="35">
        <f>F112*AO112</f>
        <v>0</v>
      </c>
      <c r="AX112" s="36" t="s">
        <v>411</v>
      </c>
      <c r="AY112" s="36" t="s">
        <v>433</v>
      </c>
      <c r="AZ112" s="30" t="s">
        <v>438</v>
      </c>
      <c r="BB112" s="35">
        <f>AV112+AW112</f>
        <v>0</v>
      </c>
      <c r="BC112" s="35">
        <f>G112/(100-BD112)*100</f>
        <v>0</v>
      </c>
      <c r="BD112" s="35">
        <v>0</v>
      </c>
      <c r="BE112" s="35">
        <f>L112</f>
        <v>0.0026</v>
      </c>
      <c r="BG112" s="22">
        <f>F112*AN112</f>
        <v>0</v>
      </c>
      <c r="BH112" s="22">
        <f>F112*AO112</f>
        <v>0</v>
      </c>
      <c r="BI112" s="22">
        <f>F112*G112</f>
        <v>0</v>
      </c>
    </row>
    <row r="113" spans="4:6" ht="12.75">
      <c r="D113" s="16" t="s">
        <v>214</v>
      </c>
      <c r="F113" s="21">
        <v>4</v>
      </c>
    </row>
    <row r="114" spans="1:61" ht="12.75">
      <c r="A114" s="4" t="s">
        <v>39</v>
      </c>
      <c r="B114" s="4"/>
      <c r="C114" s="4" t="s">
        <v>116</v>
      </c>
      <c r="D114" s="4" t="s">
        <v>270</v>
      </c>
      <c r="E114" s="4" t="s">
        <v>365</v>
      </c>
      <c r="F114" s="20">
        <v>2.275</v>
      </c>
      <c r="G114" s="20"/>
      <c r="H114" s="20">
        <f>F114*AN114</f>
        <v>0</v>
      </c>
      <c r="I114" s="20">
        <f>F114*AO114</f>
        <v>0</v>
      </c>
      <c r="J114" s="20">
        <f>F114*G114</f>
        <v>0</v>
      </c>
      <c r="K114" s="20">
        <v>0.0265</v>
      </c>
      <c r="L114" s="20">
        <f>F114*K114</f>
        <v>0.060287499999999994</v>
      </c>
      <c r="Y114" s="35">
        <f>IF(AP114="5",BI114,0)</f>
        <v>0</v>
      </c>
      <c r="AA114" s="35">
        <f>IF(AP114="1",BG114,0)</f>
        <v>0</v>
      </c>
      <c r="AB114" s="35">
        <f>IF(AP114="1",BH114,0)</f>
        <v>0</v>
      </c>
      <c r="AC114" s="35">
        <f>IF(AP114="7",BG114,0)</f>
        <v>0</v>
      </c>
      <c r="AD114" s="35">
        <f>IF(AP114="7",BH114,0)</f>
        <v>0</v>
      </c>
      <c r="AE114" s="35">
        <f>IF(AP114="2",BG114,0)</f>
        <v>0</v>
      </c>
      <c r="AF114" s="35">
        <f>IF(AP114="2",BH114,0)</f>
        <v>0</v>
      </c>
      <c r="AG114" s="35">
        <f>IF(AP114="0",BI114,0)</f>
        <v>0</v>
      </c>
      <c r="AH114" s="30"/>
      <c r="AI114" s="20">
        <f>IF(AM114=0,J114,0)</f>
        <v>0</v>
      </c>
      <c r="AJ114" s="20">
        <f>IF(AM114=15,J114,0)</f>
        <v>0</v>
      </c>
      <c r="AK114" s="20">
        <f>IF(AM114=21,J114,0)</f>
        <v>0</v>
      </c>
      <c r="AM114" s="35">
        <v>21</v>
      </c>
      <c r="AN114" s="35">
        <f>G114*0.741647727272727</f>
        <v>0</v>
      </c>
      <c r="AO114" s="35">
        <f>G114*(1-0.741647727272727)</f>
        <v>0</v>
      </c>
      <c r="AP114" s="31" t="s">
        <v>13</v>
      </c>
      <c r="AU114" s="35">
        <f>AV114+AW114</f>
        <v>0</v>
      </c>
      <c r="AV114" s="35">
        <f>F114*AN114</f>
        <v>0</v>
      </c>
      <c r="AW114" s="35">
        <f>F114*AO114</f>
        <v>0</v>
      </c>
      <c r="AX114" s="36" t="s">
        <v>411</v>
      </c>
      <c r="AY114" s="36" t="s">
        <v>433</v>
      </c>
      <c r="AZ114" s="30" t="s">
        <v>438</v>
      </c>
      <c r="BB114" s="35">
        <f>AV114+AW114</f>
        <v>0</v>
      </c>
      <c r="BC114" s="35">
        <f>G114/(100-BD114)*100</f>
        <v>0</v>
      </c>
      <c r="BD114" s="35">
        <v>0</v>
      </c>
      <c r="BE114" s="35">
        <f>L114</f>
        <v>0.060287499999999994</v>
      </c>
      <c r="BG114" s="20">
        <f>F114*AN114</f>
        <v>0</v>
      </c>
      <c r="BH114" s="20">
        <f>F114*AO114</f>
        <v>0</v>
      </c>
      <c r="BI114" s="20">
        <f>F114*G114</f>
        <v>0</v>
      </c>
    </row>
    <row r="115" ht="25.5">
      <c r="D115" s="15" t="s">
        <v>271</v>
      </c>
    </row>
    <row r="116" spans="4:6" ht="12.75">
      <c r="D116" s="16" t="s">
        <v>272</v>
      </c>
      <c r="F116" s="21">
        <v>2.275</v>
      </c>
    </row>
    <row r="117" spans="1:46" ht="12.75">
      <c r="A117" s="5"/>
      <c r="B117" s="13"/>
      <c r="C117" s="13" t="s">
        <v>117</v>
      </c>
      <c r="D117" s="13" t="s">
        <v>273</v>
      </c>
      <c r="E117" s="5" t="s">
        <v>6</v>
      </c>
      <c r="F117" s="5" t="s">
        <v>6</v>
      </c>
      <c r="G117" s="5"/>
      <c r="H117" s="38">
        <f>SUM(H118:H132)</f>
        <v>0</v>
      </c>
      <c r="I117" s="38">
        <f>SUM(I118:I132)</f>
        <v>0</v>
      </c>
      <c r="J117" s="38">
        <f>SUM(J118:J132)</f>
        <v>0</v>
      </c>
      <c r="K117" s="30"/>
      <c r="L117" s="38">
        <f>SUM(L118:L132)</f>
        <v>0.040519</v>
      </c>
      <c r="AH117" s="30"/>
      <c r="AR117" s="38">
        <f>SUM(AI118:AI132)</f>
        <v>0</v>
      </c>
      <c r="AS117" s="38">
        <f>SUM(AJ118:AJ132)</f>
        <v>0</v>
      </c>
      <c r="AT117" s="38">
        <f>SUM(AK118:AK132)</f>
        <v>0</v>
      </c>
    </row>
    <row r="118" spans="1:61" ht="12.75">
      <c r="A118" s="4" t="s">
        <v>40</v>
      </c>
      <c r="B118" s="4"/>
      <c r="C118" s="4" t="s">
        <v>118</v>
      </c>
      <c r="D118" s="4" t="s">
        <v>274</v>
      </c>
      <c r="E118" s="4" t="s">
        <v>367</v>
      </c>
      <c r="F118" s="20">
        <v>11.1</v>
      </c>
      <c r="G118" s="20"/>
      <c r="H118" s="20">
        <f>F118*AN118</f>
        <v>0</v>
      </c>
      <c r="I118" s="20">
        <f>F118*AO118</f>
        <v>0</v>
      </c>
      <c r="J118" s="20">
        <f>F118*G118</f>
        <v>0</v>
      </c>
      <c r="K118" s="20">
        <v>0.00192</v>
      </c>
      <c r="L118" s="20">
        <f>F118*K118</f>
        <v>0.021312</v>
      </c>
      <c r="Y118" s="35">
        <f>IF(AP118="5",BI118,0)</f>
        <v>0</v>
      </c>
      <c r="AA118" s="35">
        <f>IF(AP118="1",BG118,0)</f>
        <v>0</v>
      </c>
      <c r="AB118" s="35">
        <f>IF(AP118="1",BH118,0)</f>
        <v>0</v>
      </c>
      <c r="AC118" s="35">
        <f>IF(AP118="7",BG118,0)</f>
        <v>0</v>
      </c>
      <c r="AD118" s="35">
        <f>IF(AP118="7",BH118,0)</f>
        <v>0</v>
      </c>
      <c r="AE118" s="35">
        <f>IF(AP118="2",BG118,0)</f>
        <v>0</v>
      </c>
      <c r="AF118" s="35">
        <f>IF(AP118="2",BH118,0)</f>
        <v>0</v>
      </c>
      <c r="AG118" s="35">
        <f>IF(AP118="0",BI118,0)</f>
        <v>0</v>
      </c>
      <c r="AH118" s="30"/>
      <c r="AI118" s="20">
        <f>IF(AM118=0,J118,0)</f>
        <v>0</v>
      </c>
      <c r="AJ118" s="20">
        <f>IF(AM118=15,J118,0)</f>
        <v>0</v>
      </c>
      <c r="AK118" s="20">
        <f>IF(AM118=21,J118,0)</f>
        <v>0</v>
      </c>
      <c r="AM118" s="35">
        <v>21</v>
      </c>
      <c r="AN118" s="35">
        <f>G118*0</f>
        <v>0</v>
      </c>
      <c r="AO118" s="35">
        <f>G118*(1-0)</f>
        <v>0</v>
      </c>
      <c r="AP118" s="31" t="s">
        <v>13</v>
      </c>
      <c r="AU118" s="35">
        <f>AV118+AW118</f>
        <v>0</v>
      </c>
      <c r="AV118" s="35">
        <f>F118*AN118</f>
        <v>0</v>
      </c>
      <c r="AW118" s="35">
        <f>F118*AO118</f>
        <v>0</v>
      </c>
      <c r="AX118" s="36" t="s">
        <v>412</v>
      </c>
      <c r="AY118" s="36" t="s">
        <v>433</v>
      </c>
      <c r="AZ118" s="30" t="s">
        <v>438</v>
      </c>
      <c r="BB118" s="35">
        <f>AV118+AW118</f>
        <v>0</v>
      </c>
      <c r="BC118" s="35">
        <f>G118/(100-BD118)*100</f>
        <v>0</v>
      </c>
      <c r="BD118" s="35">
        <v>0</v>
      </c>
      <c r="BE118" s="35">
        <f>L118</f>
        <v>0.021312</v>
      </c>
      <c r="BG118" s="20">
        <f>F118*AN118</f>
        <v>0</v>
      </c>
      <c r="BH118" s="20">
        <f>F118*AO118</f>
        <v>0</v>
      </c>
      <c r="BI118" s="20">
        <f>F118*G118</f>
        <v>0</v>
      </c>
    </row>
    <row r="119" ht="12.75">
      <c r="D119" s="15" t="s">
        <v>275</v>
      </c>
    </row>
    <row r="120" spans="4:6" ht="12.75">
      <c r="D120" s="16" t="s">
        <v>276</v>
      </c>
      <c r="F120" s="21">
        <v>11.1</v>
      </c>
    </row>
    <row r="121" spans="1:61" ht="12.75">
      <c r="A121" s="4" t="s">
        <v>41</v>
      </c>
      <c r="B121" s="4"/>
      <c r="C121" s="4" t="s">
        <v>119</v>
      </c>
      <c r="D121" s="4" t="s">
        <v>277</v>
      </c>
      <c r="E121" s="4" t="s">
        <v>367</v>
      </c>
      <c r="F121" s="20">
        <v>6</v>
      </c>
      <c r="G121" s="20"/>
      <c r="H121" s="20">
        <f>F121*AN121</f>
        <v>0</v>
      </c>
      <c r="I121" s="20">
        <f>F121*AO121</f>
        <v>0</v>
      </c>
      <c r="J121" s="20">
        <f>F121*G121</f>
        <v>0</v>
      </c>
      <c r="K121" s="20">
        <v>0.0025</v>
      </c>
      <c r="L121" s="20">
        <f>F121*K121</f>
        <v>0.015</v>
      </c>
      <c r="Y121" s="35">
        <f>IF(AP121="5",BI121,0)</f>
        <v>0</v>
      </c>
      <c r="AA121" s="35">
        <f>IF(AP121="1",BG121,0)</f>
        <v>0</v>
      </c>
      <c r="AB121" s="35">
        <f>IF(AP121="1",BH121,0)</f>
        <v>0</v>
      </c>
      <c r="AC121" s="35">
        <f>IF(AP121="7",BG121,0)</f>
        <v>0</v>
      </c>
      <c r="AD121" s="35">
        <f>IF(AP121="7",BH121,0)</f>
        <v>0</v>
      </c>
      <c r="AE121" s="35">
        <f>IF(AP121="2",BG121,0)</f>
        <v>0</v>
      </c>
      <c r="AF121" s="35">
        <f>IF(AP121="2",BH121,0)</f>
        <v>0</v>
      </c>
      <c r="AG121" s="35">
        <f>IF(AP121="0",BI121,0)</f>
        <v>0</v>
      </c>
      <c r="AH121" s="30"/>
      <c r="AI121" s="20">
        <f>IF(AM121=0,J121,0)</f>
        <v>0</v>
      </c>
      <c r="AJ121" s="20">
        <f>IF(AM121=15,J121,0)</f>
        <v>0</v>
      </c>
      <c r="AK121" s="20">
        <f>IF(AM121=21,J121,0)</f>
        <v>0</v>
      </c>
      <c r="AM121" s="35">
        <v>21</v>
      </c>
      <c r="AN121" s="35">
        <f>G121*0.189849362688297</f>
        <v>0</v>
      </c>
      <c r="AO121" s="35">
        <f>G121*(1-0.189849362688297)</f>
        <v>0</v>
      </c>
      <c r="AP121" s="31" t="s">
        <v>13</v>
      </c>
      <c r="AU121" s="35">
        <f>AV121+AW121</f>
        <v>0</v>
      </c>
      <c r="AV121" s="35">
        <f>F121*AN121</f>
        <v>0</v>
      </c>
      <c r="AW121" s="35">
        <f>F121*AO121</f>
        <v>0</v>
      </c>
      <c r="AX121" s="36" t="s">
        <v>412</v>
      </c>
      <c r="AY121" s="36" t="s">
        <v>433</v>
      </c>
      <c r="AZ121" s="30" t="s">
        <v>438</v>
      </c>
      <c r="BB121" s="35">
        <f>AV121+AW121</f>
        <v>0</v>
      </c>
      <c r="BC121" s="35">
        <f>G121/(100-BD121)*100</f>
        <v>0</v>
      </c>
      <c r="BD121" s="35">
        <v>0</v>
      </c>
      <c r="BE121" s="35">
        <f>L121</f>
        <v>0.015</v>
      </c>
      <c r="BG121" s="20">
        <f>F121*AN121</f>
        <v>0</v>
      </c>
      <c r="BH121" s="20">
        <f>F121*AO121</f>
        <v>0</v>
      </c>
      <c r="BI121" s="20">
        <f>F121*G121</f>
        <v>0</v>
      </c>
    </row>
    <row r="122" ht="12.75">
      <c r="D122" s="15" t="s">
        <v>278</v>
      </c>
    </row>
    <row r="123" spans="4:6" ht="12.75">
      <c r="D123" s="16" t="s">
        <v>279</v>
      </c>
      <c r="F123" s="21">
        <v>6</v>
      </c>
    </row>
    <row r="124" spans="1:61" ht="12.75">
      <c r="A124" s="4" t="s">
        <v>42</v>
      </c>
      <c r="B124" s="4"/>
      <c r="C124" s="4" t="s">
        <v>120</v>
      </c>
      <c r="D124" s="4" t="s">
        <v>280</v>
      </c>
      <c r="E124" s="4" t="s">
        <v>369</v>
      </c>
      <c r="F124" s="20">
        <v>12</v>
      </c>
      <c r="G124" s="20"/>
      <c r="H124" s="20">
        <f>F124*AN124</f>
        <v>0</v>
      </c>
      <c r="I124" s="20">
        <f>F124*AO124</f>
        <v>0</v>
      </c>
      <c r="J124" s="20">
        <f>F124*G124</f>
        <v>0</v>
      </c>
      <c r="K124" s="20">
        <v>5E-05</v>
      </c>
      <c r="L124" s="20">
        <f>F124*K124</f>
        <v>0.0006000000000000001</v>
      </c>
      <c r="Y124" s="35">
        <f>IF(AP124="5",BI124,0)</f>
        <v>0</v>
      </c>
      <c r="AA124" s="35">
        <f>IF(AP124="1",BG124,0)</f>
        <v>0</v>
      </c>
      <c r="AB124" s="35">
        <f>IF(AP124="1",BH124,0)</f>
        <v>0</v>
      </c>
      <c r="AC124" s="35">
        <f>IF(AP124="7",BG124,0)</f>
        <v>0</v>
      </c>
      <c r="AD124" s="35">
        <f>IF(AP124="7",BH124,0)</f>
        <v>0</v>
      </c>
      <c r="AE124" s="35">
        <f>IF(AP124="2",BG124,0)</f>
        <v>0</v>
      </c>
      <c r="AF124" s="35">
        <f>IF(AP124="2",BH124,0)</f>
        <v>0</v>
      </c>
      <c r="AG124" s="35">
        <f>IF(AP124="0",BI124,0)</f>
        <v>0</v>
      </c>
      <c r="AH124" s="30"/>
      <c r="AI124" s="20">
        <f>IF(AM124=0,J124,0)</f>
        <v>0</v>
      </c>
      <c r="AJ124" s="20">
        <f>IF(AM124=15,J124,0)</f>
        <v>0</v>
      </c>
      <c r="AK124" s="20">
        <f>IF(AM124=21,J124,0)</f>
        <v>0</v>
      </c>
      <c r="AM124" s="35">
        <v>21</v>
      </c>
      <c r="AN124" s="35">
        <f>G124*0.689154323936933</f>
        <v>0</v>
      </c>
      <c r="AO124" s="35">
        <f>G124*(1-0.689154323936933)</f>
        <v>0</v>
      </c>
      <c r="AP124" s="31" t="s">
        <v>13</v>
      </c>
      <c r="AU124" s="35">
        <f>AV124+AW124</f>
        <v>0</v>
      </c>
      <c r="AV124" s="35">
        <f>F124*AN124</f>
        <v>0</v>
      </c>
      <c r="AW124" s="35">
        <f>F124*AO124</f>
        <v>0</v>
      </c>
      <c r="AX124" s="36" t="s">
        <v>412</v>
      </c>
      <c r="AY124" s="36" t="s">
        <v>433</v>
      </c>
      <c r="AZ124" s="30" t="s">
        <v>438</v>
      </c>
      <c r="BB124" s="35">
        <f>AV124+AW124</f>
        <v>0</v>
      </c>
      <c r="BC124" s="35">
        <f>G124/(100-BD124)*100</f>
        <v>0</v>
      </c>
      <c r="BD124" s="35">
        <v>0</v>
      </c>
      <c r="BE124" s="35">
        <f>L124</f>
        <v>0.0006000000000000001</v>
      </c>
      <c r="BG124" s="20">
        <f>F124*AN124</f>
        <v>0</v>
      </c>
      <c r="BH124" s="20">
        <f>F124*AO124</f>
        <v>0</v>
      </c>
      <c r="BI124" s="20">
        <f>F124*G124</f>
        <v>0</v>
      </c>
    </row>
    <row r="125" spans="4:6" ht="12.75">
      <c r="D125" s="16" t="s">
        <v>281</v>
      </c>
      <c r="F125" s="21">
        <v>12</v>
      </c>
    </row>
    <row r="126" spans="1:61" ht="12.75">
      <c r="A126" s="4" t="s">
        <v>43</v>
      </c>
      <c r="B126" s="4"/>
      <c r="C126" s="4" t="s">
        <v>121</v>
      </c>
      <c r="D126" s="4" t="s">
        <v>282</v>
      </c>
      <c r="E126" s="4" t="s">
        <v>367</v>
      </c>
      <c r="F126" s="20">
        <v>9.1</v>
      </c>
      <c r="G126" s="20"/>
      <c r="H126" s="20">
        <f>F126*AN126</f>
        <v>0</v>
      </c>
      <c r="I126" s="20">
        <f>F126*AO126</f>
        <v>0</v>
      </c>
      <c r="J126" s="20">
        <f>F126*G126</f>
        <v>0</v>
      </c>
      <c r="K126" s="20">
        <v>7E-05</v>
      </c>
      <c r="L126" s="20">
        <f>F126*K126</f>
        <v>0.0006369999999999999</v>
      </c>
      <c r="Y126" s="35">
        <f>IF(AP126="5",BI126,0)</f>
        <v>0</v>
      </c>
      <c r="AA126" s="35">
        <f>IF(AP126="1",BG126,0)</f>
        <v>0</v>
      </c>
      <c r="AB126" s="35">
        <f>IF(AP126="1",BH126,0)</f>
        <v>0</v>
      </c>
      <c r="AC126" s="35">
        <f>IF(AP126="7",BG126,0)</f>
        <v>0</v>
      </c>
      <c r="AD126" s="35">
        <f>IF(AP126="7",BH126,0)</f>
        <v>0</v>
      </c>
      <c r="AE126" s="35">
        <f>IF(AP126="2",BG126,0)</f>
        <v>0</v>
      </c>
      <c r="AF126" s="35">
        <f>IF(AP126="2",BH126,0)</f>
        <v>0</v>
      </c>
      <c r="AG126" s="35">
        <f>IF(AP126="0",BI126,0)</f>
        <v>0</v>
      </c>
      <c r="AH126" s="30"/>
      <c r="AI126" s="20">
        <f>IF(AM126=0,J126,0)</f>
        <v>0</v>
      </c>
      <c r="AJ126" s="20">
        <f>IF(AM126=15,J126,0)</f>
        <v>0</v>
      </c>
      <c r="AK126" s="20">
        <f>IF(AM126=21,J126,0)</f>
        <v>0</v>
      </c>
      <c r="AM126" s="35">
        <v>21</v>
      </c>
      <c r="AN126" s="35">
        <f>G126*0.571807967313585</f>
        <v>0</v>
      </c>
      <c r="AO126" s="35">
        <f>G126*(1-0.571807967313585)</f>
        <v>0</v>
      </c>
      <c r="AP126" s="31" t="s">
        <v>13</v>
      </c>
      <c r="AU126" s="35">
        <f>AV126+AW126</f>
        <v>0</v>
      </c>
      <c r="AV126" s="35">
        <f>F126*AN126</f>
        <v>0</v>
      </c>
      <c r="AW126" s="35">
        <f>F126*AO126</f>
        <v>0</v>
      </c>
      <c r="AX126" s="36" t="s">
        <v>412</v>
      </c>
      <c r="AY126" s="36" t="s">
        <v>433</v>
      </c>
      <c r="AZ126" s="30" t="s">
        <v>438</v>
      </c>
      <c r="BB126" s="35">
        <f>AV126+AW126</f>
        <v>0</v>
      </c>
      <c r="BC126" s="35">
        <f>G126/(100-BD126)*100</f>
        <v>0</v>
      </c>
      <c r="BD126" s="35">
        <v>0</v>
      </c>
      <c r="BE126" s="35">
        <f>L126</f>
        <v>0.0006369999999999999</v>
      </c>
      <c r="BG126" s="20">
        <f>F126*AN126</f>
        <v>0</v>
      </c>
      <c r="BH126" s="20">
        <f>F126*AO126</f>
        <v>0</v>
      </c>
      <c r="BI126" s="20">
        <f>F126*G126</f>
        <v>0</v>
      </c>
    </row>
    <row r="127" spans="4:6" ht="12.75">
      <c r="D127" s="16" t="s">
        <v>256</v>
      </c>
      <c r="F127" s="21">
        <v>9.1</v>
      </c>
    </row>
    <row r="128" spans="1:61" ht="12.75">
      <c r="A128" s="4" t="s">
        <v>44</v>
      </c>
      <c r="B128" s="4"/>
      <c r="C128" s="4" t="s">
        <v>122</v>
      </c>
      <c r="D128" s="4" t="s">
        <v>283</v>
      </c>
      <c r="E128" s="4" t="s">
        <v>369</v>
      </c>
      <c r="F128" s="20">
        <v>1</v>
      </c>
      <c r="G128" s="20"/>
      <c r="H128" s="20">
        <f>F128*AN128</f>
        <v>0</v>
      </c>
      <c r="I128" s="20">
        <f>F128*AO128</f>
        <v>0</v>
      </c>
      <c r="J128" s="20">
        <f>F128*G128</f>
        <v>0</v>
      </c>
      <c r="K128" s="20">
        <v>7E-05</v>
      </c>
      <c r="L128" s="20">
        <f>F128*K128</f>
        <v>7E-05</v>
      </c>
      <c r="Y128" s="35">
        <f>IF(AP128="5",BI128,0)</f>
        <v>0</v>
      </c>
      <c r="AA128" s="35">
        <f>IF(AP128="1",BG128,0)</f>
        <v>0</v>
      </c>
      <c r="AB128" s="35">
        <f>IF(AP128="1",BH128,0)</f>
        <v>0</v>
      </c>
      <c r="AC128" s="35">
        <f>IF(AP128="7",BG128,0)</f>
        <v>0</v>
      </c>
      <c r="AD128" s="35">
        <f>IF(AP128="7",BH128,0)</f>
        <v>0</v>
      </c>
      <c r="AE128" s="35">
        <f>IF(AP128="2",BG128,0)</f>
        <v>0</v>
      </c>
      <c r="AF128" s="35">
        <f>IF(AP128="2",BH128,0)</f>
        <v>0</v>
      </c>
      <c r="AG128" s="35">
        <f>IF(AP128="0",BI128,0)</f>
        <v>0</v>
      </c>
      <c r="AH128" s="30"/>
      <c r="AI128" s="20">
        <f>IF(AM128=0,J128,0)</f>
        <v>0</v>
      </c>
      <c r="AJ128" s="20">
        <f>IF(AM128=15,J128,0)</f>
        <v>0</v>
      </c>
      <c r="AK128" s="20">
        <f>IF(AM128=21,J128,0)</f>
        <v>0</v>
      </c>
      <c r="AM128" s="35">
        <v>21</v>
      </c>
      <c r="AN128" s="35">
        <f>G128*0.518469945355191</f>
        <v>0</v>
      </c>
      <c r="AO128" s="35">
        <f>G128*(1-0.518469945355191)</f>
        <v>0</v>
      </c>
      <c r="AP128" s="31" t="s">
        <v>13</v>
      </c>
      <c r="AU128" s="35">
        <f>AV128+AW128</f>
        <v>0</v>
      </c>
      <c r="AV128" s="35">
        <f>F128*AN128</f>
        <v>0</v>
      </c>
      <c r="AW128" s="35">
        <f>F128*AO128</f>
        <v>0</v>
      </c>
      <c r="AX128" s="36" t="s">
        <v>412</v>
      </c>
      <c r="AY128" s="36" t="s">
        <v>433</v>
      </c>
      <c r="AZ128" s="30" t="s">
        <v>438</v>
      </c>
      <c r="BB128" s="35">
        <f>AV128+AW128</f>
        <v>0</v>
      </c>
      <c r="BC128" s="35">
        <f>G128/(100-BD128)*100</f>
        <v>0</v>
      </c>
      <c r="BD128" s="35">
        <v>0</v>
      </c>
      <c r="BE128" s="35">
        <f>L128</f>
        <v>7E-05</v>
      </c>
      <c r="BG128" s="20">
        <f>F128*AN128</f>
        <v>0</v>
      </c>
      <c r="BH128" s="20">
        <f>F128*AO128</f>
        <v>0</v>
      </c>
      <c r="BI128" s="20">
        <f>F128*G128</f>
        <v>0</v>
      </c>
    </row>
    <row r="129" spans="4:6" ht="12.75">
      <c r="D129" s="16" t="s">
        <v>265</v>
      </c>
      <c r="F129" s="21">
        <v>1</v>
      </c>
    </row>
    <row r="130" spans="1:61" ht="12.75">
      <c r="A130" s="6" t="s">
        <v>45</v>
      </c>
      <c r="B130" s="6"/>
      <c r="C130" s="6" t="s">
        <v>123</v>
      </c>
      <c r="D130" s="6" t="s">
        <v>284</v>
      </c>
      <c r="E130" s="6" t="s">
        <v>367</v>
      </c>
      <c r="F130" s="22">
        <v>2</v>
      </c>
      <c r="G130" s="22"/>
      <c r="H130" s="22">
        <f>F130*AN130</f>
        <v>0</v>
      </c>
      <c r="I130" s="22">
        <f>F130*AO130</f>
        <v>0</v>
      </c>
      <c r="J130" s="22">
        <f>F130*G130</f>
        <v>0</v>
      </c>
      <c r="K130" s="22">
        <v>0.00145</v>
      </c>
      <c r="L130" s="22">
        <f>F130*K130</f>
        <v>0.0029</v>
      </c>
      <c r="Y130" s="35">
        <f>IF(AP130="5",BI130,0)</f>
        <v>0</v>
      </c>
      <c r="AA130" s="35">
        <f>IF(AP130="1",BG130,0)</f>
        <v>0</v>
      </c>
      <c r="AB130" s="35">
        <f>IF(AP130="1",BH130,0)</f>
        <v>0</v>
      </c>
      <c r="AC130" s="35">
        <f>IF(AP130="7",BG130,0)</f>
        <v>0</v>
      </c>
      <c r="AD130" s="35">
        <f>IF(AP130="7",BH130,0)</f>
        <v>0</v>
      </c>
      <c r="AE130" s="35">
        <f>IF(AP130="2",BG130,0)</f>
        <v>0</v>
      </c>
      <c r="AF130" s="35">
        <f>IF(AP130="2",BH130,0)</f>
        <v>0</v>
      </c>
      <c r="AG130" s="35">
        <f>IF(AP130="0",BI130,0)</f>
        <v>0</v>
      </c>
      <c r="AH130" s="30"/>
      <c r="AI130" s="22">
        <f>IF(AM130=0,J130,0)</f>
        <v>0</v>
      </c>
      <c r="AJ130" s="22">
        <f>IF(AM130=15,J130,0)</f>
        <v>0</v>
      </c>
      <c r="AK130" s="22">
        <f>IF(AM130=21,J130,0)</f>
        <v>0</v>
      </c>
      <c r="AM130" s="35">
        <v>21</v>
      </c>
      <c r="AN130" s="35">
        <f>G130*1</f>
        <v>0</v>
      </c>
      <c r="AO130" s="35">
        <f>G130*(1-1)</f>
        <v>0</v>
      </c>
      <c r="AP130" s="32" t="s">
        <v>13</v>
      </c>
      <c r="AU130" s="35">
        <f>AV130+AW130</f>
        <v>0</v>
      </c>
      <c r="AV130" s="35">
        <f>F130*AN130</f>
        <v>0</v>
      </c>
      <c r="AW130" s="35">
        <f>F130*AO130</f>
        <v>0</v>
      </c>
      <c r="AX130" s="36" t="s">
        <v>412</v>
      </c>
      <c r="AY130" s="36" t="s">
        <v>433</v>
      </c>
      <c r="AZ130" s="30" t="s">
        <v>438</v>
      </c>
      <c r="BB130" s="35">
        <f>AV130+AW130</f>
        <v>0</v>
      </c>
      <c r="BC130" s="35">
        <f>G130/(100-BD130)*100</f>
        <v>0</v>
      </c>
      <c r="BD130" s="35">
        <v>0</v>
      </c>
      <c r="BE130" s="35">
        <f>L130</f>
        <v>0.0029</v>
      </c>
      <c r="BG130" s="22">
        <f>F130*AN130</f>
        <v>0</v>
      </c>
      <c r="BH130" s="22">
        <f>F130*AO130</f>
        <v>0</v>
      </c>
      <c r="BI130" s="22">
        <f>F130*G130</f>
        <v>0</v>
      </c>
    </row>
    <row r="131" spans="4:6" ht="12.75">
      <c r="D131" s="16" t="s">
        <v>285</v>
      </c>
      <c r="F131" s="21">
        <v>2</v>
      </c>
    </row>
    <row r="132" spans="1:61" ht="12.75">
      <c r="A132" s="4" t="s">
        <v>46</v>
      </c>
      <c r="B132" s="4"/>
      <c r="C132" s="4" t="s">
        <v>124</v>
      </c>
      <c r="D132" s="4" t="s">
        <v>286</v>
      </c>
      <c r="E132" s="4" t="s">
        <v>368</v>
      </c>
      <c r="F132" s="20">
        <v>0.0405</v>
      </c>
      <c r="G132" s="20"/>
      <c r="H132" s="20">
        <f>F132*AN132</f>
        <v>0</v>
      </c>
      <c r="I132" s="20">
        <f>F132*AO132</f>
        <v>0</v>
      </c>
      <c r="J132" s="20">
        <f>F132*G132</f>
        <v>0</v>
      </c>
      <c r="K132" s="20">
        <v>0</v>
      </c>
      <c r="L132" s="20">
        <f>F132*K132</f>
        <v>0</v>
      </c>
      <c r="Y132" s="35">
        <f>IF(AP132="5",BI132,0)</f>
        <v>0</v>
      </c>
      <c r="AA132" s="35">
        <f>IF(AP132="1",BG132,0)</f>
        <v>0</v>
      </c>
      <c r="AB132" s="35">
        <f>IF(AP132="1",BH132,0)</f>
        <v>0</v>
      </c>
      <c r="AC132" s="35">
        <f>IF(AP132="7",BG132,0)</f>
        <v>0</v>
      </c>
      <c r="AD132" s="35">
        <f>IF(AP132="7",BH132,0)</f>
        <v>0</v>
      </c>
      <c r="AE132" s="35">
        <f>IF(AP132="2",BG132,0)</f>
        <v>0</v>
      </c>
      <c r="AF132" s="35">
        <f>IF(AP132="2",BH132,0)</f>
        <v>0</v>
      </c>
      <c r="AG132" s="35">
        <f>IF(AP132="0",BI132,0)</f>
        <v>0</v>
      </c>
      <c r="AH132" s="30"/>
      <c r="AI132" s="20">
        <f>IF(AM132=0,J132,0)</f>
        <v>0</v>
      </c>
      <c r="AJ132" s="20">
        <f>IF(AM132=15,J132,0)</f>
        <v>0</v>
      </c>
      <c r="AK132" s="20">
        <f>IF(AM132=21,J132,0)</f>
        <v>0</v>
      </c>
      <c r="AM132" s="35">
        <v>21</v>
      </c>
      <c r="AN132" s="35">
        <f>G132*0</f>
        <v>0</v>
      </c>
      <c r="AO132" s="35">
        <f>G132*(1-0)</f>
        <v>0</v>
      </c>
      <c r="AP132" s="31" t="s">
        <v>11</v>
      </c>
      <c r="AU132" s="35">
        <f>AV132+AW132</f>
        <v>0</v>
      </c>
      <c r="AV132" s="35">
        <f>F132*AN132</f>
        <v>0</v>
      </c>
      <c r="AW132" s="35">
        <f>F132*AO132</f>
        <v>0</v>
      </c>
      <c r="AX132" s="36" t="s">
        <v>412</v>
      </c>
      <c r="AY132" s="36" t="s">
        <v>433</v>
      </c>
      <c r="AZ132" s="30" t="s">
        <v>438</v>
      </c>
      <c r="BB132" s="35">
        <f>AV132+AW132</f>
        <v>0</v>
      </c>
      <c r="BC132" s="35">
        <f>G132/(100-BD132)*100</f>
        <v>0</v>
      </c>
      <c r="BD132" s="35">
        <v>0</v>
      </c>
      <c r="BE132" s="35">
        <f>L132</f>
        <v>0</v>
      </c>
      <c r="BG132" s="20">
        <f>F132*AN132</f>
        <v>0</v>
      </c>
      <c r="BH132" s="20">
        <f>F132*AO132</f>
        <v>0</v>
      </c>
      <c r="BI132" s="20">
        <f>F132*G132</f>
        <v>0</v>
      </c>
    </row>
    <row r="133" spans="4:6" ht="12.75">
      <c r="D133" s="16" t="s">
        <v>287</v>
      </c>
      <c r="F133" s="21">
        <v>0.0405</v>
      </c>
    </row>
    <row r="134" spans="1:46" ht="12.75">
      <c r="A134" s="5"/>
      <c r="B134" s="13"/>
      <c r="C134" s="13" t="s">
        <v>125</v>
      </c>
      <c r="D134" s="13" t="s">
        <v>288</v>
      </c>
      <c r="E134" s="5" t="s">
        <v>6</v>
      </c>
      <c r="F134" s="5" t="s">
        <v>6</v>
      </c>
      <c r="G134" s="5"/>
      <c r="H134" s="38">
        <f>SUM(H135:H135)</f>
        <v>0</v>
      </c>
      <c r="I134" s="38">
        <f>SUM(I135:I135)</f>
        <v>0</v>
      </c>
      <c r="J134" s="38">
        <f>SUM(J135:J135)</f>
        <v>0</v>
      </c>
      <c r="K134" s="30"/>
      <c r="L134" s="38">
        <f>SUM(L135:L135)</f>
        <v>0.00024</v>
      </c>
      <c r="AH134" s="30"/>
      <c r="AR134" s="38">
        <f>SUM(AI135:AI135)</f>
        <v>0</v>
      </c>
      <c r="AS134" s="38">
        <f>SUM(AJ135:AJ135)</f>
        <v>0</v>
      </c>
      <c r="AT134" s="38">
        <f>SUM(AK135:AK135)</f>
        <v>0</v>
      </c>
    </row>
    <row r="135" spans="1:61" ht="12.75">
      <c r="A135" s="4" t="s">
        <v>47</v>
      </c>
      <c r="B135" s="4"/>
      <c r="C135" s="4" t="s">
        <v>126</v>
      </c>
      <c r="D135" s="4" t="s">
        <v>289</v>
      </c>
      <c r="E135" s="4" t="s">
        <v>369</v>
      </c>
      <c r="F135" s="20">
        <v>4</v>
      </c>
      <c r="G135" s="20"/>
      <c r="H135" s="20">
        <f>F135*AN135</f>
        <v>0</v>
      </c>
      <c r="I135" s="20">
        <f>F135*AO135</f>
        <v>0</v>
      </c>
      <c r="J135" s="20">
        <f>F135*G135</f>
        <v>0</v>
      </c>
      <c r="K135" s="20">
        <v>6E-05</v>
      </c>
      <c r="L135" s="20">
        <f>F135*K135</f>
        <v>0.00024</v>
      </c>
      <c r="Y135" s="35">
        <f>IF(AP135="5",BI135,0)</f>
        <v>0</v>
      </c>
      <c r="AA135" s="35">
        <f>IF(AP135="1",BG135,0)</f>
        <v>0</v>
      </c>
      <c r="AB135" s="35">
        <f>IF(AP135="1",BH135,0)</f>
        <v>0</v>
      </c>
      <c r="AC135" s="35">
        <f>IF(AP135="7",BG135,0)</f>
        <v>0</v>
      </c>
      <c r="AD135" s="35">
        <f>IF(AP135="7",BH135,0)</f>
        <v>0</v>
      </c>
      <c r="AE135" s="35">
        <f>IF(AP135="2",BG135,0)</f>
        <v>0</v>
      </c>
      <c r="AF135" s="35">
        <f>IF(AP135="2",BH135,0)</f>
        <v>0</v>
      </c>
      <c r="AG135" s="35">
        <f>IF(AP135="0",BI135,0)</f>
        <v>0</v>
      </c>
      <c r="AH135" s="30"/>
      <c r="AI135" s="20">
        <f>IF(AM135=0,J135,0)</f>
        <v>0</v>
      </c>
      <c r="AJ135" s="20">
        <f>IF(AM135=15,J135,0)</f>
        <v>0</v>
      </c>
      <c r="AK135" s="20">
        <f>IF(AM135=21,J135,0)</f>
        <v>0</v>
      </c>
      <c r="AM135" s="35">
        <v>21</v>
      </c>
      <c r="AN135" s="35">
        <f>G135*1</f>
        <v>0</v>
      </c>
      <c r="AO135" s="35">
        <f>G135*(1-1)</f>
        <v>0</v>
      </c>
      <c r="AP135" s="31" t="s">
        <v>13</v>
      </c>
      <c r="AU135" s="35">
        <f>AV135+AW135</f>
        <v>0</v>
      </c>
      <c r="AV135" s="35">
        <f>F135*AN135</f>
        <v>0</v>
      </c>
      <c r="AW135" s="35">
        <f>F135*AO135</f>
        <v>0</v>
      </c>
      <c r="AX135" s="36" t="s">
        <v>413</v>
      </c>
      <c r="AY135" s="36" t="s">
        <v>433</v>
      </c>
      <c r="AZ135" s="30" t="s">
        <v>438</v>
      </c>
      <c r="BB135" s="35">
        <f>AV135+AW135</f>
        <v>0</v>
      </c>
      <c r="BC135" s="35">
        <f>G135/(100-BD135)*100</f>
        <v>0</v>
      </c>
      <c r="BD135" s="35">
        <v>0</v>
      </c>
      <c r="BE135" s="35">
        <f>L135</f>
        <v>0.00024</v>
      </c>
      <c r="BG135" s="20">
        <f>F135*AN135</f>
        <v>0</v>
      </c>
      <c r="BH135" s="20">
        <f>F135*AO135</f>
        <v>0</v>
      </c>
      <c r="BI135" s="20">
        <f>F135*G135</f>
        <v>0</v>
      </c>
    </row>
    <row r="136" ht="25.5">
      <c r="D136" s="15" t="s">
        <v>290</v>
      </c>
    </row>
    <row r="137" spans="4:6" ht="12.75">
      <c r="D137" s="16" t="s">
        <v>214</v>
      </c>
      <c r="F137" s="21">
        <v>4</v>
      </c>
    </row>
    <row r="138" spans="1:46" ht="12.75">
      <c r="A138" s="5"/>
      <c r="B138" s="13"/>
      <c r="C138" s="13" t="s">
        <v>127</v>
      </c>
      <c r="D138" s="13" t="s">
        <v>291</v>
      </c>
      <c r="E138" s="5" t="s">
        <v>6</v>
      </c>
      <c r="F138" s="5" t="s">
        <v>6</v>
      </c>
      <c r="G138" s="5"/>
      <c r="H138" s="38">
        <f>SUM(H139:H147)</f>
        <v>0</v>
      </c>
      <c r="I138" s="38">
        <f>SUM(I139:I147)</f>
        <v>0</v>
      </c>
      <c r="J138" s="38">
        <f>SUM(J139:J147)</f>
        <v>0</v>
      </c>
      <c r="K138" s="30"/>
      <c r="L138" s="38">
        <f>SUM(L139:L147)</f>
        <v>0.15488</v>
      </c>
      <c r="AH138" s="30"/>
      <c r="AR138" s="38">
        <f>SUM(AI139:AI147)</f>
        <v>0</v>
      </c>
      <c r="AS138" s="38">
        <f>SUM(AJ139:AJ147)</f>
        <v>0</v>
      </c>
      <c r="AT138" s="38">
        <f>SUM(AK139:AK147)</f>
        <v>0</v>
      </c>
    </row>
    <row r="139" spans="1:61" ht="12.75">
      <c r="A139" s="4" t="s">
        <v>48</v>
      </c>
      <c r="B139" s="4"/>
      <c r="C139" s="4" t="s">
        <v>128</v>
      </c>
      <c r="D139" s="4" t="s">
        <v>292</v>
      </c>
      <c r="E139" s="4" t="s">
        <v>365</v>
      </c>
      <c r="F139" s="20">
        <v>4.4</v>
      </c>
      <c r="G139" s="20"/>
      <c r="H139" s="20">
        <f>F139*AN139</f>
        <v>0</v>
      </c>
      <c r="I139" s="20">
        <f>F139*AO139</f>
        <v>0</v>
      </c>
      <c r="J139" s="20">
        <f>F139*G139</f>
        <v>0</v>
      </c>
      <c r="K139" s="20">
        <v>0</v>
      </c>
      <c r="L139" s="20">
        <f>F139*K139</f>
        <v>0</v>
      </c>
      <c r="Y139" s="35">
        <f>IF(AP139="5",BI139,0)</f>
        <v>0</v>
      </c>
      <c r="AA139" s="35">
        <f>IF(AP139="1",BG139,0)</f>
        <v>0</v>
      </c>
      <c r="AB139" s="35">
        <f>IF(AP139="1",BH139,0)</f>
        <v>0</v>
      </c>
      <c r="AC139" s="35">
        <f>IF(AP139="7",BG139,0)</f>
        <v>0</v>
      </c>
      <c r="AD139" s="35">
        <f>IF(AP139="7",BH139,0)</f>
        <v>0</v>
      </c>
      <c r="AE139" s="35">
        <f>IF(AP139="2",BG139,0)</f>
        <v>0</v>
      </c>
      <c r="AF139" s="35">
        <f>IF(AP139="2",BH139,0)</f>
        <v>0</v>
      </c>
      <c r="AG139" s="35">
        <f>IF(AP139="0",BI139,0)</f>
        <v>0</v>
      </c>
      <c r="AH139" s="30"/>
      <c r="AI139" s="20">
        <f>IF(AM139=0,J139,0)</f>
        <v>0</v>
      </c>
      <c r="AJ139" s="20">
        <f>IF(AM139=15,J139,0)</f>
        <v>0</v>
      </c>
      <c r="AK139" s="20">
        <f>IF(AM139=21,J139,0)</f>
        <v>0</v>
      </c>
      <c r="AM139" s="35">
        <v>21</v>
      </c>
      <c r="AN139" s="35">
        <f>G139*0</f>
        <v>0</v>
      </c>
      <c r="AO139" s="35">
        <f>G139*(1-0)</f>
        <v>0</v>
      </c>
      <c r="AP139" s="31" t="s">
        <v>13</v>
      </c>
      <c r="AU139" s="35">
        <f>AV139+AW139</f>
        <v>0</v>
      </c>
      <c r="AV139" s="35">
        <f>F139*AN139</f>
        <v>0</v>
      </c>
      <c r="AW139" s="35">
        <f>F139*AO139</f>
        <v>0</v>
      </c>
      <c r="AX139" s="36" t="s">
        <v>414</v>
      </c>
      <c r="AY139" s="36" t="s">
        <v>434</v>
      </c>
      <c r="AZ139" s="30" t="s">
        <v>438</v>
      </c>
      <c r="BB139" s="35">
        <f>AV139+AW139</f>
        <v>0</v>
      </c>
      <c r="BC139" s="35">
        <f>G139/(100-BD139)*100</f>
        <v>0</v>
      </c>
      <c r="BD139" s="35">
        <v>0</v>
      </c>
      <c r="BE139" s="35">
        <f>L139</f>
        <v>0</v>
      </c>
      <c r="BG139" s="20">
        <f>F139*AN139</f>
        <v>0</v>
      </c>
      <c r="BH139" s="20">
        <f>F139*AO139</f>
        <v>0</v>
      </c>
      <c r="BI139" s="20">
        <f>F139*G139</f>
        <v>0</v>
      </c>
    </row>
    <row r="140" spans="4:6" ht="12.75">
      <c r="D140" s="16" t="s">
        <v>293</v>
      </c>
      <c r="F140" s="21">
        <v>4.4</v>
      </c>
    </row>
    <row r="141" spans="1:61" ht="12.75">
      <c r="A141" s="4" t="s">
        <v>49</v>
      </c>
      <c r="B141" s="4"/>
      <c r="C141" s="4" t="s">
        <v>129</v>
      </c>
      <c r="D141" s="4" t="s">
        <v>294</v>
      </c>
      <c r="E141" s="4" t="s">
        <v>365</v>
      </c>
      <c r="F141" s="20">
        <v>4.4</v>
      </c>
      <c r="G141" s="20"/>
      <c r="H141" s="20">
        <f>F141*AN141</f>
        <v>0</v>
      </c>
      <c r="I141" s="20">
        <f>F141*AO141</f>
        <v>0</v>
      </c>
      <c r="J141" s="20">
        <f>F141*G141</f>
        <v>0</v>
      </c>
      <c r="K141" s="20">
        <v>0</v>
      </c>
      <c r="L141" s="20">
        <f>F141*K141</f>
        <v>0</v>
      </c>
      <c r="Y141" s="35">
        <f>IF(AP141="5",BI141,0)</f>
        <v>0</v>
      </c>
      <c r="AA141" s="35">
        <f>IF(AP141="1",BG141,0)</f>
        <v>0</v>
      </c>
      <c r="AB141" s="35">
        <f>IF(AP141="1",BH141,0)</f>
        <v>0</v>
      </c>
      <c r="AC141" s="35">
        <f>IF(AP141="7",BG141,0)</f>
        <v>0</v>
      </c>
      <c r="AD141" s="35">
        <f>IF(AP141="7",BH141,0)</f>
        <v>0</v>
      </c>
      <c r="AE141" s="35">
        <f>IF(AP141="2",BG141,0)</f>
        <v>0</v>
      </c>
      <c r="AF141" s="35">
        <f>IF(AP141="2",BH141,0)</f>
        <v>0</v>
      </c>
      <c r="AG141" s="35">
        <f>IF(AP141="0",BI141,0)</f>
        <v>0</v>
      </c>
      <c r="AH141" s="30"/>
      <c r="AI141" s="20">
        <f>IF(AM141=0,J141,0)</f>
        <v>0</v>
      </c>
      <c r="AJ141" s="20">
        <f>IF(AM141=15,J141,0)</f>
        <v>0</v>
      </c>
      <c r="AK141" s="20">
        <f>IF(AM141=21,J141,0)</f>
        <v>0</v>
      </c>
      <c r="AM141" s="35">
        <v>21</v>
      </c>
      <c r="AN141" s="35">
        <f>G141*0</f>
        <v>0</v>
      </c>
      <c r="AO141" s="35">
        <f>G141*(1-0)</f>
        <v>0</v>
      </c>
      <c r="AP141" s="31" t="s">
        <v>13</v>
      </c>
      <c r="AU141" s="35">
        <f>AV141+AW141</f>
        <v>0</v>
      </c>
      <c r="AV141" s="35">
        <f>F141*AN141</f>
        <v>0</v>
      </c>
      <c r="AW141" s="35">
        <f>F141*AO141</f>
        <v>0</v>
      </c>
      <c r="AX141" s="36" t="s">
        <v>414</v>
      </c>
      <c r="AY141" s="36" t="s">
        <v>434</v>
      </c>
      <c r="AZ141" s="30" t="s">
        <v>438</v>
      </c>
      <c r="BB141" s="35">
        <f>AV141+AW141</f>
        <v>0</v>
      </c>
      <c r="BC141" s="35">
        <f>G141/(100-BD141)*100</f>
        <v>0</v>
      </c>
      <c r="BD141" s="35">
        <v>0</v>
      </c>
      <c r="BE141" s="35">
        <f>L141</f>
        <v>0</v>
      </c>
      <c r="BG141" s="20">
        <f>F141*AN141</f>
        <v>0</v>
      </c>
      <c r="BH141" s="20">
        <f>F141*AO141</f>
        <v>0</v>
      </c>
      <c r="BI141" s="20">
        <f>F141*G141</f>
        <v>0</v>
      </c>
    </row>
    <row r="142" spans="4:6" ht="12.75">
      <c r="D142" s="16" t="s">
        <v>293</v>
      </c>
      <c r="F142" s="21">
        <v>4.4</v>
      </c>
    </row>
    <row r="143" spans="1:61" ht="12.75">
      <c r="A143" s="4" t="s">
        <v>50</v>
      </c>
      <c r="B143" s="4"/>
      <c r="C143" s="4" t="s">
        <v>130</v>
      </c>
      <c r="D143" s="4" t="s">
        <v>295</v>
      </c>
      <c r="E143" s="4" t="s">
        <v>365</v>
      </c>
      <c r="F143" s="20">
        <v>4.4</v>
      </c>
      <c r="G143" s="20"/>
      <c r="H143" s="20">
        <f>F143*AN143</f>
        <v>0</v>
      </c>
      <c r="I143" s="20">
        <f>F143*AO143</f>
        <v>0</v>
      </c>
      <c r="J143" s="20">
        <f>F143*G143</f>
        <v>0</v>
      </c>
      <c r="K143" s="20">
        <v>0</v>
      </c>
      <c r="L143" s="20">
        <f>F143*K143</f>
        <v>0</v>
      </c>
      <c r="Y143" s="35">
        <f>IF(AP143="5",BI143,0)</f>
        <v>0</v>
      </c>
      <c r="AA143" s="35">
        <f>IF(AP143="1",BG143,0)</f>
        <v>0</v>
      </c>
      <c r="AB143" s="35">
        <f>IF(AP143="1",BH143,0)</f>
        <v>0</v>
      </c>
      <c r="AC143" s="35">
        <f>IF(AP143="7",BG143,0)</f>
        <v>0</v>
      </c>
      <c r="AD143" s="35">
        <f>IF(AP143="7",BH143,0)</f>
        <v>0</v>
      </c>
      <c r="AE143" s="35">
        <f>IF(AP143="2",BG143,0)</f>
        <v>0</v>
      </c>
      <c r="AF143" s="35">
        <f>IF(AP143="2",BH143,0)</f>
        <v>0</v>
      </c>
      <c r="AG143" s="35">
        <f>IF(AP143="0",BI143,0)</f>
        <v>0</v>
      </c>
      <c r="AH143" s="30"/>
      <c r="AI143" s="20">
        <f>IF(AM143=0,J143,0)</f>
        <v>0</v>
      </c>
      <c r="AJ143" s="20">
        <f>IF(AM143=15,J143,0)</f>
        <v>0</v>
      </c>
      <c r="AK143" s="20">
        <f>IF(AM143=21,J143,0)</f>
        <v>0</v>
      </c>
      <c r="AM143" s="35">
        <v>21</v>
      </c>
      <c r="AN143" s="35">
        <f>G143*0</f>
        <v>0</v>
      </c>
      <c r="AO143" s="35">
        <f>G143*(1-0)</f>
        <v>0</v>
      </c>
      <c r="AP143" s="31" t="s">
        <v>13</v>
      </c>
      <c r="AU143" s="35">
        <f>AV143+AW143</f>
        <v>0</v>
      </c>
      <c r="AV143" s="35">
        <f>F143*AN143</f>
        <v>0</v>
      </c>
      <c r="AW143" s="35">
        <f>F143*AO143</f>
        <v>0</v>
      </c>
      <c r="AX143" s="36" t="s">
        <v>414</v>
      </c>
      <c r="AY143" s="36" t="s">
        <v>434</v>
      </c>
      <c r="AZ143" s="30" t="s">
        <v>438</v>
      </c>
      <c r="BB143" s="35">
        <f>AV143+AW143</f>
        <v>0</v>
      </c>
      <c r="BC143" s="35">
        <f>G143/(100-BD143)*100</f>
        <v>0</v>
      </c>
      <c r="BD143" s="35">
        <v>0</v>
      </c>
      <c r="BE143" s="35">
        <f>L143</f>
        <v>0</v>
      </c>
      <c r="BG143" s="20">
        <f>F143*AN143</f>
        <v>0</v>
      </c>
      <c r="BH143" s="20">
        <f>F143*AO143</f>
        <v>0</v>
      </c>
      <c r="BI143" s="20">
        <f>F143*G143</f>
        <v>0</v>
      </c>
    </row>
    <row r="144" spans="4:6" ht="12.75">
      <c r="D144" s="16" t="s">
        <v>293</v>
      </c>
      <c r="F144" s="21">
        <v>4.4</v>
      </c>
    </row>
    <row r="145" spans="1:61" ht="12.75">
      <c r="A145" s="6" t="s">
        <v>51</v>
      </c>
      <c r="B145" s="6"/>
      <c r="C145" s="6" t="s">
        <v>131</v>
      </c>
      <c r="D145" s="6" t="s">
        <v>296</v>
      </c>
      <c r="E145" s="6" t="s">
        <v>365</v>
      </c>
      <c r="F145" s="22">
        <v>4.84</v>
      </c>
      <c r="G145" s="22"/>
      <c r="H145" s="22">
        <f>F145*AN145</f>
        <v>0</v>
      </c>
      <c r="I145" s="22">
        <f>F145*AO145</f>
        <v>0</v>
      </c>
      <c r="J145" s="22">
        <f>F145*G145</f>
        <v>0</v>
      </c>
      <c r="K145" s="22">
        <v>0.032</v>
      </c>
      <c r="L145" s="22">
        <f>F145*K145</f>
        <v>0.15488</v>
      </c>
      <c r="Y145" s="35">
        <f>IF(AP145="5",BI145,0)</f>
        <v>0</v>
      </c>
      <c r="AA145" s="35">
        <f>IF(AP145="1",BG145,0)</f>
        <v>0</v>
      </c>
      <c r="AB145" s="35">
        <f>IF(AP145="1",BH145,0)</f>
        <v>0</v>
      </c>
      <c r="AC145" s="35">
        <f>IF(AP145="7",BG145,0)</f>
        <v>0</v>
      </c>
      <c r="AD145" s="35">
        <f>IF(AP145="7",BH145,0)</f>
        <v>0</v>
      </c>
      <c r="AE145" s="35">
        <f>IF(AP145="2",BG145,0)</f>
        <v>0</v>
      </c>
      <c r="AF145" s="35">
        <f>IF(AP145="2",BH145,0)</f>
        <v>0</v>
      </c>
      <c r="AG145" s="35">
        <f>IF(AP145="0",BI145,0)</f>
        <v>0</v>
      </c>
      <c r="AH145" s="30"/>
      <c r="AI145" s="22">
        <f>IF(AM145=0,J145,0)</f>
        <v>0</v>
      </c>
      <c r="AJ145" s="22">
        <f>IF(AM145=15,J145,0)</f>
        <v>0</v>
      </c>
      <c r="AK145" s="22">
        <f>IF(AM145=21,J145,0)</f>
        <v>0</v>
      </c>
      <c r="AM145" s="35">
        <v>21</v>
      </c>
      <c r="AN145" s="35">
        <f>G145*1</f>
        <v>0</v>
      </c>
      <c r="AO145" s="35">
        <f>G145*(1-1)</f>
        <v>0</v>
      </c>
      <c r="AP145" s="32" t="s">
        <v>13</v>
      </c>
      <c r="AU145" s="35">
        <f>AV145+AW145</f>
        <v>0</v>
      </c>
      <c r="AV145" s="35">
        <f>F145*AN145</f>
        <v>0</v>
      </c>
      <c r="AW145" s="35">
        <f>F145*AO145</f>
        <v>0</v>
      </c>
      <c r="AX145" s="36" t="s">
        <v>414</v>
      </c>
      <c r="AY145" s="36" t="s">
        <v>434</v>
      </c>
      <c r="AZ145" s="30" t="s">
        <v>438</v>
      </c>
      <c r="BB145" s="35">
        <f>AV145+AW145</f>
        <v>0</v>
      </c>
      <c r="BC145" s="35">
        <f>G145/(100-BD145)*100</f>
        <v>0</v>
      </c>
      <c r="BD145" s="35">
        <v>0</v>
      </c>
      <c r="BE145" s="35">
        <f>L145</f>
        <v>0.15488</v>
      </c>
      <c r="BG145" s="22">
        <f>F145*AN145</f>
        <v>0</v>
      </c>
      <c r="BH145" s="22">
        <f>F145*AO145</f>
        <v>0</v>
      </c>
      <c r="BI145" s="22">
        <f>F145*G145</f>
        <v>0</v>
      </c>
    </row>
    <row r="146" spans="4:6" ht="12.75">
      <c r="D146" s="16" t="s">
        <v>297</v>
      </c>
      <c r="F146" s="21">
        <v>4.84</v>
      </c>
    </row>
    <row r="147" spans="1:61" ht="12.75">
      <c r="A147" s="4" t="s">
        <v>52</v>
      </c>
      <c r="B147" s="4"/>
      <c r="C147" s="4" t="s">
        <v>132</v>
      </c>
      <c r="D147" s="4" t="s">
        <v>298</v>
      </c>
      <c r="E147" s="4" t="s">
        <v>368</v>
      </c>
      <c r="F147" s="20">
        <v>0.1549</v>
      </c>
      <c r="G147" s="20"/>
      <c r="H147" s="20">
        <f>F147*AN147</f>
        <v>0</v>
      </c>
      <c r="I147" s="20">
        <f>F147*AO147</f>
        <v>0</v>
      </c>
      <c r="J147" s="20">
        <f>F147*G147</f>
        <v>0</v>
      </c>
      <c r="K147" s="20">
        <v>0</v>
      </c>
      <c r="L147" s="20">
        <f>F147*K147</f>
        <v>0</v>
      </c>
      <c r="Y147" s="35">
        <f>IF(AP147="5",BI147,0)</f>
        <v>0</v>
      </c>
      <c r="AA147" s="35">
        <f>IF(AP147="1",BG147,0)</f>
        <v>0</v>
      </c>
      <c r="AB147" s="35">
        <f>IF(AP147="1",BH147,0)</f>
        <v>0</v>
      </c>
      <c r="AC147" s="35">
        <f>IF(AP147="7",BG147,0)</f>
        <v>0</v>
      </c>
      <c r="AD147" s="35">
        <f>IF(AP147="7",BH147,0)</f>
        <v>0</v>
      </c>
      <c r="AE147" s="35">
        <f>IF(AP147="2",BG147,0)</f>
        <v>0</v>
      </c>
      <c r="AF147" s="35">
        <f>IF(AP147="2",BH147,0)</f>
        <v>0</v>
      </c>
      <c r="AG147" s="35">
        <f>IF(AP147="0",BI147,0)</f>
        <v>0</v>
      </c>
      <c r="AH147" s="30"/>
      <c r="AI147" s="20">
        <f>IF(AM147=0,J147,0)</f>
        <v>0</v>
      </c>
      <c r="AJ147" s="20">
        <f>IF(AM147=15,J147,0)</f>
        <v>0</v>
      </c>
      <c r="AK147" s="20">
        <f>IF(AM147=21,J147,0)</f>
        <v>0</v>
      </c>
      <c r="AM147" s="35">
        <v>21</v>
      </c>
      <c r="AN147" s="35">
        <f>G147*0</f>
        <v>0</v>
      </c>
      <c r="AO147" s="35">
        <f>G147*(1-0)</f>
        <v>0</v>
      </c>
      <c r="AP147" s="31" t="s">
        <v>11</v>
      </c>
      <c r="AU147" s="35">
        <f>AV147+AW147</f>
        <v>0</v>
      </c>
      <c r="AV147" s="35">
        <f>F147*AN147</f>
        <v>0</v>
      </c>
      <c r="AW147" s="35">
        <f>F147*AO147</f>
        <v>0</v>
      </c>
      <c r="AX147" s="36" t="s">
        <v>414</v>
      </c>
      <c r="AY147" s="36" t="s">
        <v>434</v>
      </c>
      <c r="AZ147" s="30" t="s">
        <v>438</v>
      </c>
      <c r="BB147" s="35">
        <f>AV147+AW147</f>
        <v>0</v>
      </c>
      <c r="BC147" s="35">
        <f>G147/(100-BD147)*100</f>
        <v>0</v>
      </c>
      <c r="BD147" s="35">
        <v>0</v>
      </c>
      <c r="BE147" s="35">
        <f>L147</f>
        <v>0</v>
      </c>
      <c r="BG147" s="20">
        <f>F147*AN147</f>
        <v>0</v>
      </c>
      <c r="BH147" s="20">
        <f>F147*AO147</f>
        <v>0</v>
      </c>
      <c r="BI147" s="20">
        <f>F147*G147</f>
        <v>0</v>
      </c>
    </row>
    <row r="148" spans="4:6" ht="12.75">
      <c r="D148" s="16" t="s">
        <v>299</v>
      </c>
      <c r="F148" s="21">
        <v>0.1549</v>
      </c>
    </row>
    <row r="149" spans="1:46" ht="12.75">
      <c r="A149" s="5"/>
      <c r="B149" s="13"/>
      <c r="C149" s="13" t="s">
        <v>133</v>
      </c>
      <c r="D149" s="13" t="s">
        <v>300</v>
      </c>
      <c r="E149" s="5" t="s">
        <v>6</v>
      </c>
      <c r="F149" s="5" t="s">
        <v>6</v>
      </c>
      <c r="G149" s="5"/>
      <c r="H149" s="38">
        <f>SUM(H150:H153)</f>
        <v>0</v>
      </c>
      <c r="I149" s="38">
        <f>SUM(I150:I153)</f>
        <v>0</v>
      </c>
      <c r="J149" s="38">
        <f>SUM(J150:J153)</f>
        <v>0</v>
      </c>
      <c r="K149" s="30"/>
      <c r="L149" s="38">
        <f>SUM(L150:L153)</f>
        <v>0.00904</v>
      </c>
      <c r="AH149" s="30"/>
      <c r="AR149" s="38">
        <f>SUM(AI150:AI153)</f>
        <v>0</v>
      </c>
      <c r="AS149" s="38">
        <f>SUM(AJ150:AJ153)</f>
        <v>0</v>
      </c>
      <c r="AT149" s="38">
        <f>SUM(AK150:AK153)</f>
        <v>0</v>
      </c>
    </row>
    <row r="150" spans="1:61" ht="12.75">
      <c r="A150" s="4" t="s">
        <v>53</v>
      </c>
      <c r="B150" s="4"/>
      <c r="C150" s="4" t="s">
        <v>134</v>
      </c>
      <c r="D150" s="4" t="s">
        <v>301</v>
      </c>
      <c r="E150" s="4" t="s">
        <v>365</v>
      </c>
      <c r="F150" s="20">
        <v>8</v>
      </c>
      <c r="G150" s="20"/>
      <c r="H150" s="20">
        <f>F150*AN150</f>
        <v>0</v>
      </c>
      <c r="I150" s="20">
        <f>F150*AO150</f>
        <v>0</v>
      </c>
      <c r="J150" s="20">
        <f>F150*G150</f>
        <v>0</v>
      </c>
      <c r="K150" s="20">
        <v>0.00065</v>
      </c>
      <c r="L150" s="20">
        <f>F150*K150</f>
        <v>0.0052</v>
      </c>
      <c r="Y150" s="35">
        <f>IF(AP150="5",BI150,0)</f>
        <v>0</v>
      </c>
      <c r="AA150" s="35">
        <f>IF(AP150="1",BG150,0)</f>
        <v>0</v>
      </c>
      <c r="AB150" s="35">
        <f>IF(AP150="1",BH150,0)</f>
        <v>0</v>
      </c>
      <c r="AC150" s="35">
        <f>IF(AP150="7",BG150,0)</f>
        <v>0</v>
      </c>
      <c r="AD150" s="35">
        <f>IF(AP150="7",BH150,0)</f>
        <v>0</v>
      </c>
      <c r="AE150" s="35">
        <f>IF(AP150="2",BG150,0)</f>
        <v>0</v>
      </c>
      <c r="AF150" s="35">
        <f>IF(AP150="2",BH150,0)</f>
        <v>0</v>
      </c>
      <c r="AG150" s="35">
        <f>IF(AP150="0",BI150,0)</f>
        <v>0</v>
      </c>
      <c r="AH150" s="30"/>
      <c r="AI150" s="20">
        <f>IF(AM150=0,J150,0)</f>
        <v>0</v>
      </c>
      <c r="AJ150" s="20">
        <f>IF(AM150=15,J150,0)</f>
        <v>0</v>
      </c>
      <c r="AK150" s="20">
        <f>IF(AM150=21,J150,0)</f>
        <v>0</v>
      </c>
      <c r="AM150" s="35">
        <v>21</v>
      </c>
      <c r="AN150" s="35">
        <f>G150*0.283339191564148</f>
        <v>0</v>
      </c>
      <c r="AO150" s="35">
        <f>G150*(1-0.283339191564148)</f>
        <v>0</v>
      </c>
      <c r="AP150" s="31" t="s">
        <v>13</v>
      </c>
      <c r="AU150" s="35">
        <f>AV150+AW150</f>
        <v>0</v>
      </c>
      <c r="AV150" s="35">
        <f>F150*AN150</f>
        <v>0</v>
      </c>
      <c r="AW150" s="35">
        <f>F150*AO150</f>
        <v>0</v>
      </c>
      <c r="AX150" s="36" t="s">
        <v>415</v>
      </c>
      <c r="AY150" s="36" t="s">
        <v>434</v>
      </c>
      <c r="AZ150" s="30" t="s">
        <v>438</v>
      </c>
      <c r="BB150" s="35">
        <f>AV150+AW150</f>
        <v>0</v>
      </c>
      <c r="BC150" s="35">
        <f>G150/(100-BD150)*100</f>
        <v>0</v>
      </c>
      <c r="BD150" s="35">
        <v>0</v>
      </c>
      <c r="BE150" s="35">
        <f>L150</f>
        <v>0.0052</v>
      </c>
      <c r="BG150" s="20">
        <f>F150*AN150</f>
        <v>0</v>
      </c>
      <c r="BH150" s="20">
        <f>F150*AO150</f>
        <v>0</v>
      </c>
      <c r="BI150" s="20">
        <f>F150*G150</f>
        <v>0</v>
      </c>
    </row>
    <row r="151" ht="12.75">
      <c r="D151" s="15" t="s">
        <v>302</v>
      </c>
    </row>
    <row r="152" spans="4:6" ht="12.75">
      <c r="D152" s="16" t="s">
        <v>188</v>
      </c>
      <c r="F152" s="21">
        <v>8</v>
      </c>
    </row>
    <row r="153" spans="1:61" ht="12.75">
      <c r="A153" s="4" t="s">
        <v>54</v>
      </c>
      <c r="B153" s="4"/>
      <c r="C153" s="4" t="s">
        <v>135</v>
      </c>
      <c r="D153" s="4" t="s">
        <v>303</v>
      </c>
      <c r="E153" s="4" t="s">
        <v>365</v>
      </c>
      <c r="F153" s="20">
        <v>8</v>
      </c>
      <c r="G153" s="20"/>
      <c r="H153" s="20">
        <f>F153*AN153</f>
        <v>0</v>
      </c>
      <c r="I153" s="20">
        <f>F153*AO153</f>
        <v>0</v>
      </c>
      <c r="J153" s="20">
        <f>F153*G153</f>
        <v>0</v>
      </c>
      <c r="K153" s="20">
        <v>0.00048</v>
      </c>
      <c r="L153" s="20">
        <f>F153*K153</f>
        <v>0.00384</v>
      </c>
      <c r="Y153" s="35">
        <f>IF(AP153="5",BI153,0)</f>
        <v>0</v>
      </c>
      <c r="AA153" s="35">
        <f>IF(AP153="1",BG153,0)</f>
        <v>0</v>
      </c>
      <c r="AB153" s="35">
        <f>IF(AP153="1",BH153,0)</f>
        <v>0</v>
      </c>
      <c r="AC153" s="35">
        <f>IF(AP153="7",BG153,0)</f>
        <v>0</v>
      </c>
      <c r="AD153" s="35">
        <f>IF(AP153="7",BH153,0)</f>
        <v>0</v>
      </c>
      <c r="AE153" s="35">
        <f>IF(AP153="2",BG153,0)</f>
        <v>0</v>
      </c>
      <c r="AF153" s="35">
        <f>IF(AP153="2",BH153,0)</f>
        <v>0</v>
      </c>
      <c r="AG153" s="35">
        <f>IF(AP153="0",BI153,0)</f>
        <v>0</v>
      </c>
      <c r="AH153" s="30"/>
      <c r="AI153" s="20">
        <f>IF(AM153=0,J153,0)</f>
        <v>0</v>
      </c>
      <c r="AJ153" s="20">
        <f>IF(AM153=15,J153,0)</f>
        <v>0</v>
      </c>
      <c r="AK153" s="20">
        <f>IF(AM153=21,J153,0)</f>
        <v>0</v>
      </c>
      <c r="AM153" s="35">
        <v>21</v>
      </c>
      <c r="AN153" s="35">
        <f>G153*0.719449152542373</f>
        <v>0</v>
      </c>
      <c r="AO153" s="35">
        <f>G153*(1-0.719449152542373)</f>
        <v>0</v>
      </c>
      <c r="AP153" s="31" t="s">
        <v>13</v>
      </c>
      <c r="AU153" s="35">
        <f>AV153+AW153</f>
        <v>0</v>
      </c>
      <c r="AV153" s="35">
        <f>F153*AN153</f>
        <v>0</v>
      </c>
      <c r="AW153" s="35">
        <f>F153*AO153</f>
        <v>0</v>
      </c>
      <c r="AX153" s="36" t="s">
        <v>415</v>
      </c>
      <c r="AY153" s="36" t="s">
        <v>434</v>
      </c>
      <c r="AZ153" s="30" t="s">
        <v>438</v>
      </c>
      <c r="BB153" s="35">
        <f>AV153+AW153</f>
        <v>0</v>
      </c>
      <c r="BC153" s="35">
        <f>G153/(100-BD153)*100</f>
        <v>0</v>
      </c>
      <c r="BD153" s="35">
        <v>0</v>
      </c>
      <c r="BE153" s="35">
        <f>L153</f>
        <v>0.00384</v>
      </c>
      <c r="BG153" s="20">
        <f>F153*AN153</f>
        <v>0</v>
      </c>
      <c r="BH153" s="20">
        <f>F153*AO153</f>
        <v>0</v>
      </c>
      <c r="BI153" s="20">
        <f>F153*G153</f>
        <v>0</v>
      </c>
    </row>
    <row r="154" spans="4:6" ht="12.75">
      <c r="D154" s="16" t="s">
        <v>188</v>
      </c>
      <c r="F154" s="21">
        <v>8</v>
      </c>
    </row>
    <row r="155" spans="1:46" ht="12.75">
      <c r="A155" s="5"/>
      <c r="B155" s="13"/>
      <c r="C155" s="13" t="s">
        <v>136</v>
      </c>
      <c r="D155" s="13" t="s">
        <v>304</v>
      </c>
      <c r="E155" s="5" t="s">
        <v>6</v>
      </c>
      <c r="F155" s="5" t="s">
        <v>6</v>
      </c>
      <c r="G155" s="5"/>
      <c r="H155" s="38">
        <f>SUM(H156:H165)</f>
        <v>0</v>
      </c>
      <c r="I155" s="38">
        <f>SUM(I156:I165)</f>
        <v>0</v>
      </c>
      <c r="J155" s="38">
        <f>SUM(J156:J165)</f>
        <v>0</v>
      </c>
      <c r="K155" s="30"/>
      <c r="L155" s="38">
        <f>SUM(L156:L165)</f>
        <v>0.9741080000000001</v>
      </c>
      <c r="AH155" s="30"/>
      <c r="AR155" s="38">
        <f>SUM(AI156:AI165)</f>
        <v>0</v>
      </c>
      <c r="AS155" s="38">
        <f>SUM(AJ156:AJ165)</f>
        <v>0</v>
      </c>
      <c r="AT155" s="38">
        <f>SUM(AK156:AK165)</f>
        <v>0</v>
      </c>
    </row>
    <row r="156" spans="1:61" ht="12.75">
      <c r="A156" s="4" t="s">
        <v>55</v>
      </c>
      <c r="B156" s="4"/>
      <c r="C156" s="4" t="s">
        <v>137</v>
      </c>
      <c r="D156" s="4" t="s">
        <v>305</v>
      </c>
      <c r="E156" s="4" t="s">
        <v>365</v>
      </c>
      <c r="F156" s="20">
        <v>67</v>
      </c>
      <c r="G156" s="20"/>
      <c r="H156" s="20">
        <f>F156*AN156</f>
        <v>0</v>
      </c>
      <c r="I156" s="20">
        <f>F156*AO156</f>
        <v>0</v>
      </c>
      <c r="J156" s="20">
        <f>F156*G156</f>
        <v>0</v>
      </c>
      <c r="K156" s="20">
        <v>0.00245</v>
      </c>
      <c r="L156" s="20">
        <f>F156*K156</f>
        <v>0.16415</v>
      </c>
      <c r="Y156" s="35">
        <f>IF(AP156="5",BI156,0)</f>
        <v>0</v>
      </c>
      <c r="AA156" s="35">
        <f>IF(AP156="1",BG156,0)</f>
        <v>0</v>
      </c>
      <c r="AB156" s="35">
        <f>IF(AP156="1",BH156,0)</f>
        <v>0</v>
      </c>
      <c r="AC156" s="35">
        <f>IF(AP156="7",BG156,0)</f>
        <v>0</v>
      </c>
      <c r="AD156" s="35">
        <f>IF(AP156="7",BH156,0)</f>
        <v>0</v>
      </c>
      <c r="AE156" s="35">
        <f>IF(AP156="2",BG156,0)</f>
        <v>0</v>
      </c>
      <c r="AF156" s="35">
        <f>IF(AP156="2",BH156,0)</f>
        <v>0</v>
      </c>
      <c r="AG156" s="35">
        <f>IF(AP156="0",BI156,0)</f>
        <v>0</v>
      </c>
      <c r="AH156" s="30"/>
      <c r="AI156" s="20">
        <f>IF(AM156=0,J156,0)</f>
        <v>0</v>
      </c>
      <c r="AJ156" s="20">
        <f>IF(AM156=15,J156,0)</f>
        <v>0</v>
      </c>
      <c r="AK156" s="20">
        <f>IF(AM156=21,J156,0)</f>
        <v>0</v>
      </c>
      <c r="AM156" s="35">
        <v>21</v>
      </c>
      <c r="AN156" s="35">
        <f>G156*0.0953191489361702</f>
        <v>0</v>
      </c>
      <c r="AO156" s="35">
        <f>G156*(1-0.0953191489361702)</f>
        <v>0</v>
      </c>
      <c r="AP156" s="31" t="s">
        <v>13</v>
      </c>
      <c r="AU156" s="35">
        <f>AV156+AW156</f>
        <v>0</v>
      </c>
      <c r="AV156" s="35">
        <f>F156*AN156</f>
        <v>0</v>
      </c>
      <c r="AW156" s="35">
        <f>F156*AO156</f>
        <v>0</v>
      </c>
      <c r="AX156" s="36" t="s">
        <v>416</v>
      </c>
      <c r="AY156" s="36" t="s">
        <v>435</v>
      </c>
      <c r="AZ156" s="30" t="s">
        <v>438</v>
      </c>
      <c r="BB156" s="35">
        <f>AV156+AW156</f>
        <v>0</v>
      </c>
      <c r="BC156" s="35">
        <f>G156/(100-BD156)*100</f>
        <v>0</v>
      </c>
      <c r="BD156" s="35">
        <v>0</v>
      </c>
      <c r="BE156" s="35">
        <f>L156</f>
        <v>0.16415</v>
      </c>
      <c r="BG156" s="20">
        <f>F156*AN156</f>
        <v>0</v>
      </c>
      <c r="BH156" s="20">
        <f>F156*AO156</f>
        <v>0</v>
      </c>
      <c r="BI156" s="20">
        <f>F156*G156</f>
        <v>0</v>
      </c>
    </row>
    <row r="157" ht="12.75">
      <c r="D157" s="15" t="s">
        <v>306</v>
      </c>
    </row>
    <row r="158" spans="4:6" ht="12.75">
      <c r="D158" s="16" t="s">
        <v>307</v>
      </c>
      <c r="F158" s="21">
        <v>67</v>
      </c>
    </row>
    <row r="159" spans="1:61" ht="12.75">
      <c r="A159" s="6" t="s">
        <v>56</v>
      </c>
      <c r="B159" s="6"/>
      <c r="C159" s="6" t="s">
        <v>138</v>
      </c>
      <c r="D159" s="6" t="s">
        <v>308</v>
      </c>
      <c r="E159" s="6" t="s">
        <v>365</v>
      </c>
      <c r="F159" s="22">
        <v>66.39</v>
      </c>
      <c r="G159" s="22"/>
      <c r="H159" s="22">
        <f>F159*AN159</f>
        <v>0</v>
      </c>
      <c r="I159" s="22">
        <f>F159*AO159</f>
        <v>0</v>
      </c>
      <c r="J159" s="22">
        <f>F159*G159</f>
        <v>0</v>
      </c>
      <c r="K159" s="22">
        <v>0.0122</v>
      </c>
      <c r="L159" s="22">
        <f>F159*K159</f>
        <v>0.8099580000000001</v>
      </c>
      <c r="Y159" s="35">
        <f>IF(AP159="5",BI159,0)</f>
        <v>0</v>
      </c>
      <c r="AA159" s="35">
        <f>IF(AP159="1",BG159,0)</f>
        <v>0</v>
      </c>
      <c r="AB159" s="35">
        <f>IF(AP159="1",BH159,0)</f>
        <v>0</v>
      </c>
      <c r="AC159" s="35">
        <f>IF(AP159="7",BG159,0)</f>
        <v>0</v>
      </c>
      <c r="AD159" s="35">
        <f>IF(AP159="7",BH159,0)</f>
        <v>0</v>
      </c>
      <c r="AE159" s="35">
        <f>IF(AP159="2",BG159,0)</f>
        <v>0</v>
      </c>
      <c r="AF159" s="35">
        <f>IF(AP159="2",BH159,0)</f>
        <v>0</v>
      </c>
      <c r="AG159" s="35">
        <f>IF(AP159="0",BI159,0)</f>
        <v>0</v>
      </c>
      <c r="AH159" s="30"/>
      <c r="AI159" s="22">
        <f>IF(AM159=0,J159,0)</f>
        <v>0</v>
      </c>
      <c r="AJ159" s="22">
        <f>IF(AM159=15,J159,0)</f>
        <v>0</v>
      </c>
      <c r="AK159" s="22">
        <f>IF(AM159=21,J159,0)</f>
        <v>0</v>
      </c>
      <c r="AM159" s="35">
        <v>21</v>
      </c>
      <c r="AN159" s="35">
        <f>G159*1</f>
        <v>0</v>
      </c>
      <c r="AO159" s="35">
        <f>G159*(1-1)</f>
        <v>0</v>
      </c>
      <c r="AP159" s="32" t="s">
        <v>13</v>
      </c>
      <c r="AU159" s="35">
        <f>AV159+AW159</f>
        <v>0</v>
      </c>
      <c r="AV159" s="35">
        <f>F159*AN159</f>
        <v>0</v>
      </c>
      <c r="AW159" s="35">
        <f>F159*AO159</f>
        <v>0</v>
      </c>
      <c r="AX159" s="36" t="s">
        <v>416</v>
      </c>
      <c r="AY159" s="36" t="s">
        <v>435</v>
      </c>
      <c r="AZ159" s="30" t="s">
        <v>438</v>
      </c>
      <c r="BB159" s="35">
        <f>AV159+AW159</f>
        <v>0</v>
      </c>
      <c r="BC159" s="35">
        <f>G159/(100-BD159)*100</f>
        <v>0</v>
      </c>
      <c r="BD159" s="35">
        <v>0</v>
      </c>
      <c r="BE159" s="35">
        <f>L159</f>
        <v>0.8099580000000001</v>
      </c>
      <c r="BG159" s="22">
        <f>F159*AN159</f>
        <v>0</v>
      </c>
      <c r="BH159" s="22">
        <f>F159*AO159</f>
        <v>0</v>
      </c>
      <c r="BI159" s="22">
        <f>F159*G159</f>
        <v>0</v>
      </c>
    </row>
    <row r="160" spans="4:6" ht="12.75">
      <c r="D160" s="16" t="s">
        <v>309</v>
      </c>
      <c r="F160" s="21">
        <v>22.88</v>
      </c>
    </row>
    <row r="161" spans="4:6" ht="12.75">
      <c r="D161" s="16" t="s">
        <v>310</v>
      </c>
      <c r="F161" s="21">
        <v>10.45</v>
      </c>
    </row>
    <row r="162" spans="4:6" ht="12.75">
      <c r="D162" s="16" t="s">
        <v>311</v>
      </c>
      <c r="F162" s="21">
        <v>10.45</v>
      </c>
    </row>
    <row r="163" spans="4:6" ht="12.75">
      <c r="D163" s="16" t="s">
        <v>311</v>
      </c>
      <c r="F163" s="21">
        <v>10.45</v>
      </c>
    </row>
    <row r="164" spans="4:6" ht="12.75">
      <c r="D164" s="16" t="s">
        <v>312</v>
      </c>
      <c r="F164" s="21">
        <v>12.16</v>
      </c>
    </row>
    <row r="165" spans="1:61" ht="12.75">
      <c r="A165" s="4" t="s">
        <v>57</v>
      </c>
      <c r="B165" s="4"/>
      <c r="C165" s="4" t="s">
        <v>139</v>
      </c>
      <c r="D165" s="4" t="s">
        <v>313</v>
      </c>
      <c r="E165" s="4" t="s">
        <v>368</v>
      </c>
      <c r="F165" s="20">
        <v>0.9741</v>
      </c>
      <c r="G165" s="20"/>
      <c r="H165" s="20">
        <f>F165*AN165</f>
        <v>0</v>
      </c>
      <c r="I165" s="20">
        <f>F165*AO165</f>
        <v>0</v>
      </c>
      <c r="J165" s="20">
        <f>F165*G165</f>
        <v>0</v>
      </c>
      <c r="K165" s="20">
        <v>0</v>
      </c>
      <c r="L165" s="20">
        <f>F165*K165</f>
        <v>0</v>
      </c>
      <c r="Y165" s="35">
        <f>IF(AP165="5",BI165,0)</f>
        <v>0</v>
      </c>
      <c r="AA165" s="35">
        <f>IF(AP165="1",BG165,0)</f>
        <v>0</v>
      </c>
      <c r="AB165" s="35">
        <f>IF(AP165="1",BH165,0)</f>
        <v>0</v>
      </c>
      <c r="AC165" s="35">
        <f>IF(AP165="7",BG165,0)</f>
        <v>0</v>
      </c>
      <c r="AD165" s="35">
        <f>IF(AP165="7",BH165,0)</f>
        <v>0</v>
      </c>
      <c r="AE165" s="35">
        <f>IF(AP165="2",BG165,0)</f>
        <v>0</v>
      </c>
      <c r="AF165" s="35">
        <f>IF(AP165="2",BH165,0)</f>
        <v>0</v>
      </c>
      <c r="AG165" s="35">
        <f>IF(AP165="0",BI165,0)</f>
        <v>0</v>
      </c>
      <c r="AH165" s="30"/>
      <c r="AI165" s="20">
        <f>IF(AM165=0,J165,0)</f>
        <v>0</v>
      </c>
      <c r="AJ165" s="20">
        <f>IF(AM165=15,J165,0)</f>
        <v>0</v>
      </c>
      <c r="AK165" s="20">
        <f>IF(AM165=21,J165,0)</f>
        <v>0</v>
      </c>
      <c r="AM165" s="35">
        <v>21</v>
      </c>
      <c r="AN165" s="35">
        <f>G165*0</f>
        <v>0</v>
      </c>
      <c r="AO165" s="35">
        <f>G165*(1-0)</f>
        <v>0</v>
      </c>
      <c r="AP165" s="31" t="s">
        <v>11</v>
      </c>
      <c r="AU165" s="35">
        <f>AV165+AW165</f>
        <v>0</v>
      </c>
      <c r="AV165" s="35">
        <f>F165*AN165</f>
        <v>0</v>
      </c>
      <c r="AW165" s="35">
        <f>F165*AO165</f>
        <v>0</v>
      </c>
      <c r="AX165" s="36" t="s">
        <v>416</v>
      </c>
      <c r="AY165" s="36" t="s">
        <v>435</v>
      </c>
      <c r="AZ165" s="30" t="s">
        <v>438</v>
      </c>
      <c r="BB165" s="35">
        <f>AV165+AW165</f>
        <v>0</v>
      </c>
      <c r="BC165" s="35">
        <f>G165/(100-BD165)*100</f>
        <v>0</v>
      </c>
      <c r="BD165" s="35">
        <v>0</v>
      </c>
      <c r="BE165" s="35">
        <f>L165</f>
        <v>0</v>
      </c>
      <c r="BG165" s="20">
        <f>F165*AN165</f>
        <v>0</v>
      </c>
      <c r="BH165" s="20">
        <f>F165*AO165</f>
        <v>0</v>
      </c>
      <c r="BI165" s="20">
        <f>F165*G165</f>
        <v>0</v>
      </c>
    </row>
    <row r="166" spans="4:6" ht="12.75">
      <c r="D166" s="16" t="s">
        <v>314</v>
      </c>
      <c r="F166" s="21">
        <v>0.9741</v>
      </c>
    </row>
    <row r="167" spans="1:46" ht="12.75">
      <c r="A167" s="5"/>
      <c r="B167" s="13"/>
      <c r="C167" s="13" t="s">
        <v>140</v>
      </c>
      <c r="D167" s="13" t="s">
        <v>315</v>
      </c>
      <c r="E167" s="5" t="s">
        <v>6</v>
      </c>
      <c r="F167" s="5" t="s">
        <v>6</v>
      </c>
      <c r="G167" s="5"/>
      <c r="H167" s="38">
        <f>SUM(H168:H168)</f>
        <v>0</v>
      </c>
      <c r="I167" s="38">
        <f>SUM(I168:I168)</f>
        <v>0</v>
      </c>
      <c r="J167" s="38">
        <f>SUM(J168:J168)</f>
        <v>0</v>
      </c>
      <c r="K167" s="30"/>
      <c r="L167" s="38">
        <f>SUM(L168:L168)</f>
        <v>0.005489600000000001</v>
      </c>
      <c r="AH167" s="30"/>
      <c r="AR167" s="38">
        <f>SUM(AI168:AI168)</f>
        <v>0</v>
      </c>
      <c r="AS167" s="38">
        <f>SUM(AJ168:AJ168)</f>
        <v>0</v>
      </c>
      <c r="AT167" s="38">
        <f>SUM(AK168:AK168)</f>
        <v>0</v>
      </c>
    </row>
    <row r="168" spans="1:61" ht="12.75">
      <c r="A168" s="4" t="s">
        <v>58</v>
      </c>
      <c r="B168" s="4"/>
      <c r="C168" s="4" t="s">
        <v>141</v>
      </c>
      <c r="D168" s="4" t="s">
        <v>316</v>
      </c>
      <c r="E168" s="4" t="s">
        <v>365</v>
      </c>
      <c r="F168" s="20">
        <v>34.31</v>
      </c>
      <c r="G168" s="20"/>
      <c r="H168" s="20">
        <f>F168*AN168</f>
        <v>0</v>
      </c>
      <c r="I168" s="20">
        <f>F168*AO168</f>
        <v>0</v>
      </c>
      <c r="J168" s="20">
        <f>F168*G168</f>
        <v>0</v>
      </c>
      <c r="K168" s="20">
        <v>0.00016</v>
      </c>
      <c r="L168" s="20">
        <f>F168*K168</f>
        <v>0.005489600000000001</v>
      </c>
      <c r="Y168" s="35">
        <f>IF(AP168="5",BI168,0)</f>
        <v>0</v>
      </c>
      <c r="AA168" s="35">
        <f>IF(AP168="1",BG168,0)</f>
        <v>0</v>
      </c>
      <c r="AB168" s="35">
        <f>IF(AP168="1",BH168,0)</f>
        <v>0</v>
      </c>
      <c r="AC168" s="35">
        <f>IF(AP168="7",BG168,0)</f>
        <v>0</v>
      </c>
      <c r="AD168" s="35">
        <f>IF(AP168="7",BH168,0)</f>
        <v>0</v>
      </c>
      <c r="AE168" s="35">
        <f>IF(AP168="2",BG168,0)</f>
        <v>0</v>
      </c>
      <c r="AF168" s="35">
        <f>IF(AP168="2",BH168,0)</f>
        <v>0</v>
      </c>
      <c r="AG168" s="35">
        <f>IF(AP168="0",BI168,0)</f>
        <v>0</v>
      </c>
      <c r="AH168" s="30"/>
      <c r="AI168" s="20">
        <f>IF(AM168=0,J168,0)</f>
        <v>0</v>
      </c>
      <c r="AJ168" s="20">
        <f>IF(AM168=15,J168,0)</f>
        <v>0</v>
      </c>
      <c r="AK168" s="20">
        <f>IF(AM168=21,J168,0)</f>
        <v>0</v>
      </c>
      <c r="AM168" s="35">
        <v>21</v>
      </c>
      <c r="AN168" s="35">
        <f>G168*0.13460967488529</f>
        <v>0</v>
      </c>
      <c r="AO168" s="35">
        <f>G168*(1-0.13460967488529)</f>
        <v>0</v>
      </c>
      <c r="AP168" s="31" t="s">
        <v>13</v>
      </c>
      <c r="AU168" s="35">
        <f>AV168+AW168</f>
        <v>0</v>
      </c>
      <c r="AV168" s="35">
        <f>F168*AN168</f>
        <v>0</v>
      </c>
      <c r="AW168" s="35">
        <f>F168*AO168</f>
        <v>0</v>
      </c>
      <c r="AX168" s="36" t="s">
        <v>417</v>
      </c>
      <c r="AY168" s="36" t="s">
        <v>435</v>
      </c>
      <c r="AZ168" s="30" t="s">
        <v>438</v>
      </c>
      <c r="BB168" s="35">
        <f>AV168+AW168</f>
        <v>0</v>
      </c>
      <c r="BC168" s="35">
        <f>G168/(100-BD168)*100</f>
        <v>0</v>
      </c>
      <c r="BD168" s="35">
        <v>0</v>
      </c>
      <c r="BE168" s="35">
        <f>L168</f>
        <v>0.005489600000000001</v>
      </c>
      <c r="BG168" s="20">
        <f>F168*AN168</f>
        <v>0</v>
      </c>
      <c r="BH168" s="20">
        <f>F168*AO168</f>
        <v>0</v>
      </c>
      <c r="BI168" s="20">
        <f>F168*G168</f>
        <v>0</v>
      </c>
    </row>
    <row r="169" ht="12.75">
      <c r="D169" s="15" t="s">
        <v>317</v>
      </c>
    </row>
    <row r="170" spans="4:6" ht="12.75">
      <c r="D170" s="16" t="s">
        <v>318</v>
      </c>
      <c r="F170" s="21">
        <v>23.1</v>
      </c>
    </row>
    <row r="171" spans="4:6" ht="12.75">
      <c r="D171" s="16" t="s">
        <v>319</v>
      </c>
      <c r="F171" s="21">
        <v>5.46</v>
      </c>
    </row>
    <row r="172" spans="4:6" ht="12.75">
      <c r="D172" s="16" t="s">
        <v>320</v>
      </c>
      <c r="F172" s="21">
        <v>3.65</v>
      </c>
    </row>
    <row r="173" spans="4:6" ht="12.75">
      <c r="D173" s="16" t="s">
        <v>321</v>
      </c>
      <c r="F173" s="21">
        <v>2.1</v>
      </c>
    </row>
    <row r="174" spans="1:46" ht="12.75">
      <c r="A174" s="5"/>
      <c r="B174" s="13"/>
      <c r="C174" s="13" t="s">
        <v>142</v>
      </c>
      <c r="D174" s="13" t="s">
        <v>322</v>
      </c>
      <c r="E174" s="5" t="s">
        <v>6</v>
      </c>
      <c r="F174" s="5" t="s">
        <v>6</v>
      </c>
      <c r="G174" s="5"/>
      <c r="H174" s="38">
        <f>SUM(H175:H177)</f>
        <v>0</v>
      </c>
      <c r="I174" s="38">
        <f>SUM(I175:I177)</f>
        <v>0</v>
      </c>
      <c r="J174" s="38">
        <f>SUM(J175:J177)</f>
        <v>0</v>
      </c>
      <c r="K174" s="30"/>
      <c r="L174" s="38">
        <f>SUM(L175:L177)</f>
        <v>0.00025600000000000004</v>
      </c>
      <c r="AH174" s="30"/>
      <c r="AR174" s="38">
        <f>SUM(AI175:AI177)</f>
        <v>0</v>
      </c>
      <c r="AS174" s="38">
        <f>SUM(AJ175:AJ177)</f>
        <v>0</v>
      </c>
      <c r="AT174" s="38">
        <f>SUM(AK175:AK177)</f>
        <v>0</v>
      </c>
    </row>
    <row r="175" spans="1:61" ht="12.75">
      <c r="A175" s="4" t="s">
        <v>59</v>
      </c>
      <c r="B175" s="4"/>
      <c r="C175" s="4" t="s">
        <v>143</v>
      </c>
      <c r="D175" s="4" t="s">
        <v>323</v>
      </c>
      <c r="E175" s="4" t="s">
        <v>365</v>
      </c>
      <c r="F175" s="20">
        <v>0.8</v>
      </c>
      <c r="G175" s="20"/>
      <c r="H175" s="20">
        <f>F175*AN175</f>
        <v>0</v>
      </c>
      <c r="I175" s="20">
        <f>F175*AO175</f>
        <v>0</v>
      </c>
      <c r="J175" s="20">
        <f>F175*G175</f>
        <v>0</v>
      </c>
      <c r="K175" s="20">
        <v>0.0002</v>
      </c>
      <c r="L175" s="20">
        <f>F175*K175</f>
        <v>0.00016</v>
      </c>
      <c r="Y175" s="35">
        <f>IF(AP175="5",BI175,0)</f>
        <v>0</v>
      </c>
      <c r="AA175" s="35">
        <f>IF(AP175="1",BG175,0)</f>
        <v>0</v>
      </c>
      <c r="AB175" s="35">
        <f>IF(AP175="1",BH175,0)</f>
        <v>0</v>
      </c>
      <c r="AC175" s="35">
        <f>IF(AP175="7",BG175,0)</f>
        <v>0</v>
      </c>
      <c r="AD175" s="35">
        <f>IF(AP175="7",BH175,0)</f>
        <v>0</v>
      </c>
      <c r="AE175" s="35">
        <f>IF(AP175="2",BG175,0)</f>
        <v>0</v>
      </c>
      <c r="AF175" s="35">
        <f>IF(AP175="2",BH175,0)</f>
        <v>0</v>
      </c>
      <c r="AG175" s="35">
        <f>IF(AP175="0",BI175,0)</f>
        <v>0</v>
      </c>
      <c r="AH175" s="30"/>
      <c r="AI175" s="20">
        <f>IF(AM175=0,J175,0)</f>
        <v>0</v>
      </c>
      <c r="AJ175" s="20">
        <f>IF(AM175=15,J175,0)</f>
        <v>0</v>
      </c>
      <c r="AK175" s="20">
        <f>IF(AM175=21,J175,0)</f>
        <v>0</v>
      </c>
      <c r="AM175" s="35">
        <v>21</v>
      </c>
      <c r="AN175" s="35">
        <f>G175*0.592511013215859</f>
        <v>0</v>
      </c>
      <c r="AO175" s="35">
        <f>G175*(1-0.592511013215859)</f>
        <v>0</v>
      </c>
      <c r="AP175" s="31" t="s">
        <v>13</v>
      </c>
      <c r="AU175" s="35">
        <f>AV175+AW175</f>
        <v>0</v>
      </c>
      <c r="AV175" s="35">
        <f>F175*AN175</f>
        <v>0</v>
      </c>
      <c r="AW175" s="35">
        <f>F175*AO175</f>
        <v>0</v>
      </c>
      <c r="AX175" s="36" t="s">
        <v>418</v>
      </c>
      <c r="AY175" s="36" t="s">
        <v>435</v>
      </c>
      <c r="AZ175" s="30" t="s">
        <v>438</v>
      </c>
      <c r="BB175" s="35">
        <f>AV175+AW175</f>
        <v>0</v>
      </c>
      <c r="BC175" s="35">
        <f>G175/(100-BD175)*100</f>
        <v>0</v>
      </c>
      <c r="BD175" s="35">
        <v>0</v>
      </c>
      <c r="BE175" s="35">
        <f>L175</f>
        <v>0.00016</v>
      </c>
      <c r="BG175" s="20">
        <f>F175*AN175</f>
        <v>0</v>
      </c>
      <c r="BH175" s="20">
        <f>F175*AO175</f>
        <v>0</v>
      </c>
      <c r="BI175" s="20">
        <f>F175*G175</f>
        <v>0</v>
      </c>
    </row>
    <row r="176" spans="4:6" ht="12.75">
      <c r="D176" s="16" t="s">
        <v>324</v>
      </c>
      <c r="F176" s="21">
        <v>0.8</v>
      </c>
    </row>
    <row r="177" spans="1:61" ht="12.75">
      <c r="A177" s="4" t="s">
        <v>60</v>
      </c>
      <c r="B177" s="4"/>
      <c r="C177" s="4" t="s">
        <v>144</v>
      </c>
      <c r="D177" s="4" t="s">
        <v>325</v>
      </c>
      <c r="E177" s="4" t="s">
        <v>365</v>
      </c>
      <c r="F177" s="20">
        <v>0.8</v>
      </c>
      <c r="G177" s="20"/>
      <c r="H177" s="20">
        <f>F177*AN177</f>
        <v>0</v>
      </c>
      <c r="I177" s="20">
        <f>F177*AO177</f>
        <v>0</v>
      </c>
      <c r="J177" s="20">
        <f>F177*G177</f>
        <v>0</v>
      </c>
      <c r="K177" s="20">
        <v>0.00012</v>
      </c>
      <c r="L177" s="20">
        <f>F177*K177</f>
        <v>9.6E-05</v>
      </c>
      <c r="Y177" s="35">
        <f>IF(AP177="5",BI177,0)</f>
        <v>0</v>
      </c>
      <c r="AA177" s="35">
        <f>IF(AP177="1",BG177,0)</f>
        <v>0</v>
      </c>
      <c r="AB177" s="35">
        <f>IF(AP177="1",BH177,0)</f>
        <v>0</v>
      </c>
      <c r="AC177" s="35">
        <f>IF(AP177="7",BG177,0)</f>
        <v>0</v>
      </c>
      <c r="AD177" s="35">
        <f>IF(AP177="7",BH177,0)</f>
        <v>0</v>
      </c>
      <c r="AE177" s="35">
        <f>IF(AP177="2",BG177,0)</f>
        <v>0</v>
      </c>
      <c r="AF177" s="35">
        <f>IF(AP177="2",BH177,0)</f>
        <v>0</v>
      </c>
      <c r="AG177" s="35">
        <f>IF(AP177="0",BI177,0)</f>
        <v>0</v>
      </c>
      <c r="AH177" s="30"/>
      <c r="AI177" s="20">
        <f>IF(AM177=0,J177,0)</f>
        <v>0</v>
      </c>
      <c r="AJ177" s="20">
        <f>IF(AM177=15,J177,0)</f>
        <v>0</v>
      </c>
      <c r="AK177" s="20">
        <f>IF(AM177=21,J177,0)</f>
        <v>0</v>
      </c>
      <c r="AM177" s="35">
        <v>21</v>
      </c>
      <c r="AN177" s="35">
        <f>G177*0.328723404255319</f>
        <v>0</v>
      </c>
      <c r="AO177" s="35">
        <f>G177*(1-0.328723404255319)</f>
        <v>0</v>
      </c>
      <c r="AP177" s="31" t="s">
        <v>13</v>
      </c>
      <c r="AU177" s="35">
        <f>AV177+AW177</f>
        <v>0</v>
      </c>
      <c r="AV177" s="35">
        <f>F177*AN177</f>
        <v>0</v>
      </c>
      <c r="AW177" s="35">
        <f>F177*AO177</f>
        <v>0</v>
      </c>
      <c r="AX177" s="36" t="s">
        <v>418</v>
      </c>
      <c r="AY177" s="36" t="s">
        <v>435</v>
      </c>
      <c r="AZ177" s="30" t="s">
        <v>438</v>
      </c>
      <c r="BB177" s="35">
        <f>AV177+AW177</f>
        <v>0</v>
      </c>
      <c r="BC177" s="35">
        <f>G177/(100-BD177)*100</f>
        <v>0</v>
      </c>
      <c r="BD177" s="35">
        <v>0</v>
      </c>
      <c r="BE177" s="35">
        <f>L177</f>
        <v>9.6E-05</v>
      </c>
      <c r="BG177" s="20">
        <f>F177*AN177</f>
        <v>0</v>
      </c>
      <c r="BH177" s="20">
        <f>F177*AO177</f>
        <v>0</v>
      </c>
      <c r="BI177" s="20">
        <f>F177*G177</f>
        <v>0</v>
      </c>
    </row>
    <row r="178" spans="4:6" ht="12.75">
      <c r="D178" s="16" t="s">
        <v>324</v>
      </c>
      <c r="F178" s="21">
        <v>0.8</v>
      </c>
    </row>
    <row r="179" spans="1:46" ht="12.75">
      <c r="A179" s="5"/>
      <c r="B179" s="13"/>
      <c r="C179" s="13" t="s">
        <v>145</v>
      </c>
      <c r="D179" s="13" t="s">
        <v>326</v>
      </c>
      <c r="E179" s="5" t="s">
        <v>6</v>
      </c>
      <c r="F179" s="5" t="s">
        <v>6</v>
      </c>
      <c r="G179" s="5"/>
      <c r="H179" s="38">
        <f>SUM(H180:H180)</f>
        <v>0</v>
      </c>
      <c r="I179" s="38">
        <f>SUM(I180:I180)</f>
        <v>0</v>
      </c>
      <c r="J179" s="38">
        <f>SUM(J180:J180)</f>
        <v>0</v>
      </c>
      <c r="K179" s="30"/>
      <c r="L179" s="38">
        <f>SUM(L180:L180)</f>
        <v>0</v>
      </c>
      <c r="AH179" s="30"/>
      <c r="AR179" s="38">
        <f>SUM(AI180:AI180)</f>
        <v>0</v>
      </c>
      <c r="AS179" s="38">
        <f>SUM(AJ180:AJ180)</f>
        <v>0</v>
      </c>
      <c r="AT179" s="38">
        <f>SUM(AK180:AK180)</f>
        <v>0</v>
      </c>
    </row>
    <row r="180" spans="1:61" ht="12.75">
      <c r="A180" s="4" t="s">
        <v>61</v>
      </c>
      <c r="B180" s="4"/>
      <c r="C180" s="4" t="s">
        <v>146</v>
      </c>
      <c r="D180" s="4" t="s">
        <v>327</v>
      </c>
      <c r="E180" s="4" t="s">
        <v>370</v>
      </c>
      <c r="F180" s="20">
        <v>1</v>
      </c>
      <c r="G180" s="20"/>
      <c r="H180" s="20">
        <f>F180*AN180</f>
        <v>0</v>
      </c>
      <c r="I180" s="20">
        <f>F180*AO180</f>
        <v>0</v>
      </c>
      <c r="J180" s="20">
        <f>F180*G180</f>
        <v>0</v>
      </c>
      <c r="K180" s="20">
        <v>0</v>
      </c>
      <c r="L180" s="20">
        <f>F180*K180</f>
        <v>0</v>
      </c>
      <c r="Y180" s="35">
        <f>IF(AP180="5",BI180,0)</f>
        <v>0</v>
      </c>
      <c r="AA180" s="35">
        <f>IF(AP180="1",BG180,0)</f>
        <v>0</v>
      </c>
      <c r="AB180" s="35">
        <f>IF(AP180="1",BH180,0)</f>
        <v>0</v>
      </c>
      <c r="AC180" s="35">
        <f>IF(AP180="7",BG180,0)</f>
        <v>0</v>
      </c>
      <c r="AD180" s="35">
        <f>IF(AP180="7",BH180,0)</f>
        <v>0</v>
      </c>
      <c r="AE180" s="35">
        <f>IF(AP180="2",BG180,0)</f>
        <v>0</v>
      </c>
      <c r="AF180" s="35">
        <f>IF(AP180="2",BH180,0)</f>
        <v>0</v>
      </c>
      <c r="AG180" s="35">
        <f>IF(AP180="0",BI180,0)</f>
        <v>0</v>
      </c>
      <c r="AH180" s="30"/>
      <c r="AI180" s="20">
        <f>IF(AM180=0,J180,0)</f>
        <v>0</v>
      </c>
      <c r="AJ180" s="20">
        <f>IF(AM180=15,J180,0)</f>
        <v>0</v>
      </c>
      <c r="AK180" s="20">
        <f>IF(AM180=21,J180,0)</f>
        <v>0</v>
      </c>
      <c r="AM180" s="35">
        <v>21</v>
      </c>
      <c r="AN180" s="35">
        <f>G180*0</f>
        <v>0</v>
      </c>
      <c r="AO180" s="35">
        <f>G180*(1-0)</f>
        <v>0</v>
      </c>
      <c r="AP180" s="31" t="s">
        <v>7</v>
      </c>
      <c r="AU180" s="35">
        <f>AV180+AW180</f>
        <v>0</v>
      </c>
      <c r="AV180" s="35">
        <f>F180*AN180</f>
        <v>0</v>
      </c>
      <c r="AW180" s="35">
        <f>F180*AO180</f>
        <v>0</v>
      </c>
      <c r="AX180" s="36" t="s">
        <v>419</v>
      </c>
      <c r="AY180" s="36" t="s">
        <v>436</v>
      </c>
      <c r="AZ180" s="30" t="s">
        <v>438</v>
      </c>
      <c r="BB180" s="35">
        <f>AV180+AW180</f>
        <v>0</v>
      </c>
      <c r="BC180" s="35">
        <f>G180/(100-BD180)*100</f>
        <v>0</v>
      </c>
      <c r="BD180" s="35">
        <v>0</v>
      </c>
      <c r="BE180" s="35">
        <f>L180</f>
        <v>0</v>
      </c>
      <c r="BG180" s="20">
        <f>F180*AN180</f>
        <v>0</v>
      </c>
      <c r="BH180" s="20">
        <f>F180*AO180</f>
        <v>0</v>
      </c>
      <c r="BI180" s="20">
        <f>F180*G180</f>
        <v>0</v>
      </c>
    </row>
    <row r="181" ht="12.75">
      <c r="D181" s="15" t="s">
        <v>328</v>
      </c>
    </row>
    <row r="182" spans="4:6" ht="12.75">
      <c r="D182" s="16" t="s">
        <v>265</v>
      </c>
      <c r="F182" s="21">
        <v>1</v>
      </c>
    </row>
    <row r="183" spans="1:46" ht="12.75">
      <c r="A183" s="5"/>
      <c r="B183" s="13"/>
      <c r="C183" s="13" t="s">
        <v>147</v>
      </c>
      <c r="D183" s="13" t="s">
        <v>329</v>
      </c>
      <c r="E183" s="5" t="s">
        <v>6</v>
      </c>
      <c r="F183" s="5" t="s">
        <v>6</v>
      </c>
      <c r="G183" s="5"/>
      <c r="H183" s="38">
        <f>SUM(H184:H184)</f>
        <v>0</v>
      </c>
      <c r="I183" s="38">
        <f>SUM(I184:I184)</f>
        <v>0</v>
      </c>
      <c r="J183" s="38">
        <f>SUM(J184:J184)</f>
        <v>0</v>
      </c>
      <c r="K183" s="30"/>
      <c r="L183" s="38">
        <f>SUM(L184:L184)</f>
        <v>4E-05</v>
      </c>
      <c r="AH183" s="30"/>
      <c r="AR183" s="38">
        <f>SUM(AI184:AI184)</f>
        <v>0</v>
      </c>
      <c r="AS183" s="38">
        <f>SUM(AJ184:AJ184)</f>
        <v>0</v>
      </c>
      <c r="AT183" s="38">
        <f>SUM(AK184:AK184)</f>
        <v>0</v>
      </c>
    </row>
    <row r="184" spans="1:61" ht="12.75">
      <c r="A184" s="4" t="s">
        <v>62</v>
      </c>
      <c r="B184" s="4"/>
      <c r="C184" s="4" t="s">
        <v>148</v>
      </c>
      <c r="D184" s="4" t="s">
        <v>330</v>
      </c>
      <c r="E184" s="4" t="s">
        <v>371</v>
      </c>
      <c r="F184" s="20">
        <v>4</v>
      </c>
      <c r="G184" s="20"/>
      <c r="H184" s="20">
        <f>F184*AN184</f>
        <v>0</v>
      </c>
      <c r="I184" s="20">
        <f>F184*AO184</f>
        <v>0</v>
      </c>
      <c r="J184" s="20">
        <f>F184*G184</f>
        <v>0</v>
      </c>
      <c r="K184" s="20">
        <v>1E-05</v>
      </c>
      <c r="L184" s="20">
        <f>F184*K184</f>
        <v>4E-05</v>
      </c>
      <c r="Y184" s="35">
        <f>IF(AP184="5",BI184,0)</f>
        <v>0</v>
      </c>
      <c r="AA184" s="35">
        <f>IF(AP184="1",BG184,0)</f>
        <v>0</v>
      </c>
      <c r="AB184" s="35">
        <f>IF(AP184="1",BH184,0)</f>
        <v>0</v>
      </c>
      <c r="AC184" s="35">
        <f>IF(AP184="7",BG184,0)</f>
        <v>0</v>
      </c>
      <c r="AD184" s="35">
        <f>IF(AP184="7",BH184,0)</f>
        <v>0</v>
      </c>
      <c r="AE184" s="35">
        <f>IF(AP184="2",BG184,0)</f>
        <v>0</v>
      </c>
      <c r="AF184" s="35">
        <f>IF(AP184="2",BH184,0)</f>
        <v>0</v>
      </c>
      <c r="AG184" s="35">
        <f>IF(AP184="0",BI184,0)</f>
        <v>0</v>
      </c>
      <c r="AH184" s="30"/>
      <c r="AI184" s="20">
        <f>IF(AM184=0,J184,0)</f>
        <v>0</v>
      </c>
      <c r="AJ184" s="20">
        <f>IF(AM184=15,J184,0)</f>
        <v>0</v>
      </c>
      <c r="AK184" s="20">
        <f>IF(AM184=21,J184,0)</f>
        <v>0</v>
      </c>
      <c r="AM184" s="35">
        <v>21</v>
      </c>
      <c r="AN184" s="35">
        <f>G184*0</f>
        <v>0</v>
      </c>
      <c r="AO184" s="35">
        <f>G184*(1-0)</f>
        <v>0</v>
      </c>
      <c r="AP184" s="31" t="s">
        <v>7</v>
      </c>
      <c r="AU184" s="35">
        <f>AV184+AW184</f>
        <v>0</v>
      </c>
      <c r="AV184" s="35">
        <f>F184*AN184</f>
        <v>0</v>
      </c>
      <c r="AW184" s="35">
        <f>F184*AO184</f>
        <v>0</v>
      </c>
      <c r="AX184" s="36" t="s">
        <v>420</v>
      </c>
      <c r="AY184" s="36" t="s">
        <v>436</v>
      </c>
      <c r="AZ184" s="30" t="s">
        <v>438</v>
      </c>
      <c r="BB184" s="35">
        <f>AV184+AW184</f>
        <v>0</v>
      </c>
      <c r="BC184" s="35">
        <f>G184/(100-BD184)*100</f>
        <v>0</v>
      </c>
      <c r="BD184" s="35">
        <v>0</v>
      </c>
      <c r="BE184" s="35">
        <f>L184</f>
        <v>4E-05</v>
      </c>
      <c r="BG184" s="20">
        <f>F184*AN184</f>
        <v>0</v>
      </c>
      <c r="BH184" s="20">
        <f>F184*AO184</f>
        <v>0</v>
      </c>
      <c r="BI184" s="20">
        <f>F184*G184</f>
        <v>0</v>
      </c>
    </row>
    <row r="185" ht="12.75">
      <c r="D185" s="15" t="s">
        <v>331</v>
      </c>
    </row>
    <row r="186" spans="4:6" ht="12.75">
      <c r="D186" s="16" t="s">
        <v>214</v>
      </c>
      <c r="F186" s="21">
        <v>4</v>
      </c>
    </row>
    <row r="187" spans="1:46" ht="12.75">
      <c r="A187" s="5"/>
      <c r="B187" s="13"/>
      <c r="C187" s="13" t="s">
        <v>149</v>
      </c>
      <c r="D187" s="13" t="s">
        <v>332</v>
      </c>
      <c r="E187" s="5" t="s">
        <v>6</v>
      </c>
      <c r="F187" s="5" t="s">
        <v>6</v>
      </c>
      <c r="G187" s="5"/>
      <c r="H187" s="38">
        <f>SUM(H188:H190)</f>
        <v>0</v>
      </c>
      <c r="I187" s="38">
        <f>SUM(I188:I190)</f>
        <v>0</v>
      </c>
      <c r="J187" s="38">
        <f>SUM(J188:J190)</f>
        <v>0</v>
      </c>
      <c r="K187" s="30"/>
      <c r="L187" s="38">
        <f>SUM(L188:L190)</f>
        <v>2.3764000000000003</v>
      </c>
      <c r="AH187" s="30"/>
      <c r="AR187" s="38">
        <f>SUM(AI188:AI190)</f>
        <v>0</v>
      </c>
      <c r="AS187" s="38">
        <f>SUM(AJ188:AJ190)</f>
        <v>0</v>
      </c>
      <c r="AT187" s="38">
        <f>SUM(AK188:AK190)</f>
        <v>0</v>
      </c>
    </row>
    <row r="188" spans="1:61" ht="12.75">
      <c r="A188" s="4" t="s">
        <v>63</v>
      </c>
      <c r="B188" s="4"/>
      <c r="C188" s="4" t="s">
        <v>150</v>
      </c>
      <c r="D188" s="4" t="s">
        <v>333</v>
      </c>
      <c r="E188" s="4" t="s">
        <v>365</v>
      </c>
      <c r="F188" s="20">
        <v>14</v>
      </c>
      <c r="G188" s="20"/>
      <c r="H188" s="20">
        <f>F188*AN188</f>
        <v>0</v>
      </c>
      <c r="I188" s="20">
        <f>F188*AO188</f>
        <v>0</v>
      </c>
      <c r="J188" s="20">
        <f>F188*G188</f>
        <v>0</v>
      </c>
      <c r="K188" s="20">
        <v>0.0126</v>
      </c>
      <c r="L188" s="20">
        <f>F188*K188</f>
        <v>0.1764</v>
      </c>
      <c r="Y188" s="35">
        <f>IF(AP188="5",BI188,0)</f>
        <v>0</v>
      </c>
      <c r="AA188" s="35">
        <f>IF(AP188="1",BG188,0)</f>
        <v>0</v>
      </c>
      <c r="AB188" s="35">
        <f>IF(AP188="1",BH188,0)</f>
        <v>0</v>
      </c>
      <c r="AC188" s="35">
        <f>IF(AP188="7",BG188,0)</f>
        <v>0</v>
      </c>
      <c r="AD188" s="35">
        <f>IF(AP188="7",BH188,0)</f>
        <v>0</v>
      </c>
      <c r="AE188" s="35">
        <f>IF(AP188="2",BG188,0)</f>
        <v>0</v>
      </c>
      <c r="AF188" s="35">
        <f>IF(AP188="2",BH188,0)</f>
        <v>0</v>
      </c>
      <c r="AG188" s="35">
        <f>IF(AP188="0",BI188,0)</f>
        <v>0</v>
      </c>
      <c r="AH188" s="30"/>
      <c r="AI188" s="20">
        <f>IF(AM188=0,J188,0)</f>
        <v>0</v>
      </c>
      <c r="AJ188" s="20">
        <f>IF(AM188=15,J188,0)</f>
        <v>0</v>
      </c>
      <c r="AK188" s="20">
        <f>IF(AM188=21,J188,0)</f>
        <v>0</v>
      </c>
      <c r="AM188" s="35">
        <v>21</v>
      </c>
      <c r="AN188" s="35">
        <f>G188*0</f>
        <v>0</v>
      </c>
      <c r="AO188" s="35">
        <f>G188*(1-0)</f>
        <v>0</v>
      </c>
      <c r="AP188" s="31" t="s">
        <v>7</v>
      </c>
      <c r="AU188" s="35">
        <f>AV188+AW188</f>
        <v>0</v>
      </c>
      <c r="AV188" s="35">
        <f>F188*AN188</f>
        <v>0</v>
      </c>
      <c r="AW188" s="35">
        <f>F188*AO188</f>
        <v>0</v>
      </c>
      <c r="AX188" s="36" t="s">
        <v>421</v>
      </c>
      <c r="AY188" s="36" t="s">
        <v>436</v>
      </c>
      <c r="AZ188" s="30" t="s">
        <v>438</v>
      </c>
      <c r="BB188" s="35">
        <f>AV188+AW188</f>
        <v>0</v>
      </c>
      <c r="BC188" s="35">
        <f>G188/(100-BD188)*100</f>
        <v>0</v>
      </c>
      <c r="BD188" s="35">
        <v>0</v>
      </c>
      <c r="BE188" s="35">
        <f>L188</f>
        <v>0.1764</v>
      </c>
      <c r="BG188" s="20">
        <f>F188*AN188</f>
        <v>0</v>
      </c>
      <c r="BH188" s="20">
        <f>F188*AO188</f>
        <v>0</v>
      </c>
      <c r="BI188" s="20">
        <f>F188*G188</f>
        <v>0</v>
      </c>
    </row>
    <row r="189" spans="4:6" ht="12.75">
      <c r="D189" s="16" t="s">
        <v>334</v>
      </c>
      <c r="F189" s="21">
        <v>14</v>
      </c>
    </row>
    <row r="190" spans="1:61" ht="12.75">
      <c r="A190" s="4" t="s">
        <v>64</v>
      </c>
      <c r="B190" s="4"/>
      <c r="C190" s="4" t="s">
        <v>151</v>
      </c>
      <c r="D190" s="4" t="s">
        <v>335</v>
      </c>
      <c r="E190" s="4" t="s">
        <v>370</v>
      </c>
      <c r="F190" s="20">
        <v>1</v>
      </c>
      <c r="G190" s="20"/>
      <c r="H190" s="20">
        <f>F190*AN190</f>
        <v>0</v>
      </c>
      <c r="I190" s="20">
        <f>F190*AO190</f>
        <v>0</v>
      </c>
      <c r="J190" s="20">
        <f>F190*G190</f>
        <v>0</v>
      </c>
      <c r="K190" s="20">
        <v>2.2</v>
      </c>
      <c r="L190" s="20">
        <f>F190*K190</f>
        <v>2.2</v>
      </c>
      <c r="Y190" s="35">
        <f>IF(AP190="5",BI190,0)</f>
        <v>0</v>
      </c>
      <c r="AA190" s="35">
        <f>IF(AP190="1",BG190,0)</f>
        <v>0</v>
      </c>
      <c r="AB190" s="35">
        <f>IF(AP190="1",BH190,0)</f>
        <v>0</v>
      </c>
      <c r="AC190" s="35">
        <f>IF(AP190="7",BG190,0)</f>
        <v>0</v>
      </c>
      <c r="AD190" s="35">
        <f>IF(AP190="7",BH190,0)</f>
        <v>0</v>
      </c>
      <c r="AE190" s="35">
        <f>IF(AP190="2",BG190,0)</f>
        <v>0</v>
      </c>
      <c r="AF190" s="35">
        <f>IF(AP190="2",BH190,0)</f>
        <v>0</v>
      </c>
      <c r="AG190" s="35">
        <f>IF(AP190="0",BI190,0)</f>
        <v>0</v>
      </c>
      <c r="AH190" s="30"/>
      <c r="AI190" s="20">
        <f>IF(AM190=0,J190,0)</f>
        <v>0</v>
      </c>
      <c r="AJ190" s="20">
        <f>IF(AM190=15,J190,0)</f>
        <v>0</v>
      </c>
      <c r="AK190" s="20">
        <f>IF(AM190=21,J190,0)</f>
        <v>0</v>
      </c>
      <c r="AM190" s="35">
        <v>21</v>
      </c>
      <c r="AN190" s="35">
        <f>G190*0</f>
        <v>0</v>
      </c>
      <c r="AO190" s="35">
        <f>G190*(1-0)</f>
        <v>0</v>
      </c>
      <c r="AP190" s="31" t="s">
        <v>7</v>
      </c>
      <c r="AU190" s="35">
        <f>AV190+AW190</f>
        <v>0</v>
      </c>
      <c r="AV190" s="35">
        <f>F190*AN190</f>
        <v>0</v>
      </c>
      <c r="AW190" s="35">
        <f>F190*AO190</f>
        <v>0</v>
      </c>
      <c r="AX190" s="36" t="s">
        <v>421</v>
      </c>
      <c r="AY190" s="36" t="s">
        <v>436</v>
      </c>
      <c r="AZ190" s="30" t="s">
        <v>438</v>
      </c>
      <c r="BB190" s="35">
        <f>AV190+AW190</f>
        <v>0</v>
      </c>
      <c r="BC190" s="35">
        <f>G190/(100-BD190)*100</f>
        <v>0</v>
      </c>
      <c r="BD190" s="35">
        <v>0</v>
      </c>
      <c r="BE190" s="35">
        <f>L190</f>
        <v>2.2</v>
      </c>
      <c r="BG190" s="20">
        <f>F190*AN190</f>
        <v>0</v>
      </c>
      <c r="BH190" s="20">
        <f>F190*AO190</f>
        <v>0</v>
      </c>
      <c r="BI190" s="20">
        <f>F190*G190</f>
        <v>0</v>
      </c>
    </row>
    <row r="191" ht="25.5">
      <c r="D191" s="15" t="s">
        <v>336</v>
      </c>
    </row>
    <row r="192" spans="4:6" ht="12.75">
      <c r="D192" s="16" t="s">
        <v>265</v>
      </c>
      <c r="F192" s="21">
        <v>1</v>
      </c>
    </row>
    <row r="193" spans="1:46" ht="12.75">
      <c r="A193" s="5"/>
      <c r="B193" s="13"/>
      <c r="C193" s="13" t="s">
        <v>152</v>
      </c>
      <c r="D193" s="13" t="s">
        <v>337</v>
      </c>
      <c r="E193" s="5" t="s">
        <v>6</v>
      </c>
      <c r="F193" s="5" t="s">
        <v>6</v>
      </c>
      <c r="G193" s="5"/>
      <c r="H193" s="38">
        <f>SUM(H194:H194)</f>
        <v>0</v>
      </c>
      <c r="I193" s="38">
        <f>SUM(I194:I194)</f>
        <v>0</v>
      </c>
      <c r="J193" s="38">
        <f>SUM(J194:J194)</f>
        <v>0</v>
      </c>
      <c r="K193" s="30"/>
      <c r="L193" s="38">
        <f>SUM(L194:L194)</f>
        <v>0.1647</v>
      </c>
      <c r="AH193" s="30"/>
      <c r="AR193" s="38">
        <f>SUM(AI194:AI194)</f>
        <v>0</v>
      </c>
      <c r="AS193" s="38">
        <f>SUM(AJ194:AJ194)</f>
        <v>0</v>
      </c>
      <c r="AT193" s="38">
        <f>SUM(AK194:AK194)</f>
        <v>0</v>
      </c>
    </row>
    <row r="194" spans="1:61" ht="12.75">
      <c r="A194" s="4" t="s">
        <v>65</v>
      </c>
      <c r="B194" s="4"/>
      <c r="C194" s="4" t="s">
        <v>153</v>
      </c>
      <c r="D194" s="4" t="s">
        <v>338</v>
      </c>
      <c r="E194" s="4" t="s">
        <v>367</v>
      </c>
      <c r="F194" s="20">
        <v>30</v>
      </c>
      <c r="G194" s="20"/>
      <c r="H194" s="20">
        <f>F194*AN194</f>
        <v>0</v>
      </c>
      <c r="I194" s="20">
        <f>F194*AO194</f>
        <v>0</v>
      </c>
      <c r="J194" s="20">
        <f>F194*G194</f>
        <v>0</v>
      </c>
      <c r="K194" s="20">
        <v>0.00549</v>
      </c>
      <c r="L194" s="20">
        <f>F194*K194</f>
        <v>0.1647</v>
      </c>
      <c r="Y194" s="35">
        <f>IF(AP194="5",BI194,0)</f>
        <v>0</v>
      </c>
      <c r="AA194" s="35">
        <f>IF(AP194="1",BG194,0)</f>
        <v>0</v>
      </c>
      <c r="AB194" s="35">
        <f>IF(AP194="1",BH194,0)</f>
        <v>0</v>
      </c>
      <c r="AC194" s="35">
        <f>IF(AP194="7",BG194,0)</f>
        <v>0</v>
      </c>
      <c r="AD194" s="35">
        <f>IF(AP194="7",BH194,0)</f>
        <v>0</v>
      </c>
      <c r="AE194" s="35">
        <f>IF(AP194="2",BG194,0)</f>
        <v>0</v>
      </c>
      <c r="AF194" s="35">
        <f>IF(AP194="2",BH194,0)</f>
        <v>0</v>
      </c>
      <c r="AG194" s="35">
        <f>IF(AP194="0",BI194,0)</f>
        <v>0</v>
      </c>
      <c r="AH194" s="30"/>
      <c r="AI194" s="20">
        <f>IF(AM194=0,J194,0)</f>
        <v>0</v>
      </c>
      <c r="AJ194" s="20">
        <f>IF(AM194=15,J194,0)</f>
        <v>0</v>
      </c>
      <c r="AK194" s="20">
        <f>IF(AM194=21,J194,0)</f>
        <v>0</v>
      </c>
      <c r="AM194" s="35">
        <v>21</v>
      </c>
      <c r="AN194" s="35">
        <f>G194*0.0610799136069115</f>
        <v>0</v>
      </c>
      <c r="AO194" s="35">
        <f>G194*(1-0.0610799136069115)</f>
        <v>0</v>
      </c>
      <c r="AP194" s="31" t="s">
        <v>7</v>
      </c>
      <c r="AU194" s="35">
        <f>AV194+AW194</f>
        <v>0</v>
      </c>
      <c r="AV194" s="35">
        <f>F194*AN194</f>
        <v>0</v>
      </c>
      <c r="AW194" s="35">
        <f>F194*AO194</f>
        <v>0</v>
      </c>
      <c r="AX194" s="36" t="s">
        <v>422</v>
      </c>
      <c r="AY194" s="36" t="s">
        <v>436</v>
      </c>
      <c r="AZ194" s="30" t="s">
        <v>438</v>
      </c>
      <c r="BB194" s="35">
        <f>AV194+AW194</f>
        <v>0</v>
      </c>
      <c r="BC194" s="35">
        <f>G194/(100-BD194)*100</f>
        <v>0</v>
      </c>
      <c r="BD194" s="35">
        <v>0</v>
      </c>
      <c r="BE194" s="35">
        <f>L194</f>
        <v>0.1647</v>
      </c>
      <c r="BG194" s="20">
        <f>F194*AN194</f>
        <v>0</v>
      </c>
      <c r="BH194" s="20">
        <f>F194*AO194</f>
        <v>0</v>
      </c>
      <c r="BI194" s="20">
        <f>F194*G194</f>
        <v>0</v>
      </c>
    </row>
    <row r="195" ht="25.5">
      <c r="D195" s="15" t="s">
        <v>339</v>
      </c>
    </row>
    <row r="196" spans="4:6" ht="12.75">
      <c r="D196" s="16" t="s">
        <v>201</v>
      </c>
      <c r="F196" s="21">
        <v>30</v>
      </c>
    </row>
    <row r="197" spans="1:46" ht="12.75">
      <c r="A197" s="5"/>
      <c r="B197" s="13"/>
      <c r="C197" s="13" t="s">
        <v>154</v>
      </c>
      <c r="D197" s="13" t="s">
        <v>340</v>
      </c>
      <c r="E197" s="5" t="s">
        <v>6</v>
      </c>
      <c r="F197" s="5" t="s">
        <v>6</v>
      </c>
      <c r="G197" s="5"/>
      <c r="H197" s="38">
        <f>SUM(H198:H198)</f>
        <v>0</v>
      </c>
      <c r="I197" s="38">
        <f>SUM(I198:I198)</f>
        <v>0</v>
      </c>
      <c r="J197" s="38">
        <f>SUM(J198:J198)</f>
        <v>0</v>
      </c>
      <c r="K197" s="30"/>
      <c r="L197" s="38">
        <f>SUM(L198:L198)</f>
        <v>0</v>
      </c>
      <c r="AH197" s="30"/>
      <c r="AR197" s="38">
        <f>SUM(AI198:AI198)</f>
        <v>0</v>
      </c>
      <c r="AS197" s="38">
        <f>SUM(AJ198:AJ198)</f>
        <v>0</v>
      </c>
      <c r="AT197" s="38">
        <f>SUM(AK198:AK198)</f>
        <v>0</v>
      </c>
    </row>
    <row r="198" spans="1:61" ht="12.75">
      <c r="A198" s="4" t="s">
        <v>66</v>
      </c>
      <c r="B198" s="4"/>
      <c r="C198" s="4" t="s">
        <v>155</v>
      </c>
      <c r="D198" s="4" t="s">
        <v>341</v>
      </c>
      <c r="E198" s="4" t="s">
        <v>368</v>
      </c>
      <c r="F198" s="20">
        <v>10.65482</v>
      </c>
      <c r="G198" s="20"/>
      <c r="H198" s="20">
        <f>F198*AN198</f>
        <v>0</v>
      </c>
      <c r="I198" s="20">
        <f>F198*AO198</f>
        <v>0</v>
      </c>
      <c r="J198" s="20">
        <f>F198*G198</f>
        <v>0</v>
      </c>
      <c r="K198" s="20">
        <v>0</v>
      </c>
      <c r="L198" s="20">
        <f>F198*K198</f>
        <v>0</v>
      </c>
      <c r="Y198" s="35">
        <f>IF(AP198="5",BI198,0)</f>
        <v>0</v>
      </c>
      <c r="AA198" s="35">
        <f>IF(AP198="1",BG198,0)</f>
        <v>0</v>
      </c>
      <c r="AB198" s="35">
        <f>IF(AP198="1",BH198,0)</f>
        <v>0</v>
      </c>
      <c r="AC198" s="35">
        <f>IF(AP198="7",BG198,0)</f>
        <v>0</v>
      </c>
      <c r="AD198" s="35">
        <f>IF(AP198="7",BH198,0)</f>
        <v>0</v>
      </c>
      <c r="AE198" s="35">
        <f>IF(AP198="2",BG198,0)</f>
        <v>0</v>
      </c>
      <c r="AF198" s="35">
        <f>IF(AP198="2",BH198,0)</f>
        <v>0</v>
      </c>
      <c r="AG198" s="35">
        <f>IF(AP198="0",BI198,0)</f>
        <v>0</v>
      </c>
      <c r="AH198" s="30"/>
      <c r="AI198" s="20">
        <f>IF(AM198=0,J198,0)</f>
        <v>0</v>
      </c>
      <c r="AJ198" s="20">
        <f>IF(AM198=15,J198,0)</f>
        <v>0</v>
      </c>
      <c r="AK198" s="20">
        <f>IF(AM198=21,J198,0)</f>
        <v>0</v>
      </c>
      <c r="AM198" s="35">
        <v>21</v>
      </c>
      <c r="AN198" s="35">
        <f>G198*0</f>
        <v>0</v>
      </c>
      <c r="AO198" s="35">
        <f>G198*(1-0)</f>
        <v>0</v>
      </c>
      <c r="AP198" s="31" t="s">
        <v>11</v>
      </c>
      <c r="AU198" s="35">
        <f>AV198+AW198</f>
        <v>0</v>
      </c>
      <c r="AV198" s="35">
        <f>F198*AN198</f>
        <v>0</v>
      </c>
      <c r="AW198" s="35">
        <f>F198*AO198</f>
        <v>0</v>
      </c>
      <c r="AX198" s="36" t="s">
        <v>423</v>
      </c>
      <c r="AY198" s="36" t="s">
        <v>436</v>
      </c>
      <c r="AZ198" s="30" t="s">
        <v>438</v>
      </c>
      <c r="BB198" s="35">
        <f>AV198+AW198</f>
        <v>0</v>
      </c>
      <c r="BC198" s="35">
        <f>G198/(100-BD198)*100</f>
        <v>0</v>
      </c>
      <c r="BD198" s="35">
        <v>0</v>
      </c>
      <c r="BE198" s="35">
        <f>L198</f>
        <v>0</v>
      </c>
      <c r="BG198" s="20">
        <f>F198*AN198</f>
        <v>0</v>
      </c>
      <c r="BH198" s="20">
        <f>F198*AO198</f>
        <v>0</v>
      </c>
      <c r="BI198" s="20">
        <f>F198*G198</f>
        <v>0</v>
      </c>
    </row>
    <row r="199" spans="1:46" ht="12.75">
      <c r="A199" s="5"/>
      <c r="B199" s="13"/>
      <c r="C199" s="13" t="s">
        <v>156</v>
      </c>
      <c r="D199" s="13" t="s">
        <v>342</v>
      </c>
      <c r="E199" s="5" t="s">
        <v>6</v>
      </c>
      <c r="F199" s="5" t="s">
        <v>6</v>
      </c>
      <c r="G199" s="5"/>
      <c r="H199" s="38">
        <f>SUM(H200:H200)</f>
        <v>0</v>
      </c>
      <c r="I199" s="38">
        <f>SUM(I200:I200)</f>
        <v>0</v>
      </c>
      <c r="J199" s="38">
        <f>SUM(J200:J200)</f>
        <v>0</v>
      </c>
      <c r="K199" s="30"/>
      <c r="L199" s="38">
        <f>SUM(L200:L200)</f>
        <v>0</v>
      </c>
      <c r="AH199" s="30"/>
      <c r="AR199" s="38">
        <f>SUM(AI200:AI200)</f>
        <v>0</v>
      </c>
      <c r="AS199" s="38">
        <f>SUM(AJ200:AJ200)</f>
        <v>0</v>
      </c>
      <c r="AT199" s="38">
        <f>SUM(AK200:AK200)</f>
        <v>0</v>
      </c>
    </row>
    <row r="200" spans="1:61" ht="12.75">
      <c r="A200" s="4" t="s">
        <v>67</v>
      </c>
      <c r="B200" s="4"/>
      <c r="C200" s="4" t="s">
        <v>157</v>
      </c>
      <c r="D200" s="4" t="s">
        <v>343</v>
      </c>
      <c r="E200" s="4" t="s">
        <v>369</v>
      </c>
      <c r="F200" s="20">
        <v>1</v>
      </c>
      <c r="G200" s="20"/>
      <c r="H200" s="20">
        <f>F200*AN200</f>
        <v>0</v>
      </c>
      <c r="I200" s="20">
        <f>F200*AO200</f>
        <v>0</v>
      </c>
      <c r="J200" s="20">
        <f>F200*G200</f>
        <v>0</v>
      </c>
      <c r="K200" s="20">
        <v>0</v>
      </c>
      <c r="L200" s="20">
        <f>F200*K200</f>
        <v>0</v>
      </c>
      <c r="Y200" s="35">
        <f>IF(AP200="5",BI200,0)</f>
        <v>0</v>
      </c>
      <c r="AA200" s="35">
        <f>IF(AP200="1",BG200,0)</f>
        <v>0</v>
      </c>
      <c r="AB200" s="35">
        <f>IF(AP200="1",BH200,0)</f>
        <v>0</v>
      </c>
      <c r="AC200" s="35">
        <f>IF(AP200="7",BG200,0)</f>
        <v>0</v>
      </c>
      <c r="AD200" s="35">
        <f>IF(AP200="7",BH200,0)</f>
        <v>0</v>
      </c>
      <c r="AE200" s="35">
        <f>IF(AP200="2",BG200,0)</f>
        <v>0</v>
      </c>
      <c r="AF200" s="35">
        <f>IF(AP200="2",BH200,0)</f>
        <v>0</v>
      </c>
      <c r="AG200" s="35">
        <f>IF(AP200="0",BI200,0)</f>
        <v>0</v>
      </c>
      <c r="AH200" s="30"/>
      <c r="AI200" s="20">
        <f>IF(AM200=0,J200,0)</f>
        <v>0</v>
      </c>
      <c r="AJ200" s="20">
        <f>IF(AM200=15,J200,0)</f>
        <v>0</v>
      </c>
      <c r="AK200" s="20">
        <f>IF(AM200=21,J200,0)</f>
        <v>0</v>
      </c>
      <c r="AM200" s="35">
        <v>21</v>
      </c>
      <c r="AN200" s="35">
        <f>G200*0</f>
        <v>0</v>
      </c>
      <c r="AO200" s="35">
        <f>G200*(1-0)</f>
        <v>0</v>
      </c>
      <c r="AP200" s="31" t="s">
        <v>8</v>
      </c>
      <c r="AU200" s="35">
        <f>AV200+AW200</f>
        <v>0</v>
      </c>
      <c r="AV200" s="35">
        <f>F200*AN200</f>
        <v>0</v>
      </c>
      <c r="AW200" s="35">
        <f>F200*AO200</f>
        <v>0</v>
      </c>
      <c r="AX200" s="36" t="s">
        <v>424</v>
      </c>
      <c r="AY200" s="36" t="s">
        <v>436</v>
      </c>
      <c r="AZ200" s="30" t="s">
        <v>438</v>
      </c>
      <c r="BB200" s="35">
        <f>AV200+AW200</f>
        <v>0</v>
      </c>
      <c r="BC200" s="35">
        <f>G200/(100-BD200)*100</f>
        <v>0</v>
      </c>
      <c r="BD200" s="35">
        <v>0</v>
      </c>
      <c r="BE200" s="35">
        <f>L200</f>
        <v>0</v>
      </c>
      <c r="BG200" s="20">
        <f>F200*AN200</f>
        <v>0</v>
      </c>
      <c r="BH200" s="20">
        <f>F200*AO200</f>
        <v>0</v>
      </c>
      <c r="BI200" s="20">
        <f>F200*G200</f>
        <v>0</v>
      </c>
    </row>
    <row r="201" spans="4:6" ht="12.75">
      <c r="D201" s="16" t="s">
        <v>265</v>
      </c>
      <c r="F201" s="21">
        <v>1</v>
      </c>
    </row>
    <row r="202" spans="1:46" ht="12.75">
      <c r="A202" s="5"/>
      <c r="B202" s="13"/>
      <c r="C202" s="13" t="s">
        <v>158</v>
      </c>
      <c r="D202" s="13" t="s">
        <v>344</v>
      </c>
      <c r="E202" s="5" t="s">
        <v>6</v>
      </c>
      <c r="F202" s="5" t="s">
        <v>6</v>
      </c>
      <c r="G202" s="5"/>
      <c r="H202" s="38">
        <f>SUM(H203:H210)</f>
        <v>0</v>
      </c>
      <c r="I202" s="38">
        <f>SUM(I203:I210)</f>
        <v>0</v>
      </c>
      <c r="J202" s="38">
        <f>SUM(J203:J210)</f>
        <v>0</v>
      </c>
      <c r="K202" s="30"/>
      <c r="L202" s="38">
        <f>SUM(L203:L210)</f>
        <v>0</v>
      </c>
      <c r="AH202" s="30"/>
      <c r="AR202" s="38">
        <f>SUM(AI203:AI210)</f>
        <v>0</v>
      </c>
      <c r="AS202" s="38">
        <f>SUM(AJ203:AJ210)</f>
        <v>0</v>
      </c>
      <c r="AT202" s="38">
        <f>SUM(AK203:AK210)</f>
        <v>0</v>
      </c>
    </row>
    <row r="203" spans="1:61" ht="12.75">
      <c r="A203" s="4" t="s">
        <v>68</v>
      </c>
      <c r="B203" s="4"/>
      <c r="C203" s="4" t="s">
        <v>159</v>
      </c>
      <c r="D203" s="4" t="s">
        <v>345</v>
      </c>
      <c r="E203" s="4" t="s">
        <v>367</v>
      </c>
      <c r="F203" s="20">
        <v>2</v>
      </c>
      <c r="G203" s="20"/>
      <c r="H203" s="20">
        <f>F203*AN203</f>
        <v>0</v>
      </c>
      <c r="I203" s="20">
        <f>F203*AO203</f>
        <v>0</v>
      </c>
      <c r="J203" s="20">
        <f>F203*G203</f>
        <v>0</v>
      </c>
      <c r="K203" s="20">
        <v>0</v>
      </c>
      <c r="L203" s="20">
        <f>F203*K203</f>
        <v>0</v>
      </c>
      <c r="Y203" s="35">
        <f>IF(AP203="5",BI203,0)</f>
        <v>0</v>
      </c>
      <c r="AA203" s="35">
        <f>IF(AP203="1",BG203,0)</f>
        <v>0</v>
      </c>
      <c r="AB203" s="35">
        <f>IF(AP203="1",BH203,0)</f>
        <v>0</v>
      </c>
      <c r="AC203" s="35">
        <f>IF(AP203="7",BG203,0)</f>
        <v>0</v>
      </c>
      <c r="AD203" s="35">
        <f>IF(AP203="7",BH203,0)</f>
        <v>0</v>
      </c>
      <c r="AE203" s="35">
        <f>IF(AP203="2",BG203,0)</f>
        <v>0</v>
      </c>
      <c r="AF203" s="35">
        <f>IF(AP203="2",BH203,0)</f>
        <v>0</v>
      </c>
      <c r="AG203" s="35">
        <f>IF(AP203="0",BI203,0)</f>
        <v>0</v>
      </c>
      <c r="AH203" s="30"/>
      <c r="AI203" s="20">
        <f>IF(AM203=0,J203,0)</f>
        <v>0</v>
      </c>
      <c r="AJ203" s="20">
        <f>IF(AM203=15,J203,0)</f>
        <v>0</v>
      </c>
      <c r="AK203" s="20">
        <f>IF(AM203=21,J203,0)</f>
        <v>0</v>
      </c>
      <c r="AM203" s="35">
        <v>21</v>
      </c>
      <c r="AN203" s="35">
        <f>G203*0</f>
        <v>0</v>
      </c>
      <c r="AO203" s="35">
        <f>G203*(1-0)</f>
        <v>0</v>
      </c>
      <c r="AP203" s="31" t="s">
        <v>8</v>
      </c>
      <c r="AU203" s="35">
        <f>AV203+AW203</f>
        <v>0</v>
      </c>
      <c r="AV203" s="35">
        <f>F203*AN203</f>
        <v>0</v>
      </c>
      <c r="AW203" s="35">
        <f>F203*AO203</f>
        <v>0</v>
      </c>
      <c r="AX203" s="36" t="s">
        <v>425</v>
      </c>
      <c r="AY203" s="36" t="s">
        <v>436</v>
      </c>
      <c r="AZ203" s="30" t="s">
        <v>438</v>
      </c>
      <c r="BB203" s="35">
        <f>AV203+AW203</f>
        <v>0</v>
      </c>
      <c r="BC203" s="35">
        <f>G203/(100-BD203)*100</f>
        <v>0</v>
      </c>
      <c r="BD203" s="35">
        <v>0</v>
      </c>
      <c r="BE203" s="35">
        <f>L203</f>
        <v>0</v>
      </c>
      <c r="BG203" s="20">
        <f>F203*AN203</f>
        <v>0</v>
      </c>
      <c r="BH203" s="20">
        <f>F203*AO203</f>
        <v>0</v>
      </c>
      <c r="BI203" s="20">
        <f>F203*G203</f>
        <v>0</v>
      </c>
    </row>
    <row r="204" spans="4:6" ht="12.75">
      <c r="D204" s="16" t="s">
        <v>285</v>
      </c>
      <c r="F204" s="21">
        <v>2</v>
      </c>
    </row>
    <row r="205" spans="1:61" ht="12.75">
      <c r="A205" s="4" t="s">
        <v>69</v>
      </c>
      <c r="B205" s="4"/>
      <c r="C205" s="4" t="s">
        <v>160</v>
      </c>
      <c r="D205" s="4" t="s">
        <v>346</v>
      </c>
      <c r="E205" s="4" t="s">
        <v>371</v>
      </c>
      <c r="F205" s="20">
        <v>1</v>
      </c>
      <c r="G205" s="20"/>
      <c r="H205" s="20">
        <f>F205*AN205</f>
        <v>0</v>
      </c>
      <c r="I205" s="20">
        <f>F205*AO205</f>
        <v>0</v>
      </c>
      <c r="J205" s="20">
        <f>F205*G205</f>
        <v>0</v>
      </c>
      <c r="K205" s="20">
        <v>0</v>
      </c>
      <c r="L205" s="20">
        <f>F205*K205</f>
        <v>0</v>
      </c>
      <c r="Y205" s="35">
        <f>IF(AP205="5",BI205,0)</f>
        <v>0</v>
      </c>
      <c r="AA205" s="35">
        <f>IF(AP205="1",BG205,0)</f>
        <v>0</v>
      </c>
      <c r="AB205" s="35">
        <f>IF(AP205="1",BH205,0)</f>
        <v>0</v>
      </c>
      <c r="AC205" s="35">
        <f>IF(AP205="7",BG205,0)</f>
        <v>0</v>
      </c>
      <c r="AD205" s="35">
        <f>IF(AP205="7",BH205,0)</f>
        <v>0</v>
      </c>
      <c r="AE205" s="35">
        <f>IF(AP205="2",BG205,0)</f>
        <v>0</v>
      </c>
      <c r="AF205" s="35">
        <f>IF(AP205="2",BH205,0)</f>
        <v>0</v>
      </c>
      <c r="AG205" s="35">
        <f>IF(AP205="0",BI205,0)</f>
        <v>0</v>
      </c>
      <c r="AH205" s="30"/>
      <c r="AI205" s="20">
        <f>IF(AM205=0,J205,0)</f>
        <v>0</v>
      </c>
      <c r="AJ205" s="20">
        <f>IF(AM205=15,J205,0)</f>
        <v>0</v>
      </c>
      <c r="AK205" s="20">
        <f>IF(AM205=21,J205,0)</f>
        <v>0</v>
      </c>
      <c r="AM205" s="35">
        <v>21</v>
      </c>
      <c r="AN205" s="35">
        <f>G205*0</f>
        <v>0</v>
      </c>
      <c r="AO205" s="35">
        <f>G205*(1-0)</f>
        <v>0</v>
      </c>
      <c r="AP205" s="31" t="s">
        <v>8</v>
      </c>
      <c r="AU205" s="35">
        <f>AV205+AW205</f>
        <v>0</v>
      </c>
      <c r="AV205" s="35">
        <f>F205*AN205</f>
        <v>0</v>
      </c>
      <c r="AW205" s="35">
        <f>F205*AO205</f>
        <v>0</v>
      </c>
      <c r="AX205" s="36" t="s">
        <v>425</v>
      </c>
      <c r="AY205" s="36" t="s">
        <v>436</v>
      </c>
      <c r="AZ205" s="30" t="s">
        <v>438</v>
      </c>
      <c r="BB205" s="35">
        <f>AV205+AW205</f>
        <v>0</v>
      </c>
      <c r="BC205" s="35">
        <f>G205/(100-BD205)*100</f>
        <v>0</v>
      </c>
      <c r="BD205" s="35">
        <v>0</v>
      </c>
      <c r="BE205" s="35">
        <f>L205</f>
        <v>0</v>
      </c>
      <c r="BG205" s="20">
        <f>F205*AN205</f>
        <v>0</v>
      </c>
      <c r="BH205" s="20">
        <f>F205*AO205</f>
        <v>0</v>
      </c>
      <c r="BI205" s="20">
        <f>F205*G205</f>
        <v>0</v>
      </c>
    </row>
    <row r="206" ht="51">
      <c r="D206" s="15" t="s">
        <v>347</v>
      </c>
    </row>
    <row r="207" spans="4:6" ht="12.75">
      <c r="D207" s="16" t="s">
        <v>265</v>
      </c>
      <c r="F207" s="21">
        <v>1</v>
      </c>
    </row>
    <row r="208" spans="1:61" ht="12.75">
      <c r="A208" s="4" t="s">
        <v>70</v>
      </c>
      <c r="B208" s="4"/>
      <c r="C208" s="4" t="s">
        <v>161</v>
      </c>
      <c r="D208" s="4" t="s">
        <v>348</v>
      </c>
      <c r="E208" s="4" t="s">
        <v>367</v>
      </c>
      <c r="F208" s="20">
        <v>1</v>
      </c>
      <c r="G208" s="20"/>
      <c r="H208" s="20">
        <f>F208*AN208</f>
        <v>0</v>
      </c>
      <c r="I208" s="20">
        <f>F208*AO208</f>
        <v>0</v>
      </c>
      <c r="J208" s="20">
        <f>F208*G208</f>
        <v>0</v>
      </c>
      <c r="K208" s="20">
        <v>0</v>
      </c>
      <c r="L208" s="20">
        <f>F208*K208</f>
        <v>0</v>
      </c>
      <c r="Y208" s="35">
        <f>IF(AP208="5",BI208,0)</f>
        <v>0</v>
      </c>
      <c r="AA208" s="35">
        <f>IF(AP208="1",BG208,0)</f>
        <v>0</v>
      </c>
      <c r="AB208" s="35">
        <f>IF(AP208="1",BH208,0)</f>
        <v>0</v>
      </c>
      <c r="AC208" s="35">
        <f>IF(AP208="7",BG208,0)</f>
        <v>0</v>
      </c>
      <c r="AD208" s="35">
        <f>IF(AP208="7",BH208,0)</f>
        <v>0</v>
      </c>
      <c r="AE208" s="35">
        <f>IF(AP208="2",BG208,0)</f>
        <v>0</v>
      </c>
      <c r="AF208" s="35">
        <f>IF(AP208="2",BH208,0)</f>
        <v>0</v>
      </c>
      <c r="AG208" s="35">
        <f>IF(AP208="0",BI208,0)</f>
        <v>0</v>
      </c>
      <c r="AH208" s="30"/>
      <c r="AI208" s="20">
        <f>IF(AM208=0,J208,0)</f>
        <v>0</v>
      </c>
      <c r="AJ208" s="20">
        <f>IF(AM208=15,J208,0)</f>
        <v>0</v>
      </c>
      <c r="AK208" s="20">
        <f>IF(AM208=21,J208,0)</f>
        <v>0</v>
      </c>
      <c r="AM208" s="35">
        <v>21</v>
      </c>
      <c r="AN208" s="35">
        <f>G208*0.00552407932011332</f>
        <v>0</v>
      </c>
      <c r="AO208" s="35">
        <f>G208*(1-0.00552407932011332)</f>
        <v>0</v>
      </c>
      <c r="AP208" s="31" t="s">
        <v>7</v>
      </c>
      <c r="AU208" s="35">
        <f>AV208+AW208</f>
        <v>0</v>
      </c>
      <c r="AV208" s="35">
        <f>F208*AN208</f>
        <v>0</v>
      </c>
      <c r="AW208" s="35">
        <f>F208*AO208</f>
        <v>0</v>
      </c>
      <c r="AX208" s="36" t="s">
        <v>425</v>
      </c>
      <c r="AY208" s="36" t="s">
        <v>436</v>
      </c>
      <c r="AZ208" s="30" t="s">
        <v>438</v>
      </c>
      <c r="BB208" s="35">
        <f>AV208+AW208</f>
        <v>0</v>
      </c>
      <c r="BC208" s="35">
        <f>G208/(100-BD208)*100</f>
        <v>0</v>
      </c>
      <c r="BD208" s="35">
        <v>0</v>
      </c>
      <c r="BE208" s="35">
        <f>L208</f>
        <v>0</v>
      </c>
      <c r="BG208" s="20">
        <f>F208*AN208</f>
        <v>0</v>
      </c>
      <c r="BH208" s="20">
        <f>F208*AO208</f>
        <v>0</v>
      </c>
      <c r="BI208" s="20">
        <f>F208*G208</f>
        <v>0</v>
      </c>
    </row>
    <row r="209" spans="4:6" ht="12.75">
      <c r="D209" s="16" t="s">
        <v>265</v>
      </c>
      <c r="F209" s="21">
        <v>1</v>
      </c>
    </row>
    <row r="210" spans="1:61" ht="12.75">
      <c r="A210" s="4" t="s">
        <v>71</v>
      </c>
      <c r="B210" s="4"/>
      <c r="C210" s="4" t="s">
        <v>162</v>
      </c>
      <c r="D210" s="4" t="s">
        <v>349</v>
      </c>
      <c r="E210" s="4" t="s">
        <v>369</v>
      </c>
      <c r="F210" s="20">
        <v>1</v>
      </c>
      <c r="G210" s="20"/>
      <c r="H210" s="20">
        <f>F210*AN210</f>
        <v>0</v>
      </c>
      <c r="I210" s="20">
        <f>F210*AO210</f>
        <v>0</v>
      </c>
      <c r="J210" s="20">
        <f>F210*G210</f>
        <v>0</v>
      </c>
      <c r="K210" s="20">
        <v>0</v>
      </c>
      <c r="L210" s="20">
        <f>F210*K210</f>
        <v>0</v>
      </c>
      <c r="Y210" s="35">
        <f>IF(AP210="5",BI210,0)</f>
        <v>0</v>
      </c>
      <c r="AA210" s="35">
        <f>IF(AP210="1",BG210,0)</f>
        <v>0</v>
      </c>
      <c r="AB210" s="35">
        <f>IF(AP210="1",BH210,0)</f>
        <v>0</v>
      </c>
      <c r="AC210" s="35">
        <f>IF(AP210="7",BG210,0)</f>
        <v>0</v>
      </c>
      <c r="AD210" s="35">
        <f>IF(AP210="7",BH210,0)</f>
        <v>0</v>
      </c>
      <c r="AE210" s="35">
        <f>IF(AP210="2",BG210,0)</f>
        <v>0</v>
      </c>
      <c r="AF210" s="35">
        <f>IF(AP210="2",BH210,0)</f>
        <v>0</v>
      </c>
      <c r="AG210" s="35">
        <f>IF(AP210="0",BI210,0)</f>
        <v>0</v>
      </c>
      <c r="AH210" s="30"/>
      <c r="AI210" s="20">
        <f>IF(AM210=0,J210,0)</f>
        <v>0</v>
      </c>
      <c r="AJ210" s="20">
        <f>IF(AM210=15,J210,0)</f>
        <v>0</v>
      </c>
      <c r="AK210" s="20">
        <f>IF(AM210=21,J210,0)</f>
        <v>0</v>
      </c>
      <c r="AM210" s="35">
        <v>21</v>
      </c>
      <c r="AN210" s="35">
        <f>G210*0.6</f>
        <v>0</v>
      </c>
      <c r="AO210" s="35">
        <f>G210*(1-0.6)</f>
        <v>0</v>
      </c>
      <c r="AP210" s="31" t="s">
        <v>7</v>
      </c>
      <c r="AU210" s="35">
        <f>AV210+AW210</f>
        <v>0</v>
      </c>
      <c r="AV210" s="35">
        <f>F210*AN210</f>
        <v>0</v>
      </c>
      <c r="AW210" s="35">
        <f>F210*AO210</f>
        <v>0</v>
      </c>
      <c r="AX210" s="36" t="s">
        <v>425</v>
      </c>
      <c r="AY210" s="36" t="s">
        <v>436</v>
      </c>
      <c r="AZ210" s="30" t="s">
        <v>438</v>
      </c>
      <c r="BB210" s="35">
        <f>AV210+AW210</f>
        <v>0</v>
      </c>
      <c r="BC210" s="35">
        <f>G210/(100-BD210)*100</f>
        <v>0</v>
      </c>
      <c r="BD210" s="35">
        <v>0</v>
      </c>
      <c r="BE210" s="35">
        <f>L210</f>
        <v>0</v>
      </c>
      <c r="BG210" s="20">
        <f>F210*AN210</f>
        <v>0</v>
      </c>
      <c r="BH210" s="20">
        <f>F210*AO210</f>
        <v>0</v>
      </c>
      <c r="BI210" s="20">
        <f>F210*G210</f>
        <v>0</v>
      </c>
    </row>
    <row r="211" ht="12.75">
      <c r="D211" s="15" t="s">
        <v>350</v>
      </c>
    </row>
    <row r="212" spans="4:6" ht="12.75">
      <c r="D212" s="16" t="s">
        <v>265</v>
      </c>
      <c r="F212" s="21">
        <v>1</v>
      </c>
    </row>
    <row r="213" spans="1:46" ht="12.75">
      <c r="A213" s="5"/>
      <c r="B213" s="13"/>
      <c r="C213" s="13" t="s">
        <v>163</v>
      </c>
      <c r="D213" s="13" t="s">
        <v>351</v>
      </c>
      <c r="E213" s="5" t="s">
        <v>6</v>
      </c>
      <c r="F213" s="5" t="s">
        <v>6</v>
      </c>
      <c r="G213" s="5"/>
      <c r="H213" s="38">
        <f>SUM(H214:H217)</f>
        <v>0</v>
      </c>
      <c r="I213" s="38">
        <f>SUM(I214:I217)</f>
        <v>0</v>
      </c>
      <c r="J213" s="38">
        <f>SUM(J214:J217)</f>
        <v>0</v>
      </c>
      <c r="K213" s="30"/>
      <c r="L213" s="38">
        <f>SUM(L214:L217)</f>
        <v>0</v>
      </c>
      <c r="AH213" s="30"/>
      <c r="AR213" s="38">
        <f>SUM(AI214:AI217)</f>
        <v>0</v>
      </c>
      <c r="AS213" s="38">
        <f>SUM(AJ214:AJ217)</f>
        <v>0</v>
      </c>
      <c r="AT213" s="38">
        <f>SUM(AK214:AK217)</f>
        <v>0</v>
      </c>
    </row>
    <row r="214" spans="1:61" ht="12.75">
      <c r="A214" s="4" t="s">
        <v>72</v>
      </c>
      <c r="B214" s="4"/>
      <c r="C214" s="4" t="s">
        <v>164</v>
      </c>
      <c r="D214" s="4" t="s">
        <v>352</v>
      </c>
      <c r="E214" s="4" t="s">
        <v>368</v>
      </c>
      <c r="F214" s="20">
        <v>1.26</v>
      </c>
      <c r="G214" s="20"/>
      <c r="H214" s="20">
        <f>F214*AN214</f>
        <v>0</v>
      </c>
      <c r="I214" s="20">
        <f>F214*AO214</f>
        <v>0</v>
      </c>
      <c r="J214" s="20">
        <f>F214*G214</f>
        <v>0</v>
      </c>
      <c r="K214" s="20">
        <v>0</v>
      </c>
      <c r="L214" s="20">
        <f>F214*K214</f>
        <v>0</v>
      </c>
      <c r="Y214" s="35">
        <f>IF(AP214="5",BI214,0)</f>
        <v>0</v>
      </c>
      <c r="AA214" s="35">
        <f>IF(AP214="1",BG214,0)</f>
        <v>0</v>
      </c>
      <c r="AB214" s="35">
        <f>IF(AP214="1",BH214,0)</f>
        <v>0</v>
      </c>
      <c r="AC214" s="35">
        <f>IF(AP214="7",BG214,0)</f>
        <v>0</v>
      </c>
      <c r="AD214" s="35">
        <f>IF(AP214="7",BH214,0)</f>
        <v>0</v>
      </c>
      <c r="AE214" s="35">
        <f>IF(AP214="2",BG214,0)</f>
        <v>0</v>
      </c>
      <c r="AF214" s="35">
        <f>IF(AP214="2",BH214,0)</f>
        <v>0</v>
      </c>
      <c r="AG214" s="35">
        <f>IF(AP214="0",BI214,0)</f>
        <v>0</v>
      </c>
      <c r="AH214" s="30"/>
      <c r="AI214" s="20">
        <f>IF(AM214=0,J214,0)</f>
        <v>0</v>
      </c>
      <c r="AJ214" s="20">
        <f>IF(AM214=15,J214,0)</f>
        <v>0</v>
      </c>
      <c r="AK214" s="20">
        <f>IF(AM214=21,J214,0)</f>
        <v>0</v>
      </c>
      <c r="AM214" s="35">
        <v>21</v>
      </c>
      <c r="AN214" s="35">
        <f>G214*0</f>
        <v>0</v>
      </c>
      <c r="AO214" s="35">
        <f>G214*(1-0)</f>
        <v>0</v>
      </c>
      <c r="AP214" s="31" t="s">
        <v>11</v>
      </c>
      <c r="AU214" s="35">
        <f>AV214+AW214</f>
        <v>0</v>
      </c>
      <c r="AV214" s="35">
        <f>F214*AN214</f>
        <v>0</v>
      </c>
      <c r="AW214" s="35">
        <f>F214*AO214</f>
        <v>0</v>
      </c>
      <c r="AX214" s="36" t="s">
        <v>426</v>
      </c>
      <c r="AY214" s="36" t="s">
        <v>436</v>
      </c>
      <c r="AZ214" s="30" t="s">
        <v>438</v>
      </c>
      <c r="BB214" s="35">
        <f>AV214+AW214</f>
        <v>0</v>
      </c>
      <c r="BC214" s="35">
        <f>G214/(100-BD214)*100</f>
        <v>0</v>
      </c>
      <c r="BD214" s="35">
        <v>0</v>
      </c>
      <c r="BE214" s="35">
        <f>L214</f>
        <v>0</v>
      </c>
      <c r="BG214" s="20">
        <f>F214*AN214</f>
        <v>0</v>
      </c>
      <c r="BH214" s="20">
        <f>F214*AO214</f>
        <v>0</v>
      </c>
      <c r="BI214" s="20">
        <f>F214*G214</f>
        <v>0</v>
      </c>
    </row>
    <row r="215" ht="12.75">
      <c r="D215" s="15" t="s">
        <v>353</v>
      </c>
    </row>
    <row r="216" spans="4:6" ht="12.75">
      <c r="D216" s="16" t="s">
        <v>354</v>
      </c>
      <c r="F216" s="21">
        <v>1.26</v>
      </c>
    </row>
    <row r="217" spans="1:61" ht="12.75">
      <c r="A217" s="4" t="s">
        <v>73</v>
      </c>
      <c r="B217" s="4"/>
      <c r="C217" s="4" t="s">
        <v>165</v>
      </c>
      <c r="D217" s="4" t="s">
        <v>355</v>
      </c>
      <c r="E217" s="4" t="s">
        <v>368</v>
      </c>
      <c r="F217" s="20">
        <v>1.26</v>
      </c>
      <c r="G217" s="20"/>
      <c r="H217" s="20">
        <f>F217*AN217</f>
        <v>0</v>
      </c>
      <c r="I217" s="20">
        <f>F217*AO217</f>
        <v>0</v>
      </c>
      <c r="J217" s="20">
        <f>F217*G217</f>
        <v>0</v>
      </c>
      <c r="K217" s="20">
        <v>0</v>
      </c>
      <c r="L217" s="20">
        <f>F217*K217</f>
        <v>0</v>
      </c>
      <c r="Y217" s="35">
        <f>IF(AP217="5",BI217,0)</f>
        <v>0</v>
      </c>
      <c r="AA217" s="35">
        <f>IF(AP217="1",BG217,0)</f>
        <v>0</v>
      </c>
      <c r="AB217" s="35">
        <f>IF(AP217="1",BH217,0)</f>
        <v>0</v>
      </c>
      <c r="AC217" s="35">
        <f>IF(AP217="7",BG217,0)</f>
        <v>0</v>
      </c>
      <c r="AD217" s="35">
        <f>IF(AP217="7",BH217,0)</f>
        <v>0</v>
      </c>
      <c r="AE217" s="35">
        <f>IF(AP217="2",BG217,0)</f>
        <v>0</v>
      </c>
      <c r="AF217" s="35">
        <f>IF(AP217="2",BH217,0)</f>
        <v>0</v>
      </c>
      <c r="AG217" s="35">
        <f>IF(AP217="0",BI217,0)</f>
        <v>0</v>
      </c>
      <c r="AH217" s="30"/>
      <c r="AI217" s="20">
        <f>IF(AM217=0,J217,0)</f>
        <v>0</v>
      </c>
      <c r="AJ217" s="20">
        <f>IF(AM217=15,J217,0)</f>
        <v>0</v>
      </c>
      <c r="AK217" s="20">
        <f>IF(AM217=21,J217,0)</f>
        <v>0</v>
      </c>
      <c r="AM217" s="35">
        <v>21</v>
      </c>
      <c r="AN217" s="35">
        <f>G217*0</f>
        <v>0</v>
      </c>
      <c r="AO217" s="35">
        <f>G217*(1-0)</f>
        <v>0</v>
      </c>
      <c r="AP217" s="31" t="s">
        <v>7</v>
      </c>
      <c r="AU217" s="35">
        <f>AV217+AW217</f>
        <v>0</v>
      </c>
      <c r="AV217" s="35">
        <f>F217*AN217</f>
        <v>0</v>
      </c>
      <c r="AW217" s="35">
        <f>F217*AO217</f>
        <v>0</v>
      </c>
      <c r="AX217" s="36" t="s">
        <v>426</v>
      </c>
      <c r="AY217" s="36" t="s">
        <v>436</v>
      </c>
      <c r="AZ217" s="30" t="s">
        <v>438</v>
      </c>
      <c r="BB217" s="35">
        <f>AV217+AW217</f>
        <v>0</v>
      </c>
      <c r="BC217" s="35">
        <f>G217/(100-BD217)*100</f>
        <v>0</v>
      </c>
      <c r="BD217" s="35">
        <v>0</v>
      </c>
      <c r="BE217" s="35">
        <f>L217</f>
        <v>0</v>
      </c>
      <c r="BG217" s="20">
        <f>F217*AN217</f>
        <v>0</v>
      </c>
      <c r="BH217" s="20">
        <f>F217*AO217</f>
        <v>0</v>
      </c>
      <c r="BI217" s="20">
        <f>F217*G217</f>
        <v>0</v>
      </c>
    </row>
    <row r="218" spans="4:6" ht="12.75">
      <c r="D218" s="16" t="s">
        <v>356</v>
      </c>
      <c r="F218" s="21">
        <v>1.26</v>
      </c>
    </row>
    <row r="219" spans="1:46" ht="12.75">
      <c r="A219" s="5"/>
      <c r="B219" s="13"/>
      <c r="C219" s="13"/>
      <c r="D219" s="13" t="s">
        <v>357</v>
      </c>
      <c r="E219" s="5" t="s">
        <v>6</v>
      </c>
      <c r="F219" s="5" t="s">
        <v>6</v>
      </c>
      <c r="G219" s="5"/>
      <c r="H219" s="38">
        <f>SUM(H220:H222)</f>
        <v>0</v>
      </c>
      <c r="I219" s="38">
        <f>SUM(I220:I222)</f>
        <v>0</v>
      </c>
      <c r="J219" s="38">
        <f>SUM(J220:J222)</f>
        <v>0</v>
      </c>
      <c r="K219" s="30"/>
      <c r="L219" s="38">
        <f>SUM(L220:L222)</f>
        <v>0.00987</v>
      </c>
      <c r="AH219" s="30"/>
      <c r="AR219" s="38">
        <f>SUM(AI220:AI222)</f>
        <v>0</v>
      </c>
      <c r="AS219" s="38">
        <f>SUM(AJ220:AJ222)</f>
        <v>0</v>
      </c>
      <c r="AT219" s="38">
        <f>SUM(AK220:AK222)</f>
        <v>0</v>
      </c>
    </row>
    <row r="220" spans="1:61" ht="12.75">
      <c r="A220" s="6" t="s">
        <v>74</v>
      </c>
      <c r="B220" s="6"/>
      <c r="C220" s="6" t="s">
        <v>166</v>
      </c>
      <c r="D220" s="6" t="s">
        <v>358</v>
      </c>
      <c r="E220" s="6" t="s">
        <v>367</v>
      </c>
      <c r="F220" s="22">
        <v>9.1</v>
      </c>
      <c r="G220" s="22"/>
      <c r="H220" s="22">
        <f>F220*AN220</f>
        <v>0</v>
      </c>
      <c r="I220" s="22">
        <f>F220*AO220</f>
        <v>0</v>
      </c>
      <c r="J220" s="22">
        <f>F220*G220</f>
        <v>0</v>
      </c>
      <c r="K220" s="22">
        <v>0.0007</v>
      </c>
      <c r="L220" s="22">
        <f>F220*K220</f>
        <v>0.00637</v>
      </c>
      <c r="Y220" s="35">
        <f>IF(AP220="5",BI220,0)</f>
        <v>0</v>
      </c>
      <c r="AA220" s="35">
        <f>IF(AP220="1",BG220,0)</f>
        <v>0</v>
      </c>
      <c r="AB220" s="35">
        <f>IF(AP220="1",BH220,0)</f>
        <v>0</v>
      </c>
      <c r="AC220" s="35">
        <f>IF(AP220="7",BG220,0)</f>
        <v>0</v>
      </c>
      <c r="AD220" s="35">
        <f>IF(AP220="7",BH220,0)</f>
        <v>0</v>
      </c>
      <c r="AE220" s="35">
        <f>IF(AP220="2",BG220,0)</f>
        <v>0</v>
      </c>
      <c r="AF220" s="35">
        <f>IF(AP220="2",BH220,0)</f>
        <v>0</v>
      </c>
      <c r="AG220" s="35">
        <f>IF(AP220="0",BI220,0)</f>
        <v>0</v>
      </c>
      <c r="AH220" s="30"/>
      <c r="AI220" s="22">
        <f>IF(AM220=0,J220,0)</f>
        <v>0</v>
      </c>
      <c r="AJ220" s="22">
        <f>IF(AM220=15,J220,0)</f>
        <v>0</v>
      </c>
      <c r="AK220" s="22">
        <f>IF(AM220=21,J220,0)</f>
        <v>0</v>
      </c>
      <c r="AM220" s="35">
        <v>21</v>
      </c>
      <c r="AN220" s="35">
        <f>G220*1</f>
        <v>0</v>
      </c>
      <c r="AO220" s="35">
        <f>G220*(1-1)</f>
        <v>0</v>
      </c>
      <c r="AP220" s="32" t="s">
        <v>397</v>
      </c>
      <c r="AU220" s="35">
        <f>AV220+AW220</f>
        <v>0</v>
      </c>
      <c r="AV220" s="35">
        <f>F220*AN220</f>
        <v>0</v>
      </c>
      <c r="AW220" s="35">
        <f>F220*AO220</f>
        <v>0</v>
      </c>
      <c r="AX220" s="36" t="s">
        <v>427</v>
      </c>
      <c r="AY220" s="36" t="s">
        <v>437</v>
      </c>
      <c r="AZ220" s="30" t="s">
        <v>438</v>
      </c>
      <c r="BB220" s="35">
        <f>AV220+AW220</f>
        <v>0</v>
      </c>
      <c r="BC220" s="35">
        <f>G220/(100-BD220)*100</f>
        <v>0</v>
      </c>
      <c r="BD220" s="35">
        <v>0</v>
      </c>
      <c r="BE220" s="35">
        <f>L220</f>
        <v>0.00637</v>
      </c>
      <c r="BG220" s="22">
        <f>F220*AN220</f>
        <v>0</v>
      </c>
      <c r="BH220" s="22">
        <f>F220*AO220</f>
        <v>0</v>
      </c>
      <c r="BI220" s="22">
        <f>F220*G220</f>
        <v>0</v>
      </c>
    </row>
    <row r="221" spans="4:6" ht="12.75">
      <c r="D221" s="16" t="s">
        <v>256</v>
      </c>
      <c r="F221" s="21">
        <v>9.1</v>
      </c>
    </row>
    <row r="222" spans="1:61" ht="12.75">
      <c r="A222" s="6" t="s">
        <v>75</v>
      </c>
      <c r="B222" s="6"/>
      <c r="C222" s="6" t="s">
        <v>167</v>
      </c>
      <c r="D222" s="6" t="s">
        <v>359</v>
      </c>
      <c r="E222" s="6" t="s">
        <v>369</v>
      </c>
      <c r="F222" s="22">
        <v>1</v>
      </c>
      <c r="G222" s="22"/>
      <c r="H222" s="22">
        <f>F222*AN222</f>
        <v>0</v>
      </c>
      <c r="I222" s="22">
        <f>F222*AO222</f>
        <v>0</v>
      </c>
      <c r="J222" s="22">
        <f>F222*G222</f>
        <v>0</v>
      </c>
      <c r="K222" s="22">
        <v>0.0035</v>
      </c>
      <c r="L222" s="22">
        <f>F222*K222</f>
        <v>0.0035</v>
      </c>
      <c r="Y222" s="35">
        <f>IF(AP222="5",BI222,0)</f>
        <v>0</v>
      </c>
      <c r="AA222" s="35">
        <f>IF(AP222="1",BG222,0)</f>
        <v>0</v>
      </c>
      <c r="AB222" s="35">
        <f>IF(AP222="1",BH222,0)</f>
        <v>0</v>
      </c>
      <c r="AC222" s="35">
        <f>IF(AP222="7",BG222,0)</f>
        <v>0</v>
      </c>
      <c r="AD222" s="35">
        <f>IF(AP222="7",BH222,0)</f>
        <v>0</v>
      </c>
      <c r="AE222" s="35">
        <f>IF(AP222="2",BG222,0)</f>
        <v>0</v>
      </c>
      <c r="AF222" s="35">
        <f>IF(AP222="2",BH222,0)</f>
        <v>0</v>
      </c>
      <c r="AG222" s="35">
        <f>IF(AP222="0",BI222,0)</f>
        <v>0</v>
      </c>
      <c r="AH222" s="30"/>
      <c r="AI222" s="22">
        <f>IF(AM222=0,J222,0)</f>
        <v>0</v>
      </c>
      <c r="AJ222" s="22">
        <f>IF(AM222=15,J222,0)</f>
        <v>0</v>
      </c>
      <c r="AK222" s="22">
        <f>IF(AM222=21,J222,0)</f>
        <v>0</v>
      </c>
      <c r="AM222" s="35">
        <v>21</v>
      </c>
      <c r="AN222" s="35">
        <f>G222*1</f>
        <v>0</v>
      </c>
      <c r="AO222" s="35">
        <f>G222*(1-1)</f>
        <v>0</v>
      </c>
      <c r="AP222" s="32" t="s">
        <v>397</v>
      </c>
      <c r="AU222" s="35">
        <f>AV222+AW222</f>
        <v>0</v>
      </c>
      <c r="AV222" s="35">
        <f>F222*AN222</f>
        <v>0</v>
      </c>
      <c r="AW222" s="35">
        <f>F222*AO222</f>
        <v>0</v>
      </c>
      <c r="AX222" s="36" t="s">
        <v>427</v>
      </c>
      <c r="AY222" s="36" t="s">
        <v>437</v>
      </c>
      <c r="AZ222" s="30" t="s">
        <v>438</v>
      </c>
      <c r="BB222" s="35">
        <f>AV222+AW222</f>
        <v>0</v>
      </c>
      <c r="BC222" s="35">
        <f>G222/(100-BD222)*100</f>
        <v>0</v>
      </c>
      <c r="BD222" s="35">
        <v>0</v>
      </c>
      <c r="BE222" s="35">
        <f>L222</f>
        <v>0.0035</v>
      </c>
      <c r="BG222" s="22">
        <f>F222*AN222</f>
        <v>0</v>
      </c>
      <c r="BH222" s="22">
        <f>F222*AO222</f>
        <v>0</v>
      </c>
      <c r="BI222" s="22">
        <f>F222*G222</f>
        <v>0</v>
      </c>
    </row>
    <row r="223" spans="1:12" ht="12.75">
      <c r="A223" s="7"/>
      <c r="B223" s="7"/>
      <c r="C223" s="7"/>
      <c r="D223" s="17" t="s">
        <v>265</v>
      </c>
      <c r="E223" s="7"/>
      <c r="F223" s="23">
        <v>1</v>
      </c>
      <c r="G223" s="7"/>
      <c r="H223" s="7"/>
      <c r="I223" s="7"/>
      <c r="J223" s="7"/>
      <c r="K223" s="7"/>
      <c r="L223" s="7"/>
    </row>
    <row r="224" spans="1:12" ht="12.75">
      <c r="A224" s="8"/>
      <c r="B224" s="8"/>
      <c r="C224" s="8"/>
      <c r="D224" s="8"/>
      <c r="E224" s="8"/>
      <c r="F224" s="8"/>
      <c r="G224" s="8"/>
      <c r="H224" s="143" t="s">
        <v>382</v>
      </c>
      <c r="I224" s="82"/>
      <c r="J224" s="39">
        <f>J12+J16+J19+J22+J25+J29+J32+J38+J44+J55+J69+J77+J85+J111+J117+J134+J138+J149+J155+J167+J174+J179+J183+J187+J193+J197+J199+J202+J213+J219</f>
        <v>0</v>
      </c>
      <c r="K224" s="8"/>
      <c r="L224" s="8"/>
    </row>
    <row r="225" ht="11.25" customHeight="1">
      <c r="A225" s="9" t="s">
        <v>76</v>
      </c>
    </row>
    <row r="226" spans="1:12" ht="12.75">
      <c r="A226" s="88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</sheetData>
  <sheetProtection/>
  <mergeCells count="29">
    <mergeCell ref="H10:J10"/>
    <mergeCell ref="K10:L10"/>
    <mergeCell ref="H224:I224"/>
    <mergeCell ref="A226:L226"/>
    <mergeCell ref="A8:C9"/>
    <mergeCell ref="D8:D9"/>
    <mergeCell ref="E8:F9"/>
    <mergeCell ref="G8:G9"/>
    <mergeCell ref="H8:H9"/>
    <mergeCell ref="I8:L9"/>
    <mergeCell ref="A6:C7"/>
    <mergeCell ref="D6:D7"/>
    <mergeCell ref="E6:F7"/>
    <mergeCell ref="G6:G7"/>
    <mergeCell ref="H6:H7"/>
    <mergeCell ref="I6:L7"/>
    <mergeCell ref="A4:C5"/>
    <mergeCell ref="D4:D5"/>
    <mergeCell ref="E4:F5"/>
    <mergeCell ref="G4:G5"/>
    <mergeCell ref="H4:H5"/>
    <mergeCell ref="I4:L5"/>
    <mergeCell ref="A1:L1"/>
    <mergeCell ref="A2:C3"/>
    <mergeCell ref="D2:D3"/>
    <mergeCell ref="E2:F3"/>
    <mergeCell ref="G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6"/>
  <sheetViews>
    <sheetView showOutlineSymbols="0" zoomScalePageLayoutView="0" workbookViewId="0" topLeftCell="A1">
      <pane ySplit="11" topLeftCell="A51" activePane="bottomLeft" state="frozen"/>
      <selection pane="topLeft" activeCell="A1" sqref="A1"/>
      <selection pane="bottomLeft" activeCell="A66" sqref="A66:N66"/>
    </sheetView>
  </sheetViews>
  <sheetFormatPr defaultColWidth="12.140625" defaultRowHeight="15" customHeight="1"/>
  <cols>
    <col min="1" max="1" width="3.140625" style="146" customWidth="1"/>
    <col min="2" max="2" width="6.00390625" style="146" customWidth="1"/>
    <col min="3" max="3" width="14.28125" style="146" customWidth="1"/>
    <col min="4" max="4" width="1.28515625" style="146" customWidth="1"/>
    <col min="5" max="5" width="53.7109375" style="146" customWidth="1"/>
    <col min="6" max="6" width="3.7109375" style="146" customWidth="1"/>
    <col min="7" max="7" width="10.28125" style="146" customWidth="1"/>
    <col min="8" max="8" width="9.57421875" style="146" customWidth="1"/>
    <col min="9" max="11" width="12.57421875" style="146" customWidth="1"/>
    <col min="12" max="13" width="9.421875" style="146" customWidth="1"/>
    <col min="14" max="14" width="11.7109375" style="146" customWidth="1"/>
    <col min="15" max="24" width="12.140625" style="145" customWidth="1"/>
    <col min="25" max="74" width="12.140625" style="146" hidden="1" customWidth="1"/>
    <col min="75" max="16384" width="12.140625" style="145" customWidth="1"/>
  </cols>
  <sheetData>
    <row r="1" spans="1:14" ht="54.7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5" customHeight="1">
      <c r="A2" s="147" t="s">
        <v>504</v>
      </c>
      <c r="B2" s="147"/>
      <c r="C2" s="147"/>
      <c r="D2" s="148" t="s">
        <v>505</v>
      </c>
      <c r="E2" s="148"/>
      <c r="F2" s="149" t="s">
        <v>360</v>
      </c>
      <c r="G2" s="149"/>
      <c r="H2" s="149" t="s">
        <v>6</v>
      </c>
      <c r="I2" s="150" t="s">
        <v>376</v>
      </c>
      <c r="J2" s="151" t="s">
        <v>383</v>
      </c>
      <c r="K2" s="151"/>
      <c r="L2" s="151"/>
      <c r="M2" s="151"/>
      <c r="N2" s="151"/>
    </row>
    <row r="3" spans="1:14" ht="15" customHeight="1">
      <c r="A3" s="147"/>
      <c r="B3" s="147"/>
      <c r="C3" s="147"/>
      <c r="D3" s="148"/>
      <c r="E3" s="148"/>
      <c r="F3" s="149"/>
      <c r="G3" s="149"/>
      <c r="H3" s="149"/>
      <c r="I3" s="149"/>
      <c r="J3" s="149"/>
      <c r="K3" s="151"/>
      <c r="L3" s="151"/>
      <c r="M3" s="151"/>
      <c r="N3" s="151"/>
    </row>
    <row r="4" spans="1:14" ht="15" customHeight="1">
      <c r="A4" s="152" t="s">
        <v>2</v>
      </c>
      <c r="B4" s="152"/>
      <c r="C4" s="152"/>
      <c r="D4" s="153" t="s">
        <v>506</v>
      </c>
      <c r="E4" s="153"/>
      <c r="F4" s="154" t="s">
        <v>361</v>
      </c>
      <c r="G4" s="154"/>
      <c r="H4" s="154" t="s">
        <v>507</v>
      </c>
      <c r="I4" s="153" t="s">
        <v>377</v>
      </c>
      <c r="J4" s="155" t="s">
        <v>383</v>
      </c>
      <c r="K4" s="155"/>
      <c r="L4" s="155"/>
      <c r="M4" s="155"/>
      <c r="N4" s="155"/>
    </row>
    <row r="5" spans="1:14" ht="15" customHeight="1">
      <c r="A5" s="152"/>
      <c r="B5" s="152"/>
      <c r="C5" s="152"/>
      <c r="D5" s="153"/>
      <c r="E5" s="153"/>
      <c r="F5" s="154"/>
      <c r="G5" s="154"/>
      <c r="H5" s="154"/>
      <c r="I5" s="154"/>
      <c r="J5" s="154"/>
      <c r="K5" s="155"/>
      <c r="L5" s="155"/>
      <c r="M5" s="155"/>
      <c r="N5" s="155"/>
    </row>
    <row r="6" spans="1:14" ht="15" customHeight="1">
      <c r="A6" s="152" t="s">
        <v>3</v>
      </c>
      <c r="B6" s="152"/>
      <c r="C6" s="152"/>
      <c r="D6" s="153" t="s">
        <v>508</v>
      </c>
      <c r="E6" s="153"/>
      <c r="F6" s="154" t="s">
        <v>362</v>
      </c>
      <c r="G6" s="154"/>
      <c r="H6" s="154" t="s">
        <v>6</v>
      </c>
      <c r="I6" s="153" t="s">
        <v>378</v>
      </c>
      <c r="J6" s="155" t="s">
        <v>383</v>
      </c>
      <c r="K6" s="155"/>
      <c r="L6" s="155"/>
      <c r="M6" s="155"/>
      <c r="N6" s="155"/>
    </row>
    <row r="7" spans="1:14" ht="15" customHeight="1">
      <c r="A7" s="152"/>
      <c r="B7" s="152"/>
      <c r="C7" s="152"/>
      <c r="D7" s="153"/>
      <c r="E7" s="153"/>
      <c r="F7" s="154"/>
      <c r="G7" s="154"/>
      <c r="H7" s="154"/>
      <c r="I7" s="154"/>
      <c r="J7" s="154"/>
      <c r="K7" s="155"/>
      <c r="L7" s="155"/>
      <c r="M7" s="155"/>
      <c r="N7" s="155"/>
    </row>
    <row r="8" spans="1:14" ht="15" customHeight="1">
      <c r="A8" s="152" t="s">
        <v>4</v>
      </c>
      <c r="B8" s="152"/>
      <c r="C8" s="152"/>
      <c r="D8" s="153" t="s">
        <v>6</v>
      </c>
      <c r="E8" s="153"/>
      <c r="F8" s="154" t="s">
        <v>363</v>
      </c>
      <c r="G8" s="154"/>
      <c r="H8" s="154" t="s">
        <v>507</v>
      </c>
      <c r="I8" s="153" t="s">
        <v>379</v>
      </c>
      <c r="J8" s="156" t="s">
        <v>509</v>
      </c>
      <c r="K8" s="156"/>
      <c r="L8" s="156"/>
      <c r="M8" s="156"/>
      <c r="N8" s="156"/>
    </row>
    <row r="9" spans="1:14" ht="15" customHeight="1" thickBot="1">
      <c r="A9" s="152"/>
      <c r="B9" s="152"/>
      <c r="C9" s="152"/>
      <c r="D9" s="153"/>
      <c r="E9" s="153"/>
      <c r="F9" s="154"/>
      <c r="G9" s="154"/>
      <c r="H9" s="154"/>
      <c r="I9" s="154"/>
      <c r="J9" s="154"/>
      <c r="K9" s="156"/>
      <c r="L9" s="156"/>
      <c r="M9" s="156"/>
      <c r="N9" s="156"/>
    </row>
    <row r="10" spans="1:64" ht="15" customHeight="1">
      <c r="A10" s="157" t="s">
        <v>5</v>
      </c>
      <c r="B10" s="158" t="s">
        <v>77</v>
      </c>
      <c r="C10" s="158" t="s">
        <v>78</v>
      </c>
      <c r="D10" s="159" t="s">
        <v>443</v>
      </c>
      <c r="E10" s="159"/>
      <c r="F10" s="158" t="s">
        <v>364</v>
      </c>
      <c r="G10" s="160" t="s">
        <v>372</v>
      </c>
      <c r="H10" s="161" t="s">
        <v>374</v>
      </c>
      <c r="I10" s="162" t="s">
        <v>380</v>
      </c>
      <c r="J10" s="162"/>
      <c r="K10" s="162"/>
      <c r="L10" s="163" t="s">
        <v>386</v>
      </c>
      <c r="M10" s="163"/>
      <c r="N10" s="164" t="s">
        <v>510</v>
      </c>
      <c r="BK10" s="165" t="s">
        <v>511</v>
      </c>
      <c r="BL10" s="166" t="s">
        <v>512</v>
      </c>
    </row>
    <row r="11" spans="1:62" ht="15" customHeight="1" thickBot="1">
      <c r="A11" s="167" t="s">
        <v>6</v>
      </c>
      <c r="B11" s="168" t="s">
        <v>6</v>
      </c>
      <c r="C11" s="168" t="s">
        <v>6</v>
      </c>
      <c r="D11" s="169" t="s">
        <v>172</v>
      </c>
      <c r="E11" s="169"/>
      <c r="F11" s="168" t="s">
        <v>6</v>
      </c>
      <c r="G11" s="168" t="s">
        <v>6</v>
      </c>
      <c r="H11" s="170" t="s">
        <v>375</v>
      </c>
      <c r="I11" s="171" t="s">
        <v>381</v>
      </c>
      <c r="J11" s="172" t="s">
        <v>384</v>
      </c>
      <c r="K11" s="173" t="s">
        <v>385</v>
      </c>
      <c r="L11" s="172" t="s">
        <v>387</v>
      </c>
      <c r="M11" s="170" t="s">
        <v>385</v>
      </c>
      <c r="N11" s="174" t="s">
        <v>513</v>
      </c>
      <c r="Z11" s="165" t="s">
        <v>388</v>
      </c>
      <c r="AA11" s="165" t="s">
        <v>389</v>
      </c>
      <c r="AB11" s="165" t="s">
        <v>390</v>
      </c>
      <c r="AC11" s="165" t="s">
        <v>391</v>
      </c>
      <c r="AD11" s="165" t="s">
        <v>392</v>
      </c>
      <c r="AE11" s="165" t="s">
        <v>393</v>
      </c>
      <c r="AF11" s="165" t="s">
        <v>394</v>
      </c>
      <c r="AG11" s="165" t="s">
        <v>395</v>
      </c>
      <c r="AH11" s="165" t="s">
        <v>396</v>
      </c>
      <c r="BH11" s="165" t="s">
        <v>439</v>
      </c>
      <c r="BI11" s="165" t="s">
        <v>440</v>
      </c>
      <c r="BJ11" s="165" t="s">
        <v>441</v>
      </c>
    </row>
    <row r="12" spans="1:47" ht="15" customHeight="1">
      <c r="A12" s="175"/>
      <c r="B12" s="176"/>
      <c r="C12" s="176" t="s">
        <v>156</v>
      </c>
      <c r="D12" s="177" t="s">
        <v>342</v>
      </c>
      <c r="E12" s="177"/>
      <c r="F12" s="178" t="s">
        <v>6</v>
      </c>
      <c r="G12" s="178" t="s">
        <v>6</v>
      </c>
      <c r="H12" s="178" t="s">
        <v>6</v>
      </c>
      <c r="I12" s="179">
        <f>SUM(I13:I36)</f>
        <v>0</v>
      </c>
      <c r="J12" s="179">
        <f>SUM(J13:J36)</f>
        <v>0</v>
      </c>
      <c r="K12" s="179">
        <f>SUM(K13:K36)</f>
        <v>0</v>
      </c>
      <c r="L12" s="165"/>
      <c r="M12" s="179">
        <f>SUM(M13:M36)</f>
        <v>8E-05</v>
      </c>
      <c r="N12" s="180"/>
      <c r="AI12" s="165"/>
      <c r="AS12" s="179">
        <f>SUM(AJ13:AJ36)</f>
        <v>0</v>
      </c>
      <c r="AT12" s="179">
        <f>SUM(AK13:AK36)</f>
        <v>0</v>
      </c>
      <c r="AU12" s="179">
        <f>SUM(AL13:AL36)</f>
        <v>0</v>
      </c>
    </row>
    <row r="13" spans="1:64" ht="15" customHeight="1">
      <c r="A13" s="181" t="s">
        <v>7</v>
      </c>
      <c r="B13" s="182"/>
      <c r="C13" s="182" t="s">
        <v>514</v>
      </c>
      <c r="D13" s="154" t="s">
        <v>515</v>
      </c>
      <c r="E13" s="154"/>
      <c r="F13" s="182" t="s">
        <v>369</v>
      </c>
      <c r="G13" s="183">
        <v>1</v>
      </c>
      <c r="H13" s="183">
        <v>0</v>
      </c>
      <c r="I13" s="183">
        <f>G13*AO13</f>
        <v>0</v>
      </c>
      <c r="J13" s="183">
        <f>G13*AP13</f>
        <v>0</v>
      </c>
      <c r="K13" s="183">
        <f>G13*H13</f>
        <v>0</v>
      </c>
      <c r="L13" s="183">
        <v>0</v>
      </c>
      <c r="M13" s="183">
        <f>G13*L13</f>
        <v>0</v>
      </c>
      <c r="N13" s="184" t="s">
        <v>516</v>
      </c>
      <c r="Z13" s="183">
        <f>IF(AQ13="5",BJ13,0)</f>
        <v>0</v>
      </c>
      <c r="AB13" s="183">
        <f>IF(AQ13="1",BH13,0)</f>
        <v>0</v>
      </c>
      <c r="AC13" s="183">
        <f>IF(AQ13="1",BI13,0)</f>
        <v>0</v>
      </c>
      <c r="AD13" s="183">
        <f>IF(AQ13="7",BH13,0)</f>
        <v>0</v>
      </c>
      <c r="AE13" s="183">
        <f>IF(AQ13="7",BI13,0)</f>
        <v>0</v>
      </c>
      <c r="AF13" s="183">
        <f>IF(AQ13="2",BH13,0)</f>
        <v>0</v>
      </c>
      <c r="AG13" s="183">
        <f>IF(AQ13="2",BI13,0)</f>
        <v>0</v>
      </c>
      <c r="AH13" s="183">
        <f>IF(AQ13="0",BJ13,0)</f>
        <v>0</v>
      </c>
      <c r="AI13" s="165"/>
      <c r="AJ13" s="183">
        <f>IF(AN13=0,K13,0)</f>
        <v>0</v>
      </c>
      <c r="AK13" s="183">
        <f>IF(AN13=15,K13,0)</f>
        <v>0</v>
      </c>
      <c r="AL13" s="183">
        <f>IF(AN13=21,K13,0)</f>
        <v>0</v>
      </c>
      <c r="AN13" s="183">
        <v>21</v>
      </c>
      <c r="AO13" s="183">
        <f>H13*0</f>
        <v>0</v>
      </c>
      <c r="AP13" s="183">
        <f>H13*(1-0)</f>
        <v>0</v>
      </c>
      <c r="AQ13" s="185" t="s">
        <v>8</v>
      </c>
      <c r="AV13" s="183">
        <f>AW13+AX13</f>
        <v>0</v>
      </c>
      <c r="AW13" s="183">
        <f>G13*AO13</f>
        <v>0</v>
      </c>
      <c r="AX13" s="183">
        <f>G13*AP13</f>
        <v>0</v>
      </c>
      <c r="AY13" s="185" t="s">
        <v>424</v>
      </c>
      <c r="AZ13" s="185" t="s">
        <v>436</v>
      </c>
      <c r="BA13" s="165" t="s">
        <v>438</v>
      </c>
      <c r="BC13" s="183">
        <f>AW13+AX13</f>
        <v>0</v>
      </c>
      <c r="BD13" s="183">
        <f>H13/(100-BE13)*100</f>
        <v>0</v>
      </c>
      <c r="BE13" s="183">
        <v>0</v>
      </c>
      <c r="BF13" s="183">
        <f>M13</f>
        <v>0</v>
      </c>
      <c r="BH13" s="183">
        <f>G13*AO13</f>
        <v>0</v>
      </c>
      <c r="BI13" s="183">
        <f>G13*AP13</f>
        <v>0</v>
      </c>
      <c r="BJ13" s="183">
        <f>G13*H13</f>
        <v>0</v>
      </c>
      <c r="BK13" s="183"/>
      <c r="BL13" s="183"/>
    </row>
    <row r="14" spans="1:64" ht="15" customHeight="1">
      <c r="A14" s="181" t="s">
        <v>8</v>
      </c>
      <c r="B14" s="182"/>
      <c r="C14" s="182" t="s">
        <v>517</v>
      </c>
      <c r="D14" s="154" t="s">
        <v>518</v>
      </c>
      <c r="E14" s="154"/>
      <c r="F14" s="182" t="s">
        <v>369</v>
      </c>
      <c r="G14" s="183">
        <v>1</v>
      </c>
      <c r="H14" s="183">
        <v>0</v>
      </c>
      <c r="I14" s="183">
        <f>G14*AO14</f>
        <v>0</v>
      </c>
      <c r="J14" s="183">
        <f>G14*AP14</f>
        <v>0</v>
      </c>
      <c r="K14" s="183">
        <f>G14*H14</f>
        <v>0</v>
      </c>
      <c r="L14" s="183">
        <v>0</v>
      </c>
      <c r="M14" s="183">
        <f>G14*L14</f>
        <v>0</v>
      </c>
      <c r="N14" s="184" t="s">
        <v>516</v>
      </c>
      <c r="Z14" s="183">
        <f>IF(AQ14="5",BJ14,0)</f>
        <v>0</v>
      </c>
      <c r="AB14" s="183">
        <f>IF(AQ14="1",BH14,0)</f>
        <v>0</v>
      </c>
      <c r="AC14" s="183">
        <f>IF(AQ14="1",BI14,0)</f>
        <v>0</v>
      </c>
      <c r="AD14" s="183">
        <f>IF(AQ14="7",BH14,0)</f>
        <v>0</v>
      </c>
      <c r="AE14" s="183">
        <f>IF(AQ14="7",BI14,0)</f>
        <v>0</v>
      </c>
      <c r="AF14" s="183">
        <f>IF(AQ14="2",BH14,0)</f>
        <v>0</v>
      </c>
      <c r="AG14" s="183">
        <f>IF(AQ14="2",BI14,0)</f>
        <v>0</v>
      </c>
      <c r="AH14" s="183">
        <f>IF(AQ14="0",BJ14,0)</f>
        <v>0</v>
      </c>
      <c r="AI14" s="165"/>
      <c r="AJ14" s="183">
        <f>IF(AN14=0,K14,0)</f>
        <v>0</v>
      </c>
      <c r="AK14" s="183">
        <f>IF(AN14=15,K14,0)</f>
        <v>0</v>
      </c>
      <c r="AL14" s="183">
        <f>IF(AN14=21,K14,0)</f>
        <v>0</v>
      </c>
      <c r="AN14" s="183">
        <v>21</v>
      </c>
      <c r="AO14" s="183">
        <f>H14*0</f>
        <v>0</v>
      </c>
      <c r="AP14" s="183">
        <f>H14*(1-0)</f>
        <v>0</v>
      </c>
      <c r="AQ14" s="185" t="s">
        <v>8</v>
      </c>
      <c r="AV14" s="183">
        <f>AW14+AX14</f>
        <v>0</v>
      </c>
      <c r="AW14" s="183">
        <f>G14*AO14</f>
        <v>0</v>
      </c>
      <c r="AX14" s="183">
        <f>G14*AP14</f>
        <v>0</v>
      </c>
      <c r="AY14" s="185" t="s">
        <v>424</v>
      </c>
      <c r="AZ14" s="185" t="s">
        <v>436</v>
      </c>
      <c r="BA14" s="165" t="s">
        <v>438</v>
      </c>
      <c r="BC14" s="183">
        <f>AW14+AX14</f>
        <v>0</v>
      </c>
      <c r="BD14" s="183">
        <f>H14/(100-BE14)*100</f>
        <v>0</v>
      </c>
      <c r="BE14" s="183">
        <v>0</v>
      </c>
      <c r="BF14" s="183">
        <f>M14</f>
        <v>0</v>
      </c>
      <c r="BH14" s="183">
        <f>G14*AO14</f>
        <v>0</v>
      </c>
      <c r="BI14" s="183">
        <f>G14*AP14</f>
        <v>0</v>
      </c>
      <c r="BJ14" s="183">
        <f>G14*H14</f>
        <v>0</v>
      </c>
      <c r="BK14" s="183"/>
      <c r="BL14" s="183"/>
    </row>
    <row r="15" spans="1:14" ht="13.5" customHeight="1">
      <c r="A15" s="186"/>
      <c r="C15" s="187" t="s">
        <v>519</v>
      </c>
      <c r="D15" s="188" t="s">
        <v>520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</row>
    <row r="16" spans="1:64" ht="15" customHeight="1">
      <c r="A16" s="181" t="s">
        <v>9</v>
      </c>
      <c r="B16" s="182"/>
      <c r="C16" s="182" t="s">
        <v>521</v>
      </c>
      <c r="D16" s="154" t="s">
        <v>522</v>
      </c>
      <c r="E16" s="154"/>
      <c r="F16" s="182" t="s">
        <v>369</v>
      </c>
      <c r="G16" s="183">
        <v>4</v>
      </c>
      <c r="H16" s="183">
        <v>0</v>
      </c>
      <c r="I16" s="183">
        <f>G16*AO16</f>
        <v>0</v>
      </c>
      <c r="J16" s="183">
        <f>G16*AP16</f>
        <v>0</v>
      </c>
      <c r="K16" s="183">
        <f>G16*H16</f>
        <v>0</v>
      </c>
      <c r="L16" s="183">
        <v>0</v>
      </c>
      <c r="M16" s="183">
        <f>G16*L16</f>
        <v>0</v>
      </c>
      <c r="N16" s="184" t="s">
        <v>516</v>
      </c>
      <c r="Z16" s="183">
        <f>IF(AQ16="5",BJ16,0)</f>
        <v>0</v>
      </c>
      <c r="AB16" s="183">
        <f>IF(AQ16="1",BH16,0)</f>
        <v>0</v>
      </c>
      <c r="AC16" s="183">
        <f>IF(AQ16="1",BI16,0)</f>
        <v>0</v>
      </c>
      <c r="AD16" s="183">
        <f>IF(AQ16="7",BH16,0)</f>
        <v>0</v>
      </c>
      <c r="AE16" s="183">
        <f>IF(AQ16="7",BI16,0)</f>
        <v>0</v>
      </c>
      <c r="AF16" s="183">
        <f>IF(AQ16="2",BH16,0)</f>
        <v>0</v>
      </c>
      <c r="AG16" s="183">
        <f>IF(AQ16="2",BI16,0)</f>
        <v>0</v>
      </c>
      <c r="AH16" s="183">
        <f>IF(AQ16="0",BJ16,0)</f>
        <v>0</v>
      </c>
      <c r="AI16" s="165"/>
      <c r="AJ16" s="183">
        <f>IF(AN16=0,K16,0)</f>
        <v>0</v>
      </c>
      <c r="AK16" s="183">
        <f>IF(AN16=15,K16,0)</f>
        <v>0</v>
      </c>
      <c r="AL16" s="183">
        <f>IF(AN16=21,K16,0)</f>
        <v>0</v>
      </c>
      <c r="AN16" s="183">
        <v>21</v>
      </c>
      <c r="AO16" s="183">
        <f>H16*0</f>
        <v>0</v>
      </c>
      <c r="AP16" s="183">
        <f>H16*(1-0)</f>
        <v>0</v>
      </c>
      <c r="AQ16" s="185" t="s">
        <v>8</v>
      </c>
      <c r="AV16" s="183">
        <f>AW16+AX16</f>
        <v>0</v>
      </c>
      <c r="AW16" s="183">
        <f>G16*AO16</f>
        <v>0</v>
      </c>
      <c r="AX16" s="183">
        <f>G16*AP16</f>
        <v>0</v>
      </c>
      <c r="AY16" s="185" t="s">
        <v>424</v>
      </c>
      <c r="AZ16" s="185" t="s">
        <v>436</v>
      </c>
      <c r="BA16" s="165" t="s">
        <v>438</v>
      </c>
      <c r="BC16" s="183">
        <f>AW16+AX16</f>
        <v>0</v>
      </c>
      <c r="BD16" s="183">
        <f>H16/(100-BE16)*100</f>
        <v>0</v>
      </c>
      <c r="BE16" s="183">
        <v>0</v>
      </c>
      <c r="BF16" s="183">
        <f>M16</f>
        <v>0</v>
      </c>
      <c r="BH16" s="183">
        <f>G16*AO16</f>
        <v>0</v>
      </c>
      <c r="BI16" s="183">
        <f>G16*AP16</f>
        <v>0</v>
      </c>
      <c r="BJ16" s="183">
        <f>G16*H16</f>
        <v>0</v>
      </c>
      <c r="BK16" s="183"/>
      <c r="BL16" s="183"/>
    </row>
    <row r="17" spans="1:64" ht="15" customHeight="1">
      <c r="A17" s="181" t="s">
        <v>10</v>
      </c>
      <c r="B17" s="182"/>
      <c r="C17" s="182" t="s">
        <v>523</v>
      </c>
      <c r="D17" s="154" t="s">
        <v>524</v>
      </c>
      <c r="E17" s="154"/>
      <c r="F17" s="182" t="s">
        <v>369</v>
      </c>
      <c r="G17" s="183">
        <v>6</v>
      </c>
      <c r="H17" s="183">
        <v>0</v>
      </c>
      <c r="I17" s="183">
        <f>G17*AO17</f>
        <v>0</v>
      </c>
      <c r="J17" s="183">
        <f>G17*AP17</f>
        <v>0</v>
      </c>
      <c r="K17" s="183">
        <f>G17*H17</f>
        <v>0</v>
      </c>
      <c r="L17" s="183">
        <v>0</v>
      </c>
      <c r="M17" s="183">
        <f>G17*L17</f>
        <v>0</v>
      </c>
      <c r="N17" s="184" t="s">
        <v>516</v>
      </c>
      <c r="Z17" s="183">
        <f>IF(AQ17="5",BJ17,0)</f>
        <v>0</v>
      </c>
      <c r="AB17" s="183">
        <f>IF(AQ17="1",BH17,0)</f>
        <v>0</v>
      </c>
      <c r="AC17" s="183">
        <f>IF(AQ17="1",BI17,0)</f>
        <v>0</v>
      </c>
      <c r="AD17" s="183">
        <f>IF(AQ17="7",BH17,0)</f>
        <v>0</v>
      </c>
      <c r="AE17" s="183">
        <f>IF(AQ17="7",BI17,0)</f>
        <v>0</v>
      </c>
      <c r="AF17" s="183">
        <f>IF(AQ17="2",BH17,0)</f>
        <v>0</v>
      </c>
      <c r="AG17" s="183">
        <f>IF(AQ17="2",BI17,0)</f>
        <v>0</v>
      </c>
      <c r="AH17" s="183">
        <f>IF(AQ17="0",BJ17,0)</f>
        <v>0</v>
      </c>
      <c r="AI17" s="165"/>
      <c r="AJ17" s="183">
        <f>IF(AN17=0,K17,0)</f>
        <v>0</v>
      </c>
      <c r="AK17" s="183">
        <f>IF(AN17=15,K17,0)</f>
        <v>0</v>
      </c>
      <c r="AL17" s="183">
        <f>IF(AN17=21,K17,0)</f>
        <v>0</v>
      </c>
      <c r="AN17" s="183">
        <v>21</v>
      </c>
      <c r="AO17" s="183">
        <f>H17*0</f>
        <v>0</v>
      </c>
      <c r="AP17" s="183">
        <f>H17*(1-0)</f>
        <v>0</v>
      </c>
      <c r="AQ17" s="185" t="s">
        <v>8</v>
      </c>
      <c r="AV17" s="183">
        <f>AW17+AX17</f>
        <v>0</v>
      </c>
      <c r="AW17" s="183">
        <f>G17*AO17</f>
        <v>0</v>
      </c>
      <c r="AX17" s="183">
        <f>G17*AP17</f>
        <v>0</v>
      </c>
      <c r="AY17" s="185" t="s">
        <v>424</v>
      </c>
      <c r="AZ17" s="185" t="s">
        <v>436</v>
      </c>
      <c r="BA17" s="165" t="s">
        <v>438</v>
      </c>
      <c r="BC17" s="183">
        <f>AW17+AX17</f>
        <v>0</v>
      </c>
      <c r="BD17" s="183">
        <f>H17/(100-BE17)*100</f>
        <v>0</v>
      </c>
      <c r="BE17" s="183">
        <v>0</v>
      </c>
      <c r="BF17" s="183">
        <f>M17</f>
        <v>0</v>
      </c>
      <c r="BH17" s="183">
        <f>G17*AO17</f>
        <v>0</v>
      </c>
      <c r="BI17" s="183">
        <f>G17*AP17</f>
        <v>0</v>
      </c>
      <c r="BJ17" s="183">
        <f>G17*H17</f>
        <v>0</v>
      </c>
      <c r="BK17" s="183"/>
      <c r="BL17" s="183"/>
    </row>
    <row r="18" spans="1:14" ht="13.5" customHeight="1">
      <c r="A18" s="186"/>
      <c r="C18" s="187" t="s">
        <v>519</v>
      </c>
      <c r="D18" s="188" t="s">
        <v>520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spans="1:64" ht="15" customHeight="1">
      <c r="A19" s="181" t="s">
        <v>11</v>
      </c>
      <c r="B19" s="182"/>
      <c r="C19" s="182" t="s">
        <v>525</v>
      </c>
      <c r="D19" s="154" t="s">
        <v>526</v>
      </c>
      <c r="E19" s="154"/>
      <c r="F19" s="182" t="s">
        <v>369</v>
      </c>
      <c r="G19" s="183">
        <v>3</v>
      </c>
      <c r="H19" s="183">
        <v>0</v>
      </c>
      <c r="I19" s="183">
        <f>G19*AO19</f>
        <v>0</v>
      </c>
      <c r="J19" s="183">
        <f>G19*AP19</f>
        <v>0</v>
      </c>
      <c r="K19" s="183">
        <f>G19*H19</f>
        <v>0</v>
      </c>
      <c r="L19" s="183">
        <v>0</v>
      </c>
      <c r="M19" s="183">
        <f>G19*L19</f>
        <v>0</v>
      </c>
      <c r="N19" s="184" t="s">
        <v>516</v>
      </c>
      <c r="Z19" s="183">
        <f>IF(AQ19="5",BJ19,0)</f>
        <v>0</v>
      </c>
      <c r="AB19" s="183">
        <f>IF(AQ19="1",BH19,0)</f>
        <v>0</v>
      </c>
      <c r="AC19" s="183">
        <f>IF(AQ19="1",BI19,0)</f>
        <v>0</v>
      </c>
      <c r="AD19" s="183">
        <f>IF(AQ19="7",BH19,0)</f>
        <v>0</v>
      </c>
      <c r="AE19" s="183">
        <f>IF(AQ19="7",BI19,0)</f>
        <v>0</v>
      </c>
      <c r="AF19" s="183">
        <f>IF(AQ19="2",BH19,0)</f>
        <v>0</v>
      </c>
      <c r="AG19" s="183">
        <f>IF(AQ19="2",BI19,0)</f>
        <v>0</v>
      </c>
      <c r="AH19" s="183">
        <f>IF(AQ19="0",BJ19,0)</f>
        <v>0</v>
      </c>
      <c r="AI19" s="165"/>
      <c r="AJ19" s="183">
        <f>IF(AN19=0,K19,0)</f>
        <v>0</v>
      </c>
      <c r="AK19" s="183">
        <f>IF(AN19=15,K19,0)</f>
        <v>0</v>
      </c>
      <c r="AL19" s="183">
        <f>IF(AN19=21,K19,0)</f>
        <v>0</v>
      </c>
      <c r="AN19" s="183">
        <v>21</v>
      </c>
      <c r="AO19" s="183">
        <f>H19*0</f>
        <v>0</v>
      </c>
      <c r="AP19" s="183">
        <f>H19*(1-0)</f>
        <v>0</v>
      </c>
      <c r="AQ19" s="185" t="s">
        <v>8</v>
      </c>
      <c r="AV19" s="183">
        <f>AW19+AX19</f>
        <v>0</v>
      </c>
      <c r="AW19" s="183">
        <f>G19*AO19</f>
        <v>0</v>
      </c>
      <c r="AX19" s="183">
        <f>G19*AP19</f>
        <v>0</v>
      </c>
      <c r="AY19" s="185" t="s">
        <v>424</v>
      </c>
      <c r="AZ19" s="185" t="s">
        <v>436</v>
      </c>
      <c r="BA19" s="165" t="s">
        <v>438</v>
      </c>
      <c r="BC19" s="183">
        <f>AW19+AX19</f>
        <v>0</v>
      </c>
      <c r="BD19" s="183">
        <f>H19/(100-BE19)*100</f>
        <v>0</v>
      </c>
      <c r="BE19" s="183">
        <v>0</v>
      </c>
      <c r="BF19" s="183">
        <f>M19</f>
        <v>0</v>
      </c>
      <c r="BH19" s="183">
        <f>G19*AO19</f>
        <v>0</v>
      </c>
      <c r="BI19" s="183">
        <f>G19*AP19</f>
        <v>0</v>
      </c>
      <c r="BJ19" s="183">
        <f>G19*H19</f>
        <v>0</v>
      </c>
      <c r="BK19" s="183"/>
      <c r="BL19" s="183"/>
    </row>
    <row r="20" spans="1:14" ht="13.5" customHeight="1">
      <c r="A20" s="186"/>
      <c r="C20" s="187" t="s">
        <v>519</v>
      </c>
      <c r="D20" s="188" t="s">
        <v>527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</row>
    <row r="21" spans="1:64" ht="15" customHeight="1">
      <c r="A21" s="181" t="s">
        <v>12</v>
      </c>
      <c r="B21" s="182"/>
      <c r="C21" s="182" t="s">
        <v>528</v>
      </c>
      <c r="D21" s="154" t="s">
        <v>529</v>
      </c>
      <c r="E21" s="154"/>
      <c r="F21" s="182" t="s">
        <v>369</v>
      </c>
      <c r="G21" s="183">
        <v>1</v>
      </c>
      <c r="H21" s="183">
        <v>0</v>
      </c>
      <c r="I21" s="183">
        <f>G21*AO21</f>
        <v>0</v>
      </c>
      <c r="J21" s="183">
        <f>G21*AP21</f>
        <v>0</v>
      </c>
      <c r="K21" s="183">
        <f>G21*H21</f>
        <v>0</v>
      </c>
      <c r="L21" s="183">
        <v>0</v>
      </c>
      <c r="M21" s="183">
        <f>G21*L21</f>
        <v>0</v>
      </c>
      <c r="N21" s="184" t="s">
        <v>516</v>
      </c>
      <c r="Z21" s="183">
        <f>IF(AQ21="5",BJ21,0)</f>
        <v>0</v>
      </c>
      <c r="AB21" s="183">
        <f>IF(AQ21="1",BH21,0)</f>
        <v>0</v>
      </c>
      <c r="AC21" s="183">
        <f>IF(AQ21="1",BI21,0)</f>
        <v>0</v>
      </c>
      <c r="AD21" s="183">
        <f>IF(AQ21="7",BH21,0)</f>
        <v>0</v>
      </c>
      <c r="AE21" s="183">
        <f>IF(AQ21="7",BI21,0)</f>
        <v>0</v>
      </c>
      <c r="AF21" s="183">
        <f>IF(AQ21="2",BH21,0)</f>
        <v>0</v>
      </c>
      <c r="AG21" s="183">
        <f>IF(AQ21="2",BI21,0)</f>
        <v>0</v>
      </c>
      <c r="AH21" s="183">
        <f>IF(AQ21="0",BJ21,0)</f>
        <v>0</v>
      </c>
      <c r="AI21" s="165"/>
      <c r="AJ21" s="183">
        <f>IF(AN21=0,K21,0)</f>
        <v>0</v>
      </c>
      <c r="AK21" s="183">
        <f>IF(AN21=15,K21,0)</f>
        <v>0</v>
      </c>
      <c r="AL21" s="183">
        <f>IF(AN21=21,K21,0)</f>
        <v>0</v>
      </c>
      <c r="AN21" s="183">
        <v>21</v>
      </c>
      <c r="AO21" s="183">
        <f>H21*0</f>
        <v>0</v>
      </c>
      <c r="AP21" s="183">
        <f>H21*(1-0)</f>
        <v>0</v>
      </c>
      <c r="AQ21" s="185" t="s">
        <v>8</v>
      </c>
      <c r="AV21" s="183">
        <f>AW21+AX21</f>
        <v>0</v>
      </c>
      <c r="AW21" s="183">
        <f>G21*AO21</f>
        <v>0</v>
      </c>
      <c r="AX21" s="183">
        <f>G21*AP21</f>
        <v>0</v>
      </c>
      <c r="AY21" s="185" t="s">
        <v>424</v>
      </c>
      <c r="AZ21" s="185" t="s">
        <v>436</v>
      </c>
      <c r="BA21" s="165" t="s">
        <v>438</v>
      </c>
      <c r="BC21" s="183">
        <f>AW21+AX21</f>
        <v>0</v>
      </c>
      <c r="BD21" s="183">
        <f>H21/(100-BE21)*100</f>
        <v>0</v>
      </c>
      <c r="BE21" s="183">
        <v>0</v>
      </c>
      <c r="BF21" s="183">
        <f>M21</f>
        <v>0</v>
      </c>
      <c r="BH21" s="183">
        <f>G21*AO21</f>
        <v>0</v>
      </c>
      <c r="BI21" s="183">
        <f>G21*AP21</f>
        <v>0</v>
      </c>
      <c r="BJ21" s="183">
        <f>G21*H21</f>
        <v>0</v>
      </c>
      <c r="BK21" s="183"/>
      <c r="BL21" s="183"/>
    </row>
    <row r="22" spans="1:14" ht="13.5" customHeight="1">
      <c r="A22" s="186"/>
      <c r="C22" s="187" t="s">
        <v>519</v>
      </c>
      <c r="D22" s="188" t="s">
        <v>527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64" ht="15" customHeight="1">
      <c r="A23" s="181" t="s">
        <v>13</v>
      </c>
      <c r="B23" s="182"/>
      <c r="C23" s="182" t="s">
        <v>530</v>
      </c>
      <c r="D23" s="154" t="s">
        <v>531</v>
      </c>
      <c r="E23" s="154"/>
      <c r="F23" s="182" t="s">
        <v>369</v>
      </c>
      <c r="G23" s="183">
        <v>1</v>
      </c>
      <c r="H23" s="183">
        <v>0</v>
      </c>
      <c r="I23" s="183">
        <f>G23*AO23</f>
        <v>0</v>
      </c>
      <c r="J23" s="183">
        <f>G23*AP23</f>
        <v>0</v>
      </c>
      <c r="K23" s="183">
        <f>G23*H23</f>
        <v>0</v>
      </c>
      <c r="L23" s="183">
        <v>0</v>
      </c>
      <c r="M23" s="183">
        <f>G23*L23</f>
        <v>0</v>
      </c>
      <c r="N23" s="184" t="s">
        <v>516</v>
      </c>
      <c r="Z23" s="183">
        <f>IF(AQ23="5",BJ23,0)</f>
        <v>0</v>
      </c>
      <c r="AB23" s="183">
        <f>IF(AQ23="1",BH23,0)</f>
        <v>0</v>
      </c>
      <c r="AC23" s="183">
        <f>IF(AQ23="1",BI23,0)</f>
        <v>0</v>
      </c>
      <c r="AD23" s="183">
        <f>IF(AQ23="7",BH23,0)</f>
        <v>0</v>
      </c>
      <c r="AE23" s="183">
        <f>IF(AQ23="7",BI23,0)</f>
        <v>0</v>
      </c>
      <c r="AF23" s="183">
        <f>IF(AQ23="2",BH23,0)</f>
        <v>0</v>
      </c>
      <c r="AG23" s="183">
        <f>IF(AQ23="2",BI23,0)</f>
        <v>0</v>
      </c>
      <c r="AH23" s="183">
        <f>IF(AQ23="0",BJ23,0)</f>
        <v>0</v>
      </c>
      <c r="AI23" s="165"/>
      <c r="AJ23" s="183">
        <f>IF(AN23=0,K23,0)</f>
        <v>0</v>
      </c>
      <c r="AK23" s="183">
        <f>IF(AN23=15,K23,0)</f>
        <v>0</v>
      </c>
      <c r="AL23" s="183">
        <f>IF(AN23=21,K23,0)</f>
        <v>0</v>
      </c>
      <c r="AN23" s="183">
        <v>21</v>
      </c>
      <c r="AO23" s="183">
        <f>H23*0</f>
        <v>0</v>
      </c>
      <c r="AP23" s="183">
        <f>H23*(1-0)</f>
        <v>0</v>
      </c>
      <c r="AQ23" s="185" t="s">
        <v>8</v>
      </c>
      <c r="AV23" s="183">
        <f>AW23+AX23</f>
        <v>0</v>
      </c>
      <c r="AW23" s="183">
        <f>G23*AO23</f>
        <v>0</v>
      </c>
      <c r="AX23" s="183">
        <f>G23*AP23</f>
        <v>0</v>
      </c>
      <c r="AY23" s="185" t="s">
        <v>424</v>
      </c>
      <c r="AZ23" s="185" t="s">
        <v>436</v>
      </c>
      <c r="BA23" s="165" t="s">
        <v>438</v>
      </c>
      <c r="BC23" s="183">
        <f>AW23+AX23</f>
        <v>0</v>
      </c>
      <c r="BD23" s="183">
        <f>H23/(100-BE23)*100</f>
        <v>0</v>
      </c>
      <c r="BE23" s="183">
        <v>0</v>
      </c>
      <c r="BF23" s="183">
        <f>M23</f>
        <v>0</v>
      </c>
      <c r="BH23" s="183">
        <f>G23*AO23</f>
        <v>0</v>
      </c>
      <c r="BI23" s="183">
        <f>G23*AP23</f>
        <v>0</v>
      </c>
      <c r="BJ23" s="183">
        <f>G23*H23</f>
        <v>0</v>
      </c>
      <c r="BK23" s="183"/>
      <c r="BL23" s="183"/>
    </row>
    <row r="24" spans="1:64" ht="15" customHeight="1">
      <c r="A24" s="181" t="s">
        <v>14</v>
      </c>
      <c r="B24" s="182"/>
      <c r="C24" s="182" t="s">
        <v>532</v>
      </c>
      <c r="D24" s="154" t="s">
        <v>533</v>
      </c>
      <c r="E24" s="154"/>
      <c r="F24" s="182" t="s">
        <v>369</v>
      </c>
      <c r="G24" s="183">
        <v>4</v>
      </c>
      <c r="H24" s="183">
        <v>0</v>
      </c>
      <c r="I24" s="183">
        <f>G24*AO24</f>
        <v>0</v>
      </c>
      <c r="J24" s="183">
        <f>G24*AP24</f>
        <v>0</v>
      </c>
      <c r="K24" s="183">
        <f>G24*H24</f>
        <v>0</v>
      </c>
      <c r="L24" s="183">
        <v>0</v>
      </c>
      <c r="M24" s="183">
        <f>G24*L24</f>
        <v>0</v>
      </c>
      <c r="N24" s="184" t="s">
        <v>516</v>
      </c>
      <c r="Z24" s="183">
        <f>IF(AQ24="5",BJ24,0)</f>
        <v>0</v>
      </c>
      <c r="AB24" s="183">
        <f>IF(AQ24="1",BH24,0)</f>
        <v>0</v>
      </c>
      <c r="AC24" s="183">
        <f>IF(AQ24="1",BI24,0)</f>
        <v>0</v>
      </c>
      <c r="AD24" s="183">
        <f>IF(AQ24="7",BH24,0)</f>
        <v>0</v>
      </c>
      <c r="AE24" s="183">
        <f>IF(AQ24="7",BI24,0)</f>
        <v>0</v>
      </c>
      <c r="AF24" s="183">
        <f>IF(AQ24="2",BH24,0)</f>
        <v>0</v>
      </c>
      <c r="AG24" s="183">
        <f>IF(AQ24="2",BI24,0)</f>
        <v>0</v>
      </c>
      <c r="AH24" s="183">
        <f>IF(AQ24="0",BJ24,0)</f>
        <v>0</v>
      </c>
      <c r="AI24" s="165"/>
      <c r="AJ24" s="183">
        <f>IF(AN24=0,K24,0)</f>
        <v>0</v>
      </c>
      <c r="AK24" s="183">
        <f>IF(AN24=15,K24,0)</f>
        <v>0</v>
      </c>
      <c r="AL24" s="183">
        <f>IF(AN24=21,K24,0)</f>
        <v>0</v>
      </c>
      <c r="AN24" s="183">
        <v>21</v>
      </c>
      <c r="AO24" s="183">
        <f>H24*0</f>
        <v>0</v>
      </c>
      <c r="AP24" s="183">
        <f>H24*(1-0)</f>
        <v>0</v>
      </c>
      <c r="AQ24" s="185" t="s">
        <v>8</v>
      </c>
      <c r="AV24" s="183">
        <f>AW24+AX24</f>
        <v>0</v>
      </c>
      <c r="AW24" s="183">
        <f>G24*AO24</f>
        <v>0</v>
      </c>
      <c r="AX24" s="183">
        <f>G24*AP24</f>
        <v>0</v>
      </c>
      <c r="AY24" s="185" t="s">
        <v>424</v>
      </c>
      <c r="AZ24" s="185" t="s">
        <v>436</v>
      </c>
      <c r="BA24" s="165" t="s">
        <v>438</v>
      </c>
      <c r="BC24" s="183">
        <f>AW24+AX24</f>
        <v>0</v>
      </c>
      <c r="BD24" s="183">
        <f>H24/(100-BE24)*100</f>
        <v>0</v>
      </c>
      <c r="BE24" s="183">
        <v>0</v>
      </c>
      <c r="BF24" s="183">
        <f>M24</f>
        <v>0</v>
      </c>
      <c r="BH24" s="183">
        <f>G24*AO24</f>
        <v>0</v>
      </c>
      <c r="BI24" s="183">
        <f>G24*AP24</f>
        <v>0</v>
      </c>
      <c r="BJ24" s="183">
        <f>G24*H24</f>
        <v>0</v>
      </c>
      <c r="BK24" s="183"/>
      <c r="BL24" s="183"/>
    </row>
    <row r="25" spans="1:14" ht="27" customHeight="1">
      <c r="A25" s="186"/>
      <c r="C25" s="187" t="s">
        <v>519</v>
      </c>
      <c r="D25" s="188" t="s">
        <v>534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64" ht="15" customHeight="1">
      <c r="A26" s="181" t="s">
        <v>15</v>
      </c>
      <c r="B26" s="182"/>
      <c r="C26" s="182" t="s">
        <v>535</v>
      </c>
      <c r="D26" s="154" t="s">
        <v>536</v>
      </c>
      <c r="E26" s="154"/>
      <c r="F26" s="182" t="s">
        <v>365</v>
      </c>
      <c r="G26" s="183">
        <v>2</v>
      </c>
      <c r="H26" s="183">
        <v>0</v>
      </c>
      <c r="I26" s="183">
        <f>G26*AO26</f>
        <v>0</v>
      </c>
      <c r="J26" s="183">
        <f>G26*AP26</f>
        <v>0</v>
      </c>
      <c r="K26" s="183">
        <f>G26*H26</f>
        <v>0</v>
      </c>
      <c r="L26" s="183">
        <v>4E-05</v>
      </c>
      <c r="M26" s="183">
        <f>G26*L26</f>
        <v>8E-05</v>
      </c>
      <c r="N26" s="184" t="s">
        <v>516</v>
      </c>
      <c r="Z26" s="183">
        <f>IF(AQ26="5",BJ26,0)</f>
        <v>0</v>
      </c>
      <c r="AB26" s="183">
        <f>IF(AQ26="1",BH26,0)</f>
        <v>0</v>
      </c>
      <c r="AC26" s="183">
        <f>IF(AQ26="1",BI26,0)</f>
        <v>0</v>
      </c>
      <c r="AD26" s="183">
        <f>IF(AQ26="7",BH26,0)</f>
        <v>0</v>
      </c>
      <c r="AE26" s="183">
        <f>IF(AQ26="7",BI26,0)</f>
        <v>0</v>
      </c>
      <c r="AF26" s="183">
        <f>IF(AQ26="2",BH26,0)</f>
        <v>0</v>
      </c>
      <c r="AG26" s="183">
        <f>IF(AQ26="2",BI26,0)</f>
        <v>0</v>
      </c>
      <c r="AH26" s="183">
        <f>IF(AQ26="0",BJ26,0)</f>
        <v>0</v>
      </c>
      <c r="AI26" s="165"/>
      <c r="AJ26" s="183">
        <f>IF(AN26=0,K26,0)</f>
        <v>0</v>
      </c>
      <c r="AK26" s="183">
        <f>IF(AN26=15,K26,0)</f>
        <v>0</v>
      </c>
      <c r="AL26" s="183">
        <f>IF(AN26=21,K26,0)</f>
        <v>0</v>
      </c>
      <c r="AN26" s="183">
        <v>21</v>
      </c>
      <c r="AO26" s="183">
        <f>H26*0.447019934060069</f>
        <v>0</v>
      </c>
      <c r="AP26" s="183">
        <f>H26*(1-0.447019934060069)</f>
        <v>0</v>
      </c>
      <c r="AQ26" s="185" t="s">
        <v>7</v>
      </c>
      <c r="AV26" s="183">
        <f>AW26+AX26</f>
        <v>0</v>
      </c>
      <c r="AW26" s="183">
        <f>G26*AO26</f>
        <v>0</v>
      </c>
      <c r="AX26" s="183">
        <f>G26*AP26</f>
        <v>0</v>
      </c>
      <c r="AY26" s="185" t="s">
        <v>424</v>
      </c>
      <c r="AZ26" s="185" t="s">
        <v>436</v>
      </c>
      <c r="BA26" s="165" t="s">
        <v>438</v>
      </c>
      <c r="BC26" s="183">
        <f>AW26+AX26</f>
        <v>0</v>
      </c>
      <c r="BD26" s="183">
        <f>H26/(100-BE26)*100</f>
        <v>0</v>
      </c>
      <c r="BE26" s="183">
        <v>0</v>
      </c>
      <c r="BF26" s="183">
        <f>M26</f>
        <v>8E-05</v>
      </c>
      <c r="BH26" s="183">
        <f>G26*AO26</f>
        <v>0</v>
      </c>
      <c r="BI26" s="183">
        <f>G26*AP26</f>
        <v>0</v>
      </c>
      <c r="BJ26" s="183">
        <f>G26*H26</f>
        <v>0</v>
      </c>
      <c r="BK26" s="183"/>
      <c r="BL26" s="183"/>
    </row>
    <row r="27" spans="1:14" ht="40.5" customHeight="1">
      <c r="A27" s="186"/>
      <c r="C27" s="187" t="s">
        <v>519</v>
      </c>
      <c r="D27" s="188" t="s">
        <v>537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</row>
    <row r="28" spans="1:64" ht="15" customHeight="1">
      <c r="A28" s="181" t="s">
        <v>16</v>
      </c>
      <c r="B28" s="182"/>
      <c r="C28" s="182" t="s">
        <v>538</v>
      </c>
      <c r="D28" s="154" t="s">
        <v>539</v>
      </c>
      <c r="E28" s="154"/>
      <c r="F28" s="182" t="s">
        <v>369</v>
      </c>
      <c r="G28" s="183">
        <v>5</v>
      </c>
      <c r="H28" s="183"/>
      <c r="I28" s="183">
        <f aca="true" t="shared" si="0" ref="I28:I36">G28*AO28</f>
        <v>0</v>
      </c>
      <c r="J28" s="183">
        <f aca="true" t="shared" si="1" ref="J28:J36">G28*AP28</f>
        <v>0</v>
      </c>
      <c r="K28" s="183">
        <f aca="true" t="shared" si="2" ref="K28:K36">G28*H28</f>
        <v>0</v>
      </c>
      <c r="L28" s="183">
        <v>0</v>
      </c>
      <c r="M28" s="183">
        <f aca="true" t="shared" si="3" ref="M28:M36">G28*L28</f>
        <v>0</v>
      </c>
      <c r="N28" s="184" t="s">
        <v>516</v>
      </c>
      <c r="Z28" s="183">
        <f aca="true" t="shared" si="4" ref="Z28:Z36">IF(AQ28="5",BJ28,0)</f>
        <v>0</v>
      </c>
      <c r="AB28" s="183">
        <f aca="true" t="shared" si="5" ref="AB28:AB36">IF(AQ28="1",BH28,0)</f>
        <v>0</v>
      </c>
      <c r="AC28" s="183">
        <f aca="true" t="shared" si="6" ref="AC28:AC36">IF(AQ28="1",BI28,0)</f>
        <v>0</v>
      </c>
      <c r="AD28" s="183">
        <f aca="true" t="shared" si="7" ref="AD28:AD36">IF(AQ28="7",BH28,0)</f>
        <v>0</v>
      </c>
      <c r="AE28" s="183">
        <f aca="true" t="shared" si="8" ref="AE28:AE36">IF(AQ28="7",BI28,0)</f>
        <v>0</v>
      </c>
      <c r="AF28" s="183">
        <f aca="true" t="shared" si="9" ref="AF28:AF36">IF(AQ28="2",BH28,0)</f>
        <v>0</v>
      </c>
      <c r="AG28" s="183">
        <f aca="true" t="shared" si="10" ref="AG28:AG36">IF(AQ28="2",BI28,0)</f>
        <v>0</v>
      </c>
      <c r="AH28" s="183">
        <f aca="true" t="shared" si="11" ref="AH28:AH36">IF(AQ28="0",BJ28,0)</f>
        <v>0</v>
      </c>
      <c r="AI28" s="165"/>
      <c r="AJ28" s="183">
        <f aca="true" t="shared" si="12" ref="AJ28:AJ36">IF(AN28=0,K28,0)</f>
        <v>0</v>
      </c>
      <c r="AK28" s="183">
        <f aca="true" t="shared" si="13" ref="AK28:AK36">IF(AN28=15,K28,0)</f>
        <v>0</v>
      </c>
      <c r="AL28" s="183">
        <f aca="true" t="shared" si="14" ref="AL28:AL36">IF(AN28=21,K28,0)</f>
        <v>0</v>
      </c>
      <c r="AN28" s="183">
        <v>21</v>
      </c>
      <c r="AO28" s="183">
        <f aca="true" t="shared" si="15" ref="AO28:AO36">H28*0</f>
        <v>0</v>
      </c>
      <c r="AP28" s="183">
        <f aca="true" t="shared" si="16" ref="AP28:AP36">H28*(1-0)</f>
        <v>0</v>
      </c>
      <c r="AQ28" s="185" t="s">
        <v>8</v>
      </c>
      <c r="AV28" s="183">
        <f aca="true" t="shared" si="17" ref="AV28:AV36">AW28+AX28</f>
        <v>0</v>
      </c>
      <c r="AW28" s="183">
        <f aca="true" t="shared" si="18" ref="AW28:AW36">G28*AO28</f>
        <v>0</v>
      </c>
      <c r="AX28" s="183">
        <f aca="true" t="shared" si="19" ref="AX28:AX36">G28*AP28</f>
        <v>0</v>
      </c>
      <c r="AY28" s="185" t="s">
        <v>424</v>
      </c>
      <c r="AZ28" s="185" t="s">
        <v>436</v>
      </c>
      <c r="BA28" s="165" t="s">
        <v>438</v>
      </c>
      <c r="BC28" s="183">
        <f aca="true" t="shared" si="20" ref="BC28:BC36">AW28+AX28</f>
        <v>0</v>
      </c>
      <c r="BD28" s="183">
        <f aca="true" t="shared" si="21" ref="BD28:BD36">H28/(100-BE28)*100</f>
        <v>0</v>
      </c>
      <c r="BE28" s="183">
        <v>0</v>
      </c>
      <c r="BF28" s="183">
        <f aca="true" t="shared" si="22" ref="BF28:BF36">M28</f>
        <v>0</v>
      </c>
      <c r="BH28" s="183">
        <f aca="true" t="shared" si="23" ref="BH28:BH36">G28*AO28</f>
        <v>0</v>
      </c>
      <c r="BI28" s="183">
        <f aca="true" t="shared" si="24" ref="BI28:BI36">G28*AP28</f>
        <v>0</v>
      </c>
      <c r="BJ28" s="183">
        <f aca="true" t="shared" si="25" ref="BJ28:BJ36">G28*H28</f>
        <v>0</v>
      </c>
      <c r="BK28" s="183"/>
      <c r="BL28" s="183"/>
    </row>
    <row r="29" spans="1:64" ht="15" customHeight="1">
      <c r="A29" s="181" t="s">
        <v>17</v>
      </c>
      <c r="B29" s="182"/>
      <c r="C29" s="182" t="s">
        <v>540</v>
      </c>
      <c r="D29" s="154" t="s">
        <v>541</v>
      </c>
      <c r="E29" s="154"/>
      <c r="F29" s="182" t="s">
        <v>369</v>
      </c>
      <c r="G29" s="183">
        <v>35</v>
      </c>
      <c r="H29" s="183"/>
      <c r="I29" s="183">
        <f t="shared" si="0"/>
        <v>0</v>
      </c>
      <c r="J29" s="183">
        <f t="shared" si="1"/>
        <v>0</v>
      </c>
      <c r="K29" s="183">
        <f t="shared" si="2"/>
        <v>0</v>
      </c>
      <c r="L29" s="183">
        <v>0</v>
      </c>
      <c r="M29" s="183">
        <f t="shared" si="3"/>
        <v>0</v>
      </c>
      <c r="N29" s="184" t="s">
        <v>516</v>
      </c>
      <c r="Z29" s="183">
        <f t="shared" si="4"/>
        <v>0</v>
      </c>
      <c r="AB29" s="183">
        <f t="shared" si="5"/>
        <v>0</v>
      </c>
      <c r="AC29" s="183">
        <f t="shared" si="6"/>
        <v>0</v>
      </c>
      <c r="AD29" s="183">
        <f t="shared" si="7"/>
        <v>0</v>
      </c>
      <c r="AE29" s="183">
        <f t="shared" si="8"/>
        <v>0</v>
      </c>
      <c r="AF29" s="183">
        <f t="shared" si="9"/>
        <v>0</v>
      </c>
      <c r="AG29" s="183">
        <f t="shared" si="10"/>
        <v>0</v>
      </c>
      <c r="AH29" s="183">
        <f t="shared" si="11"/>
        <v>0</v>
      </c>
      <c r="AI29" s="165"/>
      <c r="AJ29" s="183">
        <f t="shared" si="12"/>
        <v>0</v>
      </c>
      <c r="AK29" s="183">
        <f t="shared" si="13"/>
        <v>0</v>
      </c>
      <c r="AL29" s="183">
        <f t="shared" si="14"/>
        <v>0</v>
      </c>
      <c r="AN29" s="183">
        <v>21</v>
      </c>
      <c r="AO29" s="183">
        <f t="shared" si="15"/>
        <v>0</v>
      </c>
      <c r="AP29" s="183">
        <f t="shared" si="16"/>
        <v>0</v>
      </c>
      <c r="AQ29" s="185" t="s">
        <v>8</v>
      </c>
      <c r="AV29" s="183">
        <f t="shared" si="17"/>
        <v>0</v>
      </c>
      <c r="AW29" s="183">
        <f t="shared" si="18"/>
        <v>0</v>
      </c>
      <c r="AX29" s="183">
        <f t="shared" si="19"/>
        <v>0</v>
      </c>
      <c r="AY29" s="185" t="s">
        <v>424</v>
      </c>
      <c r="AZ29" s="185" t="s">
        <v>436</v>
      </c>
      <c r="BA29" s="165" t="s">
        <v>438</v>
      </c>
      <c r="BC29" s="183">
        <f t="shared" si="20"/>
        <v>0</v>
      </c>
      <c r="BD29" s="183">
        <f t="shared" si="21"/>
        <v>0</v>
      </c>
      <c r="BE29" s="183">
        <v>0</v>
      </c>
      <c r="BF29" s="183">
        <f t="shared" si="22"/>
        <v>0</v>
      </c>
      <c r="BH29" s="183">
        <f t="shared" si="23"/>
        <v>0</v>
      </c>
      <c r="BI29" s="183">
        <f t="shared" si="24"/>
        <v>0</v>
      </c>
      <c r="BJ29" s="183">
        <f t="shared" si="25"/>
        <v>0</v>
      </c>
      <c r="BK29" s="183"/>
      <c r="BL29" s="183"/>
    </row>
    <row r="30" spans="1:64" ht="15" customHeight="1">
      <c r="A30" s="181" t="s">
        <v>18</v>
      </c>
      <c r="B30" s="182"/>
      <c r="C30" s="182" t="s">
        <v>542</v>
      </c>
      <c r="D30" s="154" t="s">
        <v>543</v>
      </c>
      <c r="E30" s="154"/>
      <c r="F30" s="182" t="s">
        <v>369</v>
      </c>
      <c r="G30" s="183">
        <v>1</v>
      </c>
      <c r="H30" s="183"/>
      <c r="I30" s="183">
        <f t="shared" si="0"/>
        <v>0</v>
      </c>
      <c r="J30" s="183">
        <f t="shared" si="1"/>
        <v>0</v>
      </c>
      <c r="K30" s="183">
        <f t="shared" si="2"/>
        <v>0</v>
      </c>
      <c r="L30" s="183">
        <v>0</v>
      </c>
      <c r="M30" s="183">
        <f t="shared" si="3"/>
        <v>0</v>
      </c>
      <c r="N30" s="184" t="s">
        <v>516</v>
      </c>
      <c r="Z30" s="183">
        <f t="shared" si="4"/>
        <v>0</v>
      </c>
      <c r="AB30" s="183">
        <f t="shared" si="5"/>
        <v>0</v>
      </c>
      <c r="AC30" s="183">
        <f t="shared" si="6"/>
        <v>0</v>
      </c>
      <c r="AD30" s="183">
        <f t="shared" si="7"/>
        <v>0</v>
      </c>
      <c r="AE30" s="183">
        <f t="shared" si="8"/>
        <v>0</v>
      </c>
      <c r="AF30" s="183">
        <f t="shared" si="9"/>
        <v>0</v>
      </c>
      <c r="AG30" s="183">
        <f t="shared" si="10"/>
        <v>0</v>
      </c>
      <c r="AH30" s="183">
        <f t="shared" si="11"/>
        <v>0</v>
      </c>
      <c r="AI30" s="165"/>
      <c r="AJ30" s="183">
        <f t="shared" si="12"/>
        <v>0</v>
      </c>
      <c r="AK30" s="183">
        <f t="shared" si="13"/>
        <v>0</v>
      </c>
      <c r="AL30" s="183">
        <f t="shared" si="14"/>
        <v>0</v>
      </c>
      <c r="AN30" s="183">
        <v>21</v>
      </c>
      <c r="AO30" s="183">
        <f t="shared" si="15"/>
        <v>0</v>
      </c>
      <c r="AP30" s="183">
        <f t="shared" si="16"/>
        <v>0</v>
      </c>
      <c r="AQ30" s="185" t="s">
        <v>8</v>
      </c>
      <c r="AV30" s="183">
        <f t="shared" si="17"/>
        <v>0</v>
      </c>
      <c r="AW30" s="183">
        <f t="shared" si="18"/>
        <v>0</v>
      </c>
      <c r="AX30" s="183">
        <f t="shared" si="19"/>
        <v>0</v>
      </c>
      <c r="AY30" s="185" t="s">
        <v>424</v>
      </c>
      <c r="AZ30" s="185" t="s">
        <v>436</v>
      </c>
      <c r="BA30" s="165" t="s">
        <v>438</v>
      </c>
      <c r="BC30" s="183">
        <f t="shared" si="20"/>
        <v>0</v>
      </c>
      <c r="BD30" s="183">
        <f t="shared" si="21"/>
        <v>0</v>
      </c>
      <c r="BE30" s="183">
        <v>0</v>
      </c>
      <c r="BF30" s="183">
        <f t="shared" si="22"/>
        <v>0</v>
      </c>
      <c r="BH30" s="183">
        <f t="shared" si="23"/>
        <v>0</v>
      </c>
      <c r="BI30" s="183">
        <f t="shared" si="24"/>
        <v>0</v>
      </c>
      <c r="BJ30" s="183">
        <f t="shared" si="25"/>
        <v>0</v>
      </c>
      <c r="BK30" s="183"/>
      <c r="BL30" s="183"/>
    </row>
    <row r="31" spans="1:64" ht="15" customHeight="1">
      <c r="A31" s="181" t="s">
        <v>19</v>
      </c>
      <c r="B31" s="182"/>
      <c r="C31" s="182" t="s">
        <v>544</v>
      </c>
      <c r="D31" s="154" t="s">
        <v>545</v>
      </c>
      <c r="E31" s="154"/>
      <c r="F31" s="182" t="s">
        <v>369</v>
      </c>
      <c r="G31" s="183">
        <v>1</v>
      </c>
      <c r="H31" s="183"/>
      <c r="I31" s="183">
        <f t="shared" si="0"/>
        <v>0</v>
      </c>
      <c r="J31" s="183">
        <f t="shared" si="1"/>
        <v>0</v>
      </c>
      <c r="K31" s="183">
        <f t="shared" si="2"/>
        <v>0</v>
      </c>
      <c r="L31" s="183">
        <v>0</v>
      </c>
      <c r="M31" s="183">
        <f t="shared" si="3"/>
        <v>0</v>
      </c>
      <c r="N31" s="184" t="s">
        <v>516</v>
      </c>
      <c r="Z31" s="183">
        <f t="shared" si="4"/>
        <v>0</v>
      </c>
      <c r="AB31" s="183">
        <f t="shared" si="5"/>
        <v>0</v>
      </c>
      <c r="AC31" s="183">
        <f t="shared" si="6"/>
        <v>0</v>
      </c>
      <c r="AD31" s="183">
        <f t="shared" si="7"/>
        <v>0</v>
      </c>
      <c r="AE31" s="183">
        <f t="shared" si="8"/>
        <v>0</v>
      </c>
      <c r="AF31" s="183">
        <f t="shared" si="9"/>
        <v>0</v>
      </c>
      <c r="AG31" s="183">
        <f t="shared" si="10"/>
        <v>0</v>
      </c>
      <c r="AH31" s="183">
        <f t="shared" si="11"/>
        <v>0</v>
      </c>
      <c r="AI31" s="165"/>
      <c r="AJ31" s="183">
        <f t="shared" si="12"/>
        <v>0</v>
      </c>
      <c r="AK31" s="183">
        <f t="shared" si="13"/>
        <v>0</v>
      </c>
      <c r="AL31" s="183">
        <f t="shared" si="14"/>
        <v>0</v>
      </c>
      <c r="AN31" s="183">
        <v>21</v>
      </c>
      <c r="AO31" s="183">
        <f t="shared" si="15"/>
        <v>0</v>
      </c>
      <c r="AP31" s="183">
        <f t="shared" si="16"/>
        <v>0</v>
      </c>
      <c r="AQ31" s="185" t="s">
        <v>8</v>
      </c>
      <c r="AV31" s="183">
        <f t="shared" si="17"/>
        <v>0</v>
      </c>
      <c r="AW31" s="183">
        <f t="shared" si="18"/>
        <v>0</v>
      </c>
      <c r="AX31" s="183">
        <f t="shared" si="19"/>
        <v>0</v>
      </c>
      <c r="AY31" s="185" t="s">
        <v>424</v>
      </c>
      <c r="AZ31" s="185" t="s">
        <v>436</v>
      </c>
      <c r="BA31" s="165" t="s">
        <v>438</v>
      </c>
      <c r="BC31" s="183">
        <f t="shared" si="20"/>
        <v>0</v>
      </c>
      <c r="BD31" s="183">
        <f t="shared" si="21"/>
        <v>0</v>
      </c>
      <c r="BE31" s="183">
        <v>0</v>
      </c>
      <c r="BF31" s="183">
        <f t="shared" si="22"/>
        <v>0</v>
      </c>
      <c r="BH31" s="183">
        <f t="shared" si="23"/>
        <v>0</v>
      </c>
      <c r="BI31" s="183">
        <f t="shared" si="24"/>
        <v>0</v>
      </c>
      <c r="BJ31" s="183">
        <f t="shared" si="25"/>
        <v>0</v>
      </c>
      <c r="BK31" s="183"/>
      <c r="BL31" s="183"/>
    </row>
    <row r="32" spans="1:64" ht="15" customHeight="1">
      <c r="A32" s="181" t="s">
        <v>20</v>
      </c>
      <c r="B32" s="182"/>
      <c r="C32" s="182" t="s">
        <v>546</v>
      </c>
      <c r="D32" s="154" t="s">
        <v>547</v>
      </c>
      <c r="E32" s="154"/>
      <c r="F32" s="182" t="s">
        <v>367</v>
      </c>
      <c r="G32" s="183">
        <v>35</v>
      </c>
      <c r="H32" s="183"/>
      <c r="I32" s="183">
        <f t="shared" si="0"/>
        <v>0</v>
      </c>
      <c r="J32" s="183">
        <f t="shared" si="1"/>
        <v>0</v>
      </c>
      <c r="K32" s="183">
        <f t="shared" si="2"/>
        <v>0</v>
      </c>
      <c r="L32" s="183">
        <v>0</v>
      </c>
      <c r="M32" s="183">
        <f t="shared" si="3"/>
        <v>0</v>
      </c>
      <c r="N32" s="184" t="s">
        <v>516</v>
      </c>
      <c r="Z32" s="183">
        <f t="shared" si="4"/>
        <v>0</v>
      </c>
      <c r="AB32" s="183">
        <f t="shared" si="5"/>
        <v>0</v>
      </c>
      <c r="AC32" s="183">
        <f t="shared" si="6"/>
        <v>0</v>
      </c>
      <c r="AD32" s="183">
        <f t="shared" si="7"/>
        <v>0</v>
      </c>
      <c r="AE32" s="183">
        <f t="shared" si="8"/>
        <v>0</v>
      </c>
      <c r="AF32" s="183">
        <f t="shared" si="9"/>
        <v>0</v>
      </c>
      <c r="AG32" s="183">
        <f t="shared" si="10"/>
        <v>0</v>
      </c>
      <c r="AH32" s="183">
        <f t="shared" si="11"/>
        <v>0</v>
      </c>
      <c r="AI32" s="165"/>
      <c r="AJ32" s="183">
        <f t="shared" si="12"/>
        <v>0</v>
      </c>
      <c r="AK32" s="183">
        <f t="shared" si="13"/>
        <v>0</v>
      </c>
      <c r="AL32" s="183">
        <f t="shared" si="14"/>
        <v>0</v>
      </c>
      <c r="AN32" s="183">
        <v>21</v>
      </c>
      <c r="AO32" s="183">
        <f t="shared" si="15"/>
        <v>0</v>
      </c>
      <c r="AP32" s="183">
        <f t="shared" si="16"/>
        <v>0</v>
      </c>
      <c r="AQ32" s="185" t="s">
        <v>8</v>
      </c>
      <c r="AV32" s="183">
        <f t="shared" si="17"/>
        <v>0</v>
      </c>
      <c r="AW32" s="183">
        <f t="shared" si="18"/>
        <v>0</v>
      </c>
      <c r="AX32" s="183">
        <f t="shared" si="19"/>
        <v>0</v>
      </c>
      <c r="AY32" s="185" t="s">
        <v>424</v>
      </c>
      <c r="AZ32" s="185" t="s">
        <v>436</v>
      </c>
      <c r="BA32" s="165" t="s">
        <v>438</v>
      </c>
      <c r="BC32" s="183">
        <f t="shared" si="20"/>
        <v>0</v>
      </c>
      <c r="BD32" s="183">
        <f t="shared" si="21"/>
        <v>0</v>
      </c>
      <c r="BE32" s="183">
        <v>0</v>
      </c>
      <c r="BF32" s="183">
        <f t="shared" si="22"/>
        <v>0</v>
      </c>
      <c r="BH32" s="183">
        <f t="shared" si="23"/>
        <v>0</v>
      </c>
      <c r="BI32" s="183">
        <f t="shared" si="24"/>
        <v>0</v>
      </c>
      <c r="BJ32" s="183">
        <f t="shared" si="25"/>
        <v>0</v>
      </c>
      <c r="BK32" s="183"/>
      <c r="BL32" s="183"/>
    </row>
    <row r="33" spans="1:64" ht="15" customHeight="1">
      <c r="A33" s="181" t="s">
        <v>21</v>
      </c>
      <c r="B33" s="182"/>
      <c r="C33" s="182" t="s">
        <v>548</v>
      </c>
      <c r="D33" s="154" t="s">
        <v>549</v>
      </c>
      <c r="E33" s="154"/>
      <c r="F33" s="182" t="s">
        <v>367</v>
      </c>
      <c r="G33" s="183">
        <v>5</v>
      </c>
      <c r="H33" s="183"/>
      <c r="I33" s="183">
        <f t="shared" si="0"/>
        <v>0</v>
      </c>
      <c r="J33" s="183">
        <f t="shared" si="1"/>
        <v>0</v>
      </c>
      <c r="K33" s="183">
        <f t="shared" si="2"/>
        <v>0</v>
      </c>
      <c r="L33" s="183">
        <v>0</v>
      </c>
      <c r="M33" s="183">
        <f t="shared" si="3"/>
        <v>0</v>
      </c>
      <c r="N33" s="184" t="s">
        <v>516</v>
      </c>
      <c r="Z33" s="183">
        <f t="shared" si="4"/>
        <v>0</v>
      </c>
      <c r="AB33" s="183">
        <f t="shared" si="5"/>
        <v>0</v>
      </c>
      <c r="AC33" s="183">
        <f t="shared" si="6"/>
        <v>0</v>
      </c>
      <c r="AD33" s="183">
        <f t="shared" si="7"/>
        <v>0</v>
      </c>
      <c r="AE33" s="183">
        <f t="shared" si="8"/>
        <v>0</v>
      </c>
      <c r="AF33" s="183">
        <f t="shared" si="9"/>
        <v>0</v>
      </c>
      <c r="AG33" s="183">
        <f t="shared" si="10"/>
        <v>0</v>
      </c>
      <c r="AH33" s="183">
        <f t="shared" si="11"/>
        <v>0</v>
      </c>
      <c r="AI33" s="165"/>
      <c r="AJ33" s="183">
        <f t="shared" si="12"/>
        <v>0</v>
      </c>
      <c r="AK33" s="183">
        <f t="shared" si="13"/>
        <v>0</v>
      </c>
      <c r="AL33" s="183">
        <f t="shared" si="14"/>
        <v>0</v>
      </c>
      <c r="AN33" s="183">
        <v>21</v>
      </c>
      <c r="AO33" s="183">
        <f t="shared" si="15"/>
        <v>0</v>
      </c>
      <c r="AP33" s="183">
        <f t="shared" si="16"/>
        <v>0</v>
      </c>
      <c r="AQ33" s="185" t="s">
        <v>8</v>
      </c>
      <c r="AV33" s="183">
        <f t="shared" si="17"/>
        <v>0</v>
      </c>
      <c r="AW33" s="183">
        <f t="shared" si="18"/>
        <v>0</v>
      </c>
      <c r="AX33" s="183">
        <f t="shared" si="19"/>
        <v>0</v>
      </c>
      <c r="AY33" s="185" t="s">
        <v>424</v>
      </c>
      <c r="AZ33" s="185" t="s">
        <v>436</v>
      </c>
      <c r="BA33" s="165" t="s">
        <v>438</v>
      </c>
      <c r="BC33" s="183">
        <f t="shared" si="20"/>
        <v>0</v>
      </c>
      <c r="BD33" s="183">
        <f t="shared" si="21"/>
        <v>0</v>
      </c>
      <c r="BE33" s="183">
        <v>0</v>
      </c>
      <c r="BF33" s="183">
        <f t="shared" si="22"/>
        <v>0</v>
      </c>
      <c r="BH33" s="183">
        <f t="shared" si="23"/>
        <v>0</v>
      </c>
      <c r="BI33" s="183">
        <f t="shared" si="24"/>
        <v>0</v>
      </c>
      <c r="BJ33" s="183">
        <f t="shared" si="25"/>
        <v>0</v>
      </c>
      <c r="BK33" s="183"/>
      <c r="BL33" s="183"/>
    </row>
    <row r="34" spans="1:64" ht="15" customHeight="1">
      <c r="A34" s="181" t="s">
        <v>22</v>
      </c>
      <c r="B34" s="182"/>
      <c r="C34" s="182" t="s">
        <v>550</v>
      </c>
      <c r="D34" s="154" t="s">
        <v>551</v>
      </c>
      <c r="E34" s="154"/>
      <c r="F34" s="182" t="s">
        <v>367</v>
      </c>
      <c r="G34" s="183">
        <v>60</v>
      </c>
      <c r="H34" s="183"/>
      <c r="I34" s="183">
        <f t="shared" si="0"/>
        <v>0</v>
      </c>
      <c r="J34" s="183">
        <f t="shared" si="1"/>
        <v>0</v>
      </c>
      <c r="K34" s="183">
        <f t="shared" si="2"/>
        <v>0</v>
      </c>
      <c r="L34" s="183">
        <v>0</v>
      </c>
      <c r="M34" s="183">
        <f t="shared" si="3"/>
        <v>0</v>
      </c>
      <c r="N34" s="184" t="s">
        <v>516</v>
      </c>
      <c r="Z34" s="183">
        <f t="shared" si="4"/>
        <v>0</v>
      </c>
      <c r="AB34" s="183">
        <f t="shared" si="5"/>
        <v>0</v>
      </c>
      <c r="AC34" s="183">
        <f t="shared" si="6"/>
        <v>0</v>
      </c>
      <c r="AD34" s="183">
        <f t="shared" si="7"/>
        <v>0</v>
      </c>
      <c r="AE34" s="183">
        <f t="shared" si="8"/>
        <v>0</v>
      </c>
      <c r="AF34" s="183">
        <f t="shared" si="9"/>
        <v>0</v>
      </c>
      <c r="AG34" s="183">
        <f t="shared" si="10"/>
        <v>0</v>
      </c>
      <c r="AH34" s="183">
        <f t="shared" si="11"/>
        <v>0</v>
      </c>
      <c r="AI34" s="165"/>
      <c r="AJ34" s="183">
        <f t="shared" si="12"/>
        <v>0</v>
      </c>
      <c r="AK34" s="183">
        <f t="shared" si="13"/>
        <v>0</v>
      </c>
      <c r="AL34" s="183">
        <f t="shared" si="14"/>
        <v>0</v>
      </c>
      <c r="AN34" s="183">
        <v>21</v>
      </c>
      <c r="AO34" s="183">
        <f t="shared" si="15"/>
        <v>0</v>
      </c>
      <c r="AP34" s="183">
        <f t="shared" si="16"/>
        <v>0</v>
      </c>
      <c r="AQ34" s="185" t="s">
        <v>8</v>
      </c>
      <c r="AV34" s="183">
        <f t="shared" si="17"/>
        <v>0</v>
      </c>
      <c r="AW34" s="183">
        <f t="shared" si="18"/>
        <v>0</v>
      </c>
      <c r="AX34" s="183">
        <f t="shared" si="19"/>
        <v>0</v>
      </c>
      <c r="AY34" s="185" t="s">
        <v>424</v>
      </c>
      <c r="AZ34" s="185" t="s">
        <v>436</v>
      </c>
      <c r="BA34" s="165" t="s">
        <v>438</v>
      </c>
      <c r="BC34" s="183">
        <f t="shared" si="20"/>
        <v>0</v>
      </c>
      <c r="BD34" s="183">
        <f t="shared" si="21"/>
        <v>0</v>
      </c>
      <c r="BE34" s="183">
        <v>0</v>
      </c>
      <c r="BF34" s="183">
        <f t="shared" si="22"/>
        <v>0</v>
      </c>
      <c r="BH34" s="183">
        <f t="shared" si="23"/>
        <v>0</v>
      </c>
      <c r="BI34" s="183">
        <f t="shared" si="24"/>
        <v>0</v>
      </c>
      <c r="BJ34" s="183">
        <f t="shared" si="25"/>
        <v>0</v>
      </c>
      <c r="BK34" s="183"/>
      <c r="BL34" s="183"/>
    </row>
    <row r="35" spans="1:64" ht="15" customHeight="1">
      <c r="A35" s="181" t="s">
        <v>23</v>
      </c>
      <c r="B35" s="182"/>
      <c r="C35" s="182" t="s">
        <v>552</v>
      </c>
      <c r="D35" s="154" t="s">
        <v>553</v>
      </c>
      <c r="E35" s="154"/>
      <c r="F35" s="182" t="s">
        <v>367</v>
      </c>
      <c r="G35" s="183">
        <v>85</v>
      </c>
      <c r="H35" s="183"/>
      <c r="I35" s="183">
        <f t="shared" si="0"/>
        <v>0</v>
      </c>
      <c r="J35" s="183">
        <f t="shared" si="1"/>
        <v>0</v>
      </c>
      <c r="K35" s="183">
        <f t="shared" si="2"/>
        <v>0</v>
      </c>
      <c r="L35" s="183">
        <v>0</v>
      </c>
      <c r="M35" s="183">
        <f t="shared" si="3"/>
        <v>0</v>
      </c>
      <c r="N35" s="184" t="s">
        <v>516</v>
      </c>
      <c r="Z35" s="183">
        <f t="shared" si="4"/>
        <v>0</v>
      </c>
      <c r="AB35" s="183">
        <f t="shared" si="5"/>
        <v>0</v>
      </c>
      <c r="AC35" s="183">
        <f t="shared" si="6"/>
        <v>0</v>
      </c>
      <c r="AD35" s="183">
        <f t="shared" si="7"/>
        <v>0</v>
      </c>
      <c r="AE35" s="183">
        <f t="shared" si="8"/>
        <v>0</v>
      </c>
      <c r="AF35" s="183">
        <f t="shared" si="9"/>
        <v>0</v>
      </c>
      <c r="AG35" s="183">
        <f t="shared" si="10"/>
        <v>0</v>
      </c>
      <c r="AH35" s="183">
        <f t="shared" si="11"/>
        <v>0</v>
      </c>
      <c r="AI35" s="165"/>
      <c r="AJ35" s="183">
        <f t="shared" si="12"/>
        <v>0</v>
      </c>
      <c r="AK35" s="183">
        <f t="shared" si="13"/>
        <v>0</v>
      </c>
      <c r="AL35" s="183">
        <f t="shared" si="14"/>
        <v>0</v>
      </c>
      <c r="AN35" s="183">
        <v>21</v>
      </c>
      <c r="AO35" s="183">
        <f t="shared" si="15"/>
        <v>0</v>
      </c>
      <c r="AP35" s="183">
        <f t="shared" si="16"/>
        <v>0</v>
      </c>
      <c r="AQ35" s="185" t="s">
        <v>8</v>
      </c>
      <c r="AV35" s="183">
        <f t="shared" si="17"/>
        <v>0</v>
      </c>
      <c r="AW35" s="183">
        <f t="shared" si="18"/>
        <v>0</v>
      </c>
      <c r="AX35" s="183">
        <f t="shared" si="19"/>
        <v>0</v>
      </c>
      <c r="AY35" s="185" t="s">
        <v>424</v>
      </c>
      <c r="AZ35" s="185" t="s">
        <v>436</v>
      </c>
      <c r="BA35" s="165" t="s">
        <v>438</v>
      </c>
      <c r="BC35" s="183">
        <f t="shared" si="20"/>
        <v>0</v>
      </c>
      <c r="BD35" s="183">
        <f t="shared" si="21"/>
        <v>0</v>
      </c>
      <c r="BE35" s="183">
        <v>0</v>
      </c>
      <c r="BF35" s="183">
        <f t="shared" si="22"/>
        <v>0</v>
      </c>
      <c r="BH35" s="183">
        <f t="shared" si="23"/>
        <v>0</v>
      </c>
      <c r="BI35" s="183">
        <f t="shared" si="24"/>
        <v>0</v>
      </c>
      <c r="BJ35" s="183">
        <f t="shared" si="25"/>
        <v>0</v>
      </c>
      <c r="BK35" s="183"/>
      <c r="BL35" s="183"/>
    </row>
    <row r="36" spans="1:64" ht="15" customHeight="1">
      <c r="A36" s="181" t="s">
        <v>24</v>
      </c>
      <c r="B36" s="182"/>
      <c r="C36" s="182" t="s">
        <v>554</v>
      </c>
      <c r="D36" s="154" t="s">
        <v>555</v>
      </c>
      <c r="E36" s="154"/>
      <c r="F36" s="182" t="s">
        <v>367</v>
      </c>
      <c r="G36" s="183">
        <v>15</v>
      </c>
      <c r="H36" s="183"/>
      <c r="I36" s="183">
        <f t="shared" si="0"/>
        <v>0</v>
      </c>
      <c r="J36" s="183">
        <f t="shared" si="1"/>
        <v>0</v>
      </c>
      <c r="K36" s="183">
        <f t="shared" si="2"/>
        <v>0</v>
      </c>
      <c r="L36" s="183">
        <v>0</v>
      </c>
      <c r="M36" s="183">
        <f t="shared" si="3"/>
        <v>0</v>
      </c>
      <c r="N36" s="184" t="s">
        <v>516</v>
      </c>
      <c r="Z36" s="183">
        <f t="shared" si="4"/>
        <v>0</v>
      </c>
      <c r="AB36" s="183">
        <f t="shared" si="5"/>
        <v>0</v>
      </c>
      <c r="AC36" s="183">
        <f t="shared" si="6"/>
        <v>0</v>
      </c>
      <c r="AD36" s="183">
        <f t="shared" si="7"/>
        <v>0</v>
      </c>
      <c r="AE36" s="183">
        <f t="shared" si="8"/>
        <v>0</v>
      </c>
      <c r="AF36" s="183">
        <f t="shared" si="9"/>
        <v>0</v>
      </c>
      <c r="AG36" s="183">
        <f t="shared" si="10"/>
        <v>0</v>
      </c>
      <c r="AH36" s="183">
        <f t="shared" si="11"/>
        <v>0</v>
      </c>
      <c r="AI36" s="165"/>
      <c r="AJ36" s="183">
        <f t="shared" si="12"/>
        <v>0</v>
      </c>
      <c r="AK36" s="183">
        <f t="shared" si="13"/>
        <v>0</v>
      </c>
      <c r="AL36" s="183">
        <f t="shared" si="14"/>
        <v>0</v>
      </c>
      <c r="AN36" s="183">
        <v>21</v>
      </c>
      <c r="AO36" s="183">
        <f t="shared" si="15"/>
        <v>0</v>
      </c>
      <c r="AP36" s="183">
        <f t="shared" si="16"/>
        <v>0</v>
      </c>
      <c r="AQ36" s="185" t="s">
        <v>8</v>
      </c>
      <c r="AV36" s="183">
        <f t="shared" si="17"/>
        <v>0</v>
      </c>
      <c r="AW36" s="183">
        <f t="shared" si="18"/>
        <v>0</v>
      </c>
      <c r="AX36" s="183">
        <f t="shared" si="19"/>
        <v>0</v>
      </c>
      <c r="AY36" s="185" t="s">
        <v>424</v>
      </c>
      <c r="AZ36" s="185" t="s">
        <v>436</v>
      </c>
      <c r="BA36" s="165" t="s">
        <v>438</v>
      </c>
      <c r="BC36" s="183">
        <f t="shared" si="20"/>
        <v>0</v>
      </c>
      <c r="BD36" s="183">
        <f t="shared" si="21"/>
        <v>0</v>
      </c>
      <c r="BE36" s="183">
        <v>0</v>
      </c>
      <c r="BF36" s="183">
        <f t="shared" si="22"/>
        <v>0</v>
      </c>
      <c r="BH36" s="183">
        <f t="shared" si="23"/>
        <v>0</v>
      </c>
      <c r="BI36" s="183">
        <f t="shared" si="24"/>
        <v>0</v>
      </c>
      <c r="BJ36" s="183">
        <f t="shared" si="25"/>
        <v>0</v>
      </c>
      <c r="BK36" s="183"/>
      <c r="BL36" s="183"/>
    </row>
    <row r="37" spans="1:47" ht="15" customHeight="1">
      <c r="A37" s="175"/>
      <c r="B37" s="176"/>
      <c r="C37" s="176"/>
      <c r="D37" s="177" t="s">
        <v>357</v>
      </c>
      <c r="E37" s="177"/>
      <c r="F37" s="178" t="s">
        <v>6</v>
      </c>
      <c r="G37" s="178" t="s">
        <v>6</v>
      </c>
      <c r="H37" s="178" t="s">
        <v>6</v>
      </c>
      <c r="I37" s="179">
        <f>SUM(I38:I63)</f>
        <v>0</v>
      </c>
      <c r="J37" s="179">
        <f>SUM(J38:J63)</f>
        <v>0</v>
      </c>
      <c r="K37" s="179">
        <f>SUM(K38:K63)</f>
        <v>0</v>
      </c>
      <c r="L37" s="165"/>
      <c r="M37" s="179">
        <f>SUM(M38:M63)</f>
        <v>1100.85449</v>
      </c>
      <c r="N37" s="180"/>
      <c r="AI37" s="165"/>
      <c r="AS37" s="179">
        <f>SUM(AJ38:AJ63)</f>
        <v>0</v>
      </c>
      <c r="AT37" s="179">
        <f>SUM(AK38:AK63)</f>
        <v>0</v>
      </c>
      <c r="AU37" s="179">
        <f>SUM(AL38:AL63)</f>
        <v>0</v>
      </c>
    </row>
    <row r="38" spans="1:64" ht="15" customHeight="1">
      <c r="A38" s="181" t="s">
        <v>25</v>
      </c>
      <c r="B38" s="182"/>
      <c r="C38" s="182" t="s">
        <v>556</v>
      </c>
      <c r="D38" s="154" t="s">
        <v>557</v>
      </c>
      <c r="E38" s="154"/>
      <c r="F38" s="182" t="s">
        <v>558</v>
      </c>
      <c r="G38" s="183">
        <v>1</v>
      </c>
      <c r="H38" s="183"/>
      <c r="I38" s="183">
        <f>G38*AO38</f>
        <v>0</v>
      </c>
      <c r="J38" s="183">
        <f>G38*AP38</f>
        <v>0</v>
      </c>
      <c r="K38" s="183">
        <f>G38*H38</f>
        <v>0</v>
      </c>
      <c r="L38" s="183">
        <v>0</v>
      </c>
      <c r="M38" s="183">
        <f>G38*L38</f>
        <v>0</v>
      </c>
      <c r="N38" s="184"/>
      <c r="Z38" s="183">
        <f>IF(AQ38="5",BJ38,0)</f>
        <v>0</v>
      </c>
      <c r="AB38" s="183">
        <f>IF(AQ38="1",BH38,0)</f>
        <v>0</v>
      </c>
      <c r="AC38" s="183">
        <f>IF(AQ38="1",BI38,0)</f>
        <v>0</v>
      </c>
      <c r="AD38" s="183">
        <f>IF(AQ38="7",BH38,0)</f>
        <v>0</v>
      </c>
      <c r="AE38" s="183">
        <f>IF(AQ38="7",BI38,0)</f>
        <v>0</v>
      </c>
      <c r="AF38" s="183">
        <f>IF(AQ38="2",BH38,0)</f>
        <v>0</v>
      </c>
      <c r="AG38" s="183">
        <f>IF(AQ38="2",BI38,0)</f>
        <v>0</v>
      </c>
      <c r="AH38" s="183">
        <f>IF(AQ38="0",BJ38,0)</f>
        <v>0</v>
      </c>
      <c r="AI38" s="165"/>
      <c r="AJ38" s="183">
        <f>IF(AN38=0,K38,0)</f>
        <v>0</v>
      </c>
      <c r="AK38" s="183">
        <f>IF(AN38=15,K38,0)</f>
        <v>0</v>
      </c>
      <c r="AL38" s="183">
        <f>IF(AN38=21,K38,0)</f>
        <v>0</v>
      </c>
      <c r="AN38" s="183">
        <v>21</v>
      </c>
      <c r="AO38" s="183">
        <f>H38*1</f>
        <v>0</v>
      </c>
      <c r="AP38" s="183">
        <f>H38*(1-1)</f>
        <v>0</v>
      </c>
      <c r="AQ38" s="185" t="s">
        <v>397</v>
      </c>
      <c r="AV38" s="183">
        <f>AW38+AX38</f>
        <v>0</v>
      </c>
      <c r="AW38" s="183">
        <f>G38*AO38</f>
        <v>0</v>
      </c>
      <c r="AX38" s="183">
        <f>G38*AP38</f>
        <v>0</v>
      </c>
      <c r="AY38" s="185" t="s">
        <v>427</v>
      </c>
      <c r="AZ38" s="185" t="s">
        <v>437</v>
      </c>
      <c r="BA38" s="165" t="s">
        <v>438</v>
      </c>
      <c r="BC38" s="183">
        <f>AW38+AX38</f>
        <v>0</v>
      </c>
      <c r="BD38" s="183">
        <f>H38/(100-BE38)*100</f>
        <v>0</v>
      </c>
      <c r="BE38" s="183">
        <v>0</v>
      </c>
      <c r="BF38" s="183">
        <f>M38</f>
        <v>0</v>
      </c>
      <c r="BH38" s="183">
        <f>G38*AO38</f>
        <v>0</v>
      </c>
      <c r="BI38" s="183">
        <f>G38*AP38</f>
        <v>0</v>
      </c>
      <c r="BJ38" s="183">
        <f>G38*H38</f>
        <v>0</v>
      </c>
      <c r="BK38" s="183"/>
      <c r="BL38" s="183"/>
    </row>
    <row r="39" spans="1:64" ht="15" customHeight="1">
      <c r="A39" s="181" t="s">
        <v>26</v>
      </c>
      <c r="B39" s="182"/>
      <c r="C39" s="182" t="s">
        <v>559</v>
      </c>
      <c r="D39" s="154" t="s">
        <v>560</v>
      </c>
      <c r="E39" s="154"/>
      <c r="F39" s="182" t="s">
        <v>558</v>
      </c>
      <c r="G39" s="183">
        <v>1</v>
      </c>
      <c r="H39" s="183"/>
      <c r="I39" s="183">
        <f>G39*AO39</f>
        <v>0</v>
      </c>
      <c r="J39" s="183">
        <f>G39*AP39</f>
        <v>0</v>
      </c>
      <c r="K39" s="183">
        <f>G39*H39</f>
        <v>0</v>
      </c>
      <c r="L39" s="183">
        <v>0.24</v>
      </c>
      <c r="M39" s="183">
        <f>G39*L39</f>
        <v>0.24</v>
      </c>
      <c r="N39" s="184"/>
      <c r="Z39" s="183">
        <f>IF(AQ39="5",BJ39,0)</f>
        <v>0</v>
      </c>
      <c r="AB39" s="183">
        <f>IF(AQ39="1",BH39,0)</f>
        <v>0</v>
      </c>
      <c r="AC39" s="183">
        <f>IF(AQ39="1",BI39,0)</f>
        <v>0</v>
      </c>
      <c r="AD39" s="183">
        <f>IF(AQ39="7",BH39,0)</f>
        <v>0</v>
      </c>
      <c r="AE39" s="183">
        <f>IF(AQ39="7",BI39,0)</f>
        <v>0</v>
      </c>
      <c r="AF39" s="183">
        <f>IF(AQ39="2",BH39,0)</f>
        <v>0</v>
      </c>
      <c r="AG39" s="183">
        <f>IF(AQ39="2",BI39,0)</f>
        <v>0</v>
      </c>
      <c r="AH39" s="183">
        <f>IF(AQ39="0",BJ39,0)</f>
        <v>0</v>
      </c>
      <c r="AI39" s="165"/>
      <c r="AJ39" s="183">
        <f>IF(AN39=0,K39,0)</f>
        <v>0</v>
      </c>
      <c r="AK39" s="183">
        <f>IF(AN39=15,K39,0)</f>
        <v>0</v>
      </c>
      <c r="AL39" s="183">
        <f>IF(AN39=21,K39,0)</f>
        <v>0</v>
      </c>
      <c r="AN39" s="183">
        <v>21</v>
      </c>
      <c r="AO39" s="183">
        <f>H39*1</f>
        <v>0</v>
      </c>
      <c r="AP39" s="183">
        <f>H39*(1-1)</f>
        <v>0</v>
      </c>
      <c r="AQ39" s="185" t="s">
        <v>397</v>
      </c>
      <c r="AV39" s="183">
        <f>AW39+AX39</f>
        <v>0</v>
      </c>
      <c r="AW39" s="183">
        <f>G39*AO39</f>
        <v>0</v>
      </c>
      <c r="AX39" s="183">
        <f>G39*AP39</f>
        <v>0</v>
      </c>
      <c r="AY39" s="185" t="s">
        <v>427</v>
      </c>
      <c r="AZ39" s="185" t="s">
        <v>437</v>
      </c>
      <c r="BA39" s="165" t="s">
        <v>438</v>
      </c>
      <c r="BC39" s="183">
        <f>AW39+AX39</f>
        <v>0</v>
      </c>
      <c r="BD39" s="183">
        <f>H39/(100-BE39)*100</f>
        <v>0</v>
      </c>
      <c r="BE39" s="183">
        <v>0</v>
      </c>
      <c r="BF39" s="183">
        <f>M39</f>
        <v>0.24</v>
      </c>
      <c r="BH39" s="183">
        <f>G39*AO39</f>
        <v>0</v>
      </c>
      <c r="BI39" s="183">
        <f>G39*AP39</f>
        <v>0</v>
      </c>
      <c r="BJ39" s="183">
        <f>G39*H39</f>
        <v>0</v>
      </c>
      <c r="BK39" s="183"/>
      <c r="BL39" s="183"/>
    </row>
    <row r="40" spans="1:64" ht="15" customHeight="1">
      <c r="A40" s="181" t="s">
        <v>27</v>
      </c>
      <c r="B40" s="182"/>
      <c r="C40" s="182" t="s">
        <v>561</v>
      </c>
      <c r="D40" s="154" t="s">
        <v>562</v>
      </c>
      <c r="E40" s="154"/>
      <c r="F40" s="182" t="s">
        <v>558</v>
      </c>
      <c r="G40" s="183">
        <v>1</v>
      </c>
      <c r="H40" s="183"/>
      <c r="I40" s="183">
        <f>G40*AO40</f>
        <v>0</v>
      </c>
      <c r="J40" s="183">
        <f>G40*AP40</f>
        <v>0</v>
      </c>
      <c r="K40" s="183">
        <f>G40*H40</f>
        <v>0</v>
      </c>
      <c r="L40" s="183">
        <v>0</v>
      </c>
      <c r="M40" s="183">
        <f>G40*L40</f>
        <v>0</v>
      </c>
      <c r="N40" s="184"/>
      <c r="Z40" s="183">
        <f>IF(AQ40="5",BJ40,0)</f>
        <v>0</v>
      </c>
      <c r="AB40" s="183">
        <f>IF(AQ40="1",BH40,0)</f>
        <v>0</v>
      </c>
      <c r="AC40" s="183">
        <f>IF(AQ40="1",BI40,0)</f>
        <v>0</v>
      </c>
      <c r="AD40" s="183">
        <f>IF(AQ40="7",BH40,0)</f>
        <v>0</v>
      </c>
      <c r="AE40" s="183">
        <f>IF(AQ40="7",BI40,0)</f>
        <v>0</v>
      </c>
      <c r="AF40" s="183">
        <f>IF(AQ40="2",BH40,0)</f>
        <v>0</v>
      </c>
      <c r="AG40" s="183">
        <f>IF(AQ40="2",BI40,0)</f>
        <v>0</v>
      </c>
      <c r="AH40" s="183">
        <f>IF(AQ40="0",BJ40,0)</f>
        <v>0</v>
      </c>
      <c r="AI40" s="165"/>
      <c r="AJ40" s="183">
        <f>IF(AN40=0,K40,0)</f>
        <v>0</v>
      </c>
      <c r="AK40" s="183">
        <f>IF(AN40=15,K40,0)</f>
        <v>0</v>
      </c>
      <c r="AL40" s="183">
        <f>IF(AN40=21,K40,0)</f>
        <v>0</v>
      </c>
      <c r="AN40" s="183">
        <v>21</v>
      </c>
      <c r="AO40" s="183">
        <f>H40*1</f>
        <v>0</v>
      </c>
      <c r="AP40" s="183">
        <f>H40*(1-1)</f>
        <v>0</v>
      </c>
      <c r="AQ40" s="185" t="s">
        <v>397</v>
      </c>
      <c r="AV40" s="183">
        <f>AW40+AX40</f>
        <v>0</v>
      </c>
      <c r="AW40" s="183">
        <f>G40*AO40</f>
        <v>0</v>
      </c>
      <c r="AX40" s="183">
        <f>G40*AP40</f>
        <v>0</v>
      </c>
      <c r="AY40" s="185" t="s">
        <v>427</v>
      </c>
      <c r="AZ40" s="185" t="s">
        <v>437</v>
      </c>
      <c r="BA40" s="165" t="s">
        <v>438</v>
      </c>
      <c r="BC40" s="183">
        <f>AW40+AX40</f>
        <v>0</v>
      </c>
      <c r="BD40" s="183">
        <f>H40/(100-BE40)*100</f>
        <v>0</v>
      </c>
      <c r="BE40" s="183">
        <v>0</v>
      </c>
      <c r="BF40" s="183">
        <f>M40</f>
        <v>0</v>
      </c>
      <c r="BH40" s="183">
        <f>G40*AO40</f>
        <v>0</v>
      </c>
      <c r="BI40" s="183">
        <f>G40*AP40</f>
        <v>0</v>
      </c>
      <c r="BJ40" s="183">
        <f>G40*H40</f>
        <v>0</v>
      </c>
      <c r="BK40" s="183"/>
      <c r="BL40" s="183"/>
    </row>
    <row r="41" spans="1:14" ht="27" customHeight="1">
      <c r="A41" s="186"/>
      <c r="C41" s="187" t="s">
        <v>519</v>
      </c>
      <c r="D41" s="188" t="s">
        <v>563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</row>
    <row r="42" spans="1:64" ht="15" customHeight="1">
      <c r="A42" s="181" t="s">
        <v>28</v>
      </c>
      <c r="B42" s="182"/>
      <c r="C42" s="182" t="s">
        <v>564</v>
      </c>
      <c r="D42" s="154" t="s">
        <v>565</v>
      </c>
      <c r="E42" s="154"/>
      <c r="F42" s="182" t="s">
        <v>558</v>
      </c>
      <c r="G42" s="183">
        <v>1</v>
      </c>
      <c r="H42" s="183"/>
      <c r="I42" s="183">
        <f aca="true" t="shared" si="26" ref="I42:I48">G42*AO42</f>
        <v>0</v>
      </c>
      <c r="J42" s="183">
        <f aca="true" t="shared" si="27" ref="J42:J48">G42*AP42</f>
        <v>0</v>
      </c>
      <c r="K42" s="183">
        <f aca="true" t="shared" si="28" ref="K42:K48">G42*H42</f>
        <v>0</v>
      </c>
      <c r="L42" s="183">
        <v>317</v>
      </c>
      <c r="M42" s="183">
        <f aca="true" t="shared" si="29" ref="M42:M48">G42*L42</f>
        <v>317</v>
      </c>
      <c r="N42" s="184"/>
      <c r="Z42" s="183">
        <f aca="true" t="shared" si="30" ref="Z42:Z48">IF(AQ42="5",BJ42,0)</f>
        <v>0</v>
      </c>
      <c r="AB42" s="183">
        <f aca="true" t="shared" si="31" ref="AB42:AB48">IF(AQ42="1",BH42,0)</f>
        <v>0</v>
      </c>
      <c r="AC42" s="183">
        <f aca="true" t="shared" si="32" ref="AC42:AC48">IF(AQ42="1",BI42,0)</f>
        <v>0</v>
      </c>
      <c r="AD42" s="183">
        <f aca="true" t="shared" si="33" ref="AD42:AD48">IF(AQ42="7",BH42,0)</f>
        <v>0</v>
      </c>
      <c r="AE42" s="183">
        <f aca="true" t="shared" si="34" ref="AE42:AE48">IF(AQ42="7",BI42,0)</f>
        <v>0</v>
      </c>
      <c r="AF42" s="183">
        <f aca="true" t="shared" si="35" ref="AF42:AF48">IF(AQ42="2",BH42,0)</f>
        <v>0</v>
      </c>
      <c r="AG42" s="183">
        <f aca="true" t="shared" si="36" ref="AG42:AG48">IF(AQ42="2",BI42,0)</f>
        <v>0</v>
      </c>
      <c r="AH42" s="183">
        <f aca="true" t="shared" si="37" ref="AH42:AH48">IF(AQ42="0",BJ42,0)</f>
        <v>0</v>
      </c>
      <c r="AI42" s="165"/>
      <c r="AJ42" s="183">
        <f aca="true" t="shared" si="38" ref="AJ42:AJ48">IF(AN42=0,K42,0)</f>
        <v>0</v>
      </c>
      <c r="AK42" s="183">
        <f aca="true" t="shared" si="39" ref="AK42:AK48">IF(AN42=15,K42,0)</f>
        <v>0</v>
      </c>
      <c r="AL42" s="183">
        <f aca="true" t="shared" si="40" ref="AL42:AL48">IF(AN42=21,K42,0)</f>
        <v>0</v>
      </c>
      <c r="AN42" s="183">
        <v>21</v>
      </c>
      <c r="AO42" s="183">
        <f aca="true" t="shared" si="41" ref="AO42:AO48">H42*1</f>
        <v>0</v>
      </c>
      <c r="AP42" s="183">
        <f aca="true" t="shared" si="42" ref="AP42:AP48">H42*(1-1)</f>
        <v>0</v>
      </c>
      <c r="AQ42" s="185" t="s">
        <v>397</v>
      </c>
      <c r="AV42" s="183">
        <f aca="true" t="shared" si="43" ref="AV42:AV48">AW42+AX42</f>
        <v>0</v>
      </c>
      <c r="AW42" s="183">
        <f aca="true" t="shared" si="44" ref="AW42:AW48">G42*AO42</f>
        <v>0</v>
      </c>
      <c r="AX42" s="183">
        <f aca="true" t="shared" si="45" ref="AX42:AX48">G42*AP42</f>
        <v>0</v>
      </c>
      <c r="AY42" s="185" t="s">
        <v>427</v>
      </c>
      <c r="AZ42" s="185" t="s">
        <v>437</v>
      </c>
      <c r="BA42" s="165" t="s">
        <v>438</v>
      </c>
      <c r="BC42" s="183">
        <f aca="true" t="shared" si="46" ref="BC42:BC48">AW42+AX42</f>
        <v>0</v>
      </c>
      <c r="BD42" s="183">
        <f aca="true" t="shared" si="47" ref="BD42:BD48">H42/(100-BE42)*100</f>
        <v>0</v>
      </c>
      <c r="BE42" s="183">
        <v>0</v>
      </c>
      <c r="BF42" s="183">
        <f aca="true" t="shared" si="48" ref="BF42:BF48">M42</f>
        <v>317</v>
      </c>
      <c r="BH42" s="183">
        <f aca="true" t="shared" si="49" ref="BH42:BH48">G42*AO42</f>
        <v>0</v>
      </c>
      <c r="BI42" s="183">
        <f aca="true" t="shared" si="50" ref="BI42:BI48">G42*AP42</f>
        <v>0</v>
      </c>
      <c r="BJ42" s="183">
        <f aca="true" t="shared" si="51" ref="BJ42:BJ48">G42*H42</f>
        <v>0</v>
      </c>
      <c r="BK42" s="183"/>
      <c r="BL42" s="183"/>
    </row>
    <row r="43" spans="1:64" ht="15" customHeight="1">
      <c r="A43" s="181" t="s">
        <v>29</v>
      </c>
      <c r="B43" s="182"/>
      <c r="C43" s="182" t="s">
        <v>566</v>
      </c>
      <c r="D43" s="154" t="s">
        <v>567</v>
      </c>
      <c r="E43" s="154"/>
      <c r="F43" s="182" t="s">
        <v>558</v>
      </c>
      <c r="G43" s="183">
        <v>1</v>
      </c>
      <c r="H43" s="183"/>
      <c r="I43" s="183">
        <f t="shared" si="26"/>
        <v>0</v>
      </c>
      <c r="J43" s="183">
        <f t="shared" si="27"/>
        <v>0</v>
      </c>
      <c r="K43" s="183">
        <f t="shared" si="28"/>
        <v>0</v>
      </c>
      <c r="L43" s="183">
        <v>217</v>
      </c>
      <c r="M43" s="183">
        <f t="shared" si="29"/>
        <v>217</v>
      </c>
      <c r="N43" s="184"/>
      <c r="Z43" s="183">
        <f t="shared" si="30"/>
        <v>0</v>
      </c>
      <c r="AB43" s="183">
        <f t="shared" si="31"/>
        <v>0</v>
      </c>
      <c r="AC43" s="183">
        <f t="shared" si="32"/>
        <v>0</v>
      </c>
      <c r="AD43" s="183">
        <f t="shared" si="33"/>
        <v>0</v>
      </c>
      <c r="AE43" s="183">
        <f t="shared" si="34"/>
        <v>0</v>
      </c>
      <c r="AF43" s="183">
        <f t="shared" si="35"/>
        <v>0</v>
      </c>
      <c r="AG43" s="183">
        <f t="shared" si="36"/>
        <v>0</v>
      </c>
      <c r="AH43" s="183">
        <f t="shared" si="37"/>
        <v>0</v>
      </c>
      <c r="AI43" s="165"/>
      <c r="AJ43" s="183">
        <f t="shared" si="38"/>
        <v>0</v>
      </c>
      <c r="AK43" s="183">
        <f t="shared" si="39"/>
        <v>0</v>
      </c>
      <c r="AL43" s="183">
        <f t="shared" si="40"/>
        <v>0</v>
      </c>
      <c r="AN43" s="183">
        <v>21</v>
      </c>
      <c r="AO43" s="183">
        <f t="shared" si="41"/>
        <v>0</v>
      </c>
      <c r="AP43" s="183">
        <f t="shared" si="42"/>
        <v>0</v>
      </c>
      <c r="AQ43" s="185" t="s">
        <v>397</v>
      </c>
      <c r="AV43" s="183">
        <f t="shared" si="43"/>
        <v>0</v>
      </c>
      <c r="AW43" s="183">
        <f t="shared" si="44"/>
        <v>0</v>
      </c>
      <c r="AX43" s="183">
        <f t="shared" si="45"/>
        <v>0</v>
      </c>
      <c r="AY43" s="185" t="s">
        <v>427</v>
      </c>
      <c r="AZ43" s="185" t="s">
        <v>437</v>
      </c>
      <c r="BA43" s="165" t="s">
        <v>438</v>
      </c>
      <c r="BC43" s="183">
        <f t="shared" si="46"/>
        <v>0</v>
      </c>
      <c r="BD43" s="183">
        <f t="shared" si="47"/>
        <v>0</v>
      </c>
      <c r="BE43" s="183">
        <v>0</v>
      </c>
      <c r="BF43" s="183">
        <f t="shared" si="48"/>
        <v>217</v>
      </c>
      <c r="BH43" s="183">
        <f t="shared" si="49"/>
        <v>0</v>
      </c>
      <c r="BI43" s="183">
        <f t="shared" si="50"/>
        <v>0</v>
      </c>
      <c r="BJ43" s="183">
        <f t="shared" si="51"/>
        <v>0</v>
      </c>
      <c r="BK43" s="183"/>
      <c r="BL43" s="183"/>
    </row>
    <row r="44" spans="1:64" ht="15" customHeight="1">
      <c r="A44" s="181" t="s">
        <v>30</v>
      </c>
      <c r="B44" s="182"/>
      <c r="C44" s="182" t="s">
        <v>568</v>
      </c>
      <c r="D44" s="154" t="s">
        <v>569</v>
      </c>
      <c r="E44" s="154"/>
      <c r="F44" s="182" t="s">
        <v>558</v>
      </c>
      <c r="G44" s="183">
        <v>2</v>
      </c>
      <c r="H44" s="183"/>
      <c r="I44" s="183">
        <f t="shared" si="26"/>
        <v>0</v>
      </c>
      <c r="J44" s="183">
        <f t="shared" si="27"/>
        <v>0</v>
      </c>
      <c r="K44" s="183">
        <f t="shared" si="28"/>
        <v>0</v>
      </c>
      <c r="L44" s="183">
        <v>225</v>
      </c>
      <c r="M44" s="183">
        <f t="shared" si="29"/>
        <v>450</v>
      </c>
      <c r="N44" s="184"/>
      <c r="Z44" s="183">
        <f t="shared" si="30"/>
        <v>0</v>
      </c>
      <c r="AB44" s="183">
        <f t="shared" si="31"/>
        <v>0</v>
      </c>
      <c r="AC44" s="183">
        <f t="shared" si="32"/>
        <v>0</v>
      </c>
      <c r="AD44" s="183">
        <f t="shared" si="33"/>
        <v>0</v>
      </c>
      <c r="AE44" s="183">
        <f t="shared" si="34"/>
        <v>0</v>
      </c>
      <c r="AF44" s="183">
        <f t="shared" si="35"/>
        <v>0</v>
      </c>
      <c r="AG44" s="183">
        <f t="shared" si="36"/>
        <v>0</v>
      </c>
      <c r="AH44" s="183">
        <f t="shared" si="37"/>
        <v>0</v>
      </c>
      <c r="AI44" s="165"/>
      <c r="AJ44" s="183">
        <f t="shared" si="38"/>
        <v>0</v>
      </c>
      <c r="AK44" s="183">
        <f t="shared" si="39"/>
        <v>0</v>
      </c>
      <c r="AL44" s="183">
        <f t="shared" si="40"/>
        <v>0</v>
      </c>
      <c r="AN44" s="183">
        <v>21</v>
      </c>
      <c r="AO44" s="183">
        <f t="shared" si="41"/>
        <v>0</v>
      </c>
      <c r="AP44" s="183">
        <f t="shared" si="42"/>
        <v>0</v>
      </c>
      <c r="AQ44" s="185" t="s">
        <v>397</v>
      </c>
      <c r="AV44" s="183">
        <f t="shared" si="43"/>
        <v>0</v>
      </c>
      <c r="AW44" s="183">
        <f t="shared" si="44"/>
        <v>0</v>
      </c>
      <c r="AX44" s="183">
        <f t="shared" si="45"/>
        <v>0</v>
      </c>
      <c r="AY44" s="185" t="s">
        <v>427</v>
      </c>
      <c r="AZ44" s="185" t="s">
        <v>437</v>
      </c>
      <c r="BA44" s="165" t="s">
        <v>438</v>
      </c>
      <c r="BC44" s="183">
        <f t="shared" si="46"/>
        <v>0</v>
      </c>
      <c r="BD44" s="183">
        <f t="shared" si="47"/>
        <v>0</v>
      </c>
      <c r="BE44" s="183">
        <v>0</v>
      </c>
      <c r="BF44" s="183">
        <f t="shared" si="48"/>
        <v>450</v>
      </c>
      <c r="BH44" s="183">
        <f t="shared" si="49"/>
        <v>0</v>
      </c>
      <c r="BI44" s="183">
        <f t="shared" si="50"/>
        <v>0</v>
      </c>
      <c r="BJ44" s="183">
        <f t="shared" si="51"/>
        <v>0</v>
      </c>
      <c r="BK44" s="183"/>
      <c r="BL44" s="183"/>
    </row>
    <row r="45" spans="1:64" ht="15" customHeight="1">
      <c r="A45" s="181" t="s">
        <v>31</v>
      </c>
      <c r="B45" s="182"/>
      <c r="C45" s="182" t="s">
        <v>570</v>
      </c>
      <c r="D45" s="154" t="s">
        <v>571</v>
      </c>
      <c r="E45" s="154"/>
      <c r="F45" s="182" t="s">
        <v>558</v>
      </c>
      <c r="G45" s="183">
        <v>1</v>
      </c>
      <c r="H45" s="183"/>
      <c r="I45" s="183">
        <f t="shared" si="26"/>
        <v>0</v>
      </c>
      <c r="J45" s="183">
        <f t="shared" si="27"/>
        <v>0</v>
      </c>
      <c r="K45" s="183">
        <f t="shared" si="28"/>
        <v>0</v>
      </c>
      <c r="L45" s="183">
        <v>116</v>
      </c>
      <c r="M45" s="183">
        <f t="shared" si="29"/>
        <v>116</v>
      </c>
      <c r="N45" s="184"/>
      <c r="Z45" s="183">
        <f t="shared" si="30"/>
        <v>0</v>
      </c>
      <c r="AB45" s="183">
        <f t="shared" si="31"/>
        <v>0</v>
      </c>
      <c r="AC45" s="183">
        <f t="shared" si="32"/>
        <v>0</v>
      </c>
      <c r="AD45" s="183">
        <f t="shared" si="33"/>
        <v>0</v>
      </c>
      <c r="AE45" s="183">
        <f t="shared" si="34"/>
        <v>0</v>
      </c>
      <c r="AF45" s="183">
        <f t="shared" si="35"/>
        <v>0</v>
      </c>
      <c r="AG45" s="183">
        <f t="shared" si="36"/>
        <v>0</v>
      </c>
      <c r="AH45" s="183">
        <f t="shared" si="37"/>
        <v>0</v>
      </c>
      <c r="AI45" s="165"/>
      <c r="AJ45" s="183">
        <f t="shared" si="38"/>
        <v>0</v>
      </c>
      <c r="AK45" s="183">
        <f t="shared" si="39"/>
        <v>0</v>
      </c>
      <c r="AL45" s="183">
        <f t="shared" si="40"/>
        <v>0</v>
      </c>
      <c r="AN45" s="183">
        <v>21</v>
      </c>
      <c r="AO45" s="183">
        <f t="shared" si="41"/>
        <v>0</v>
      </c>
      <c r="AP45" s="183">
        <f t="shared" si="42"/>
        <v>0</v>
      </c>
      <c r="AQ45" s="185" t="s">
        <v>397</v>
      </c>
      <c r="AV45" s="183">
        <f t="shared" si="43"/>
        <v>0</v>
      </c>
      <c r="AW45" s="183">
        <f t="shared" si="44"/>
        <v>0</v>
      </c>
      <c r="AX45" s="183">
        <f t="shared" si="45"/>
        <v>0</v>
      </c>
      <c r="AY45" s="185" t="s">
        <v>427</v>
      </c>
      <c r="AZ45" s="185" t="s">
        <v>437</v>
      </c>
      <c r="BA45" s="165" t="s">
        <v>438</v>
      </c>
      <c r="BC45" s="183">
        <f t="shared" si="46"/>
        <v>0</v>
      </c>
      <c r="BD45" s="183">
        <f t="shared" si="47"/>
        <v>0</v>
      </c>
      <c r="BE45" s="183">
        <v>0</v>
      </c>
      <c r="BF45" s="183">
        <f t="shared" si="48"/>
        <v>116</v>
      </c>
      <c r="BH45" s="183">
        <f t="shared" si="49"/>
        <v>0</v>
      </c>
      <c r="BI45" s="183">
        <f t="shared" si="50"/>
        <v>0</v>
      </c>
      <c r="BJ45" s="183">
        <f t="shared" si="51"/>
        <v>0</v>
      </c>
      <c r="BK45" s="183"/>
      <c r="BL45" s="183"/>
    </row>
    <row r="46" spans="1:64" ht="15" customHeight="1">
      <c r="A46" s="181" t="s">
        <v>32</v>
      </c>
      <c r="B46" s="182"/>
      <c r="C46" s="182" t="s">
        <v>572</v>
      </c>
      <c r="D46" s="154" t="s">
        <v>573</v>
      </c>
      <c r="E46" s="154"/>
      <c r="F46" s="182" t="s">
        <v>558</v>
      </c>
      <c r="G46" s="183">
        <v>1</v>
      </c>
      <c r="H46" s="183"/>
      <c r="I46" s="183">
        <f t="shared" si="26"/>
        <v>0</v>
      </c>
      <c r="J46" s="183">
        <f t="shared" si="27"/>
        <v>0</v>
      </c>
      <c r="K46" s="183">
        <f t="shared" si="28"/>
        <v>0</v>
      </c>
      <c r="L46" s="183">
        <v>0.102</v>
      </c>
      <c r="M46" s="183">
        <f t="shared" si="29"/>
        <v>0.102</v>
      </c>
      <c r="N46" s="184"/>
      <c r="Z46" s="183">
        <f t="shared" si="30"/>
        <v>0</v>
      </c>
      <c r="AB46" s="183">
        <f t="shared" si="31"/>
        <v>0</v>
      </c>
      <c r="AC46" s="183">
        <f t="shared" si="32"/>
        <v>0</v>
      </c>
      <c r="AD46" s="183">
        <f t="shared" si="33"/>
        <v>0</v>
      </c>
      <c r="AE46" s="183">
        <f t="shared" si="34"/>
        <v>0</v>
      </c>
      <c r="AF46" s="183">
        <f t="shared" si="35"/>
        <v>0</v>
      </c>
      <c r="AG46" s="183">
        <f t="shared" si="36"/>
        <v>0</v>
      </c>
      <c r="AH46" s="183">
        <f t="shared" si="37"/>
        <v>0</v>
      </c>
      <c r="AI46" s="165"/>
      <c r="AJ46" s="183">
        <f t="shared" si="38"/>
        <v>0</v>
      </c>
      <c r="AK46" s="183">
        <f t="shared" si="39"/>
        <v>0</v>
      </c>
      <c r="AL46" s="183">
        <f t="shared" si="40"/>
        <v>0</v>
      </c>
      <c r="AN46" s="183">
        <v>21</v>
      </c>
      <c r="AO46" s="183">
        <f t="shared" si="41"/>
        <v>0</v>
      </c>
      <c r="AP46" s="183">
        <f t="shared" si="42"/>
        <v>0</v>
      </c>
      <c r="AQ46" s="185" t="s">
        <v>397</v>
      </c>
      <c r="AV46" s="183">
        <f t="shared" si="43"/>
        <v>0</v>
      </c>
      <c r="AW46" s="183">
        <f t="shared" si="44"/>
        <v>0</v>
      </c>
      <c r="AX46" s="183">
        <f t="shared" si="45"/>
        <v>0</v>
      </c>
      <c r="AY46" s="185" t="s">
        <v>427</v>
      </c>
      <c r="AZ46" s="185" t="s">
        <v>437</v>
      </c>
      <c r="BA46" s="165" t="s">
        <v>438</v>
      </c>
      <c r="BC46" s="183">
        <f t="shared" si="46"/>
        <v>0</v>
      </c>
      <c r="BD46" s="183">
        <f t="shared" si="47"/>
        <v>0</v>
      </c>
      <c r="BE46" s="183">
        <v>0</v>
      </c>
      <c r="BF46" s="183">
        <f t="shared" si="48"/>
        <v>0.102</v>
      </c>
      <c r="BH46" s="183">
        <f t="shared" si="49"/>
        <v>0</v>
      </c>
      <c r="BI46" s="183">
        <f t="shared" si="50"/>
        <v>0</v>
      </c>
      <c r="BJ46" s="183">
        <f t="shared" si="51"/>
        <v>0</v>
      </c>
      <c r="BK46" s="183"/>
      <c r="BL46" s="183"/>
    </row>
    <row r="47" spans="1:64" ht="15" customHeight="1">
      <c r="A47" s="181" t="s">
        <v>33</v>
      </c>
      <c r="B47" s="182"/>
      <c r="C47" s="182" t="s">
        <v>574</v>
      </c>
      <c r="D47" s="154" t="s">
        <v>575</v>
      </c>
      <c r="E47" s="154"/>
      <c r="F47" s="182" t="s">
        <v>558</v>
      </c>
      <c r="G47" s="183">
        <v>5</v>
      </c>
      <c r="H47" s="183"/>
      <c r="I47" s="183">
        <f t="shared" si="26"/>
        <v>0</v>
      </c>
      <c r="J47" s="183">
        <f t="shared" si="27"/>
        <v>0</v>
      </c>
      <c r="K47" s="183">
        <f t="shared" si="28"/>
        <v>0</v>
      </c>
      <c r="L47" s="183">
        <v>0.1</v>
      </c>
      <c r="M47" s="183">
        <f t="shared" si="29"/>
        <v>0.5</v>
      </c>
      <c r="N47" s="184"/>
      <c r="Z47" s="183">
        <f t="shared" si="30"/>
        <v>0</v>
      </c>
      <c r="AB47" s="183">
        <f t="shared" si="31"/>
        <v>0</v>
      </c>
      <c r="AC47" s="183">
        <f t="shared" si="32"/>
        <v>0</v>
      </c>
      <c r="AD47" s="183">
        <f t="shared" si="33"/>
        <v>0</v>
      </c>
      <c r="AE47" s="183">
        <f t="shared" si="34"/>
        <v>0</v>
      </c>
      <c r="AF47" s="183">
        <f t="shared" si="35"/>
        <v>0</v>
      </c>
      <c r="AG47" s="183">
        <f t="shared" si="36"/>
        <v>0</v>
      </c>
      <c r="AH47" s="183">
        <f t="shared" si="37"/>
        <v>0</v>
      </c>
      <c r="AI47" s="165"/>
      <c r="AJ47" s="183">
        <f t="shared" si="38"/>
        <v>0</v>
      </c>
      <c r="AK47" s="183">
        <f t="shared" si="39"/>
        <v>0</v>
      </c>
      <c r="AL47" s="183">
        <f t="shared" si="40"/>
        <v>0</v>
      </c>
      <c r="AN47" s="183">
        <v>21</v>
      </c>
      <c r="AO47" s="183">
        <f t="shared" si="41"/>
        <v>0</v>
      </c>
      <c r="AP47" s="183">
        <f t="shared" si="42"/>
        <v>0</v>
      </c>
      <c r="AQ47" s="185" t="s">
        <v>397</v>
      </c>
      <c r="AV47" s="183">
        <f t="shared" si="43"/>
        <v>0</v>
      </c>
      <c r="AW47" s="183">
        <f t="shared" si="44"/>
        <v>0</v>
      </c>
      <c r="AX47" s="183">
        <f t="shared" si="45"/>
        <v>0</v>
      </c>
      <c r="AY47" s="185" t="s">
        <v>427</v>
      </c>
      <c r="AZ47" s="185" t="s">
        <v>437</v>
      </c>
      <c r="BA47" s="165" t="s">
        <v>438</v>
      </c>
      <c r="BC47" s="183">
        <f t="shared" si="46"/>
        <v>0</v>
      </c>
      <c r="BD47" s="183">
        <f t="shared" si="47"/>
        <v>0</v>
      </c>
      <c r="BE47" s="183">
        <v>0</v>
      </c>
      <c r="BF47" s="183">
        <f t="shared" si="48"/>
        <v>0.5</v>
      </c>
      <c r="BH47" s="183">
        <f t="shared" si="49"/>
        <v>0</v>
      </c>
      <c r="BI47" s="183">
        <f t="shared" si="50"/>
        <v>0</v>
      </c>
      <c r="BJ47" s="183">
        <f t="shared" si="51"/>
        <v>0</v>
      </c>
      <c r="BK47" s="183"/>
      <c r="BL47" s="183"/>
    </row>
    <row r="48" spans="1:64" ht="15" customHeight="1">
      <c r="A48" s="181" t="s">
        <v>34</v>
      </c>
      <c r="B48" s="182"/>
      <c r="C48" s="182" t="s">
        <v>576</v>
      </c>
      <c r="D48" s="154" t="s">
        <v>577</v>
      </c>
      <c r="E48" s="154"/>
      <c r="F48" s="182" t="s">
        <v>369</v>
      </c>
      <c r="G48" s="183">
        <v>4</v>
      </c>
      <c r="H48" s="183"/>
      <c r="I48" s="183">
        <f t="shared" si="26"/>
        <v>0</v>
      </c>
      <c r="J48" s="183">
        <f t="shared" si="27"/>
        <v>0</v>
      </c>
      <c r="K48" s="183">
        <f t="shared" si="28"/>
        <v>0</v>
      </c>
      <c r="L48" s="183">
        <v>0.0009</v>
      </c>
      <c r="M48" s="183">
        <f t="shared" si="29"/>
        <v>0.0036</v>
      </c>
      <c r="N48" s="184" t="s">
        <v>516</v>
      </c>
      <c r="Z48" s="183">
        <f t="shared" si="30"/>
        <v>0</v>
      </c>
      <c r="AB48" s="183">
        <f t="shared" si="31"/>
        <v>0</v>
      </c>
      <c r="AC48" s="183">
        <f t="shared" si="32"/>
        <v>0</v>
      </c>
      <c r="AD48" s="183">
        <f t="shared" si="33"/>
        <v>0</v>
      </c>
      <c r="AE48" s="183">
        <f t="shared" si="34"/>
        <v>0</v>
      </c>
      <c r="AF48" s="183">
        <f t="shared" si="35"/>
        <v>0</v>
      </c>
      <c r="AG48" s="183">
        <f t="shared" si="36"/>
        <v>0</v>
      </c>
      <c r="AH48" s="183">
        <f t="shared" si="37"/>
        <v>0</v>
      </c>
      <c r="AI48" s="165"/>
      <c r="AJ48" s="183">
        <f t="shared" si="38"/>
        <v>0</v>
      </c>
      <c r="AK48" s="183">
        <f t="shared" si="39"/>
        <v>0</v>
      </c>
      <c r="AL48" s="183">
        <f t="shared" si="40"/>
        <v>0</v>
      </c>
      <c r="AN48" s="183">
        <v>21</v>
      </c>
      <c r="AO48" s="183">
        <f t="shared" si="41"/>
        <v>0</v>
      </c>
      <c r="AP48" s="183">
        <f t="shared" si="42"/>
        <v>0</v>
      </c>
      <c r="AQ48" s="185" t="s">
        <v>397</v>
      </c>
      <c r="AV48" s="183">
        <f t="shared" si="43"/>
        <v>0</v>
      </c>
      <c r="AW48" s="183">
        <f t="shared" si="44"/>
        <v>0</v>
      </c>
      <c r="AX48" s="183">
        <f t="shared" si="45"/>
        <v>0</v>
      </c>
      <c r="AY48" s="185" t="s">
        <v>427</v>
      </c>
      <c r="AZ48" s="185" t="s">
        <v>437</v>
      </c>
      <c r="BA48" s="165" t="s">
        <v>438</v>
      </c>
      <c r="BC48" s="183">
        <f t="shared" si="46"/>
        <v>0</v>
      </c>
      <c r="BD48" s="183">
        <f t="shared" si="47"/>
        <v>0</v>
      </c>
      <c r="BE48" s="183">
        <v>0</v>
      </c>
      <c r="BF48" s="183">
        <f t="shared" si="48"/>
        <v>0.0036</v>
      </c>
      <c r="BH48" s="183">
        <f t="shared" si="49"/>
        <v>0</v>
      </c>
      <c r="BI48" s="183">
        <f t="shared" si="50"/>
        <v>0</v>
      </c>
      <c r="BJ48" s="183">
        <f t="shared" si="51"/>
        <v>0</v>
      </c>
      <c r="BK48" s="183"/>
      <c r="BL48" s="183"/>
    </row>
    <row r="49" spans="1:14" ht="27" customHeight="1">
      <c r="A49" s="186"/>
      <c r="C49" s="187" t="s">
        <v>519</v>
      </c>
      <c r="D49" s="188" t="s">
        <v>578</v>
      </c>
      <c r="E49" s="188"/>
      <c r="F49" s="188"/>
      <c r="G49" s="188"/>
      <c r="H49" s="188"/>
      <c r="I49" s="188"/>
      <c r="J49" s="188"/>
      <c r="K49" s="188"/>
      <c r="L49" s="188"/>
      <c r="M49" s="188"/>
      <c r="N49" s="188"/>
    </row>
    <row r="50" spans="1:64" ht="15" customHeight="1">
      <c r="A50" s="181" t="s">
        <v>35</v>
      </c>
      <c r="B50" s="182"/>
      <c r="C50" s="182" t="s">
        <v>579</v>
      </c>
      <c r="D50" s="154" t="s">
        <v>580</v>
      </c>
      <c r="E50" s="154"/>
      <c r="F50" s="182" t="s">
        <v>558</v>
      </c>
      <c r="G50" s="183">
        <v>1</v>
      </c>
      <c r="H50" s="183"/>
      <c r="I50" s="183">
        <f>G50*AO50</f>
        <v>0</v>
      </c>
      <c r="J50" s="183">
        <f>G50*AP50</f>
        <v>0</v>
      </c>
      <c r="K50" s="183">
        <f>G50*H50</f>
        <v>0</v>
      </c>
      <c r="L50" s="183">
        <v>0</v>
      </c>
      <c r="M50" s="183">
        <f>G50*L50</f>
        <v>0</v>
      </c>
      <c r="N50" s="184"/>
      <c r="Z50" s="183">
        <f>IF(AQ50="5",BJ50,0)</f>
        <v>0</v>
      </c>
      <c r="AB50" s="183">
        <f>IF(AQ50="1",BH50,0)</f>
        <v>0</v>
      </c>
      <c r="AC50" s="183">
        <f>IF(AQ50="1",BI50,0)</f>
        <v>0</v>
      </c>
      <c r="AD50" s="183">
        <f>IF(AQ50="7",BH50,0)</f>
        <v>0</v>
      </c>
      <c r="AE50" s="183">
        <f>IF(AQ50="7",BI50,0)</f>
        <v>0</v>
      </c>
      <c r="AF50" s="183">
        <f>IF(AQ50="2",BH50,0)</f>
        <v>0</v>
      </c>
      <c r="AG50" s="183">
        <f>IF(AQ50="2",BI50,0)</f>
        <v>0</v>
      </c>
      <c r="AH50" s="183">
        <f>IF(AQ50="0",BJ50,0)</f>
        <v>0</v>
      </c>
      <c r="AI50" s="165"/>
      <c r="AJ50" s="183">
        <f>IF(AN50=0,K50,0)</f>
        <v>0</v>
      </c>
      <c r="AK50" s="183">
        <f>IF(AN50=15,K50,0)</f>
        <v>0</v>
      </c>
      <c r="AL50" s="183">
        <f>IF(AN50=21,K50,0)</f>
        <v>0</v>
      </c>
      <c r="AN50" s="183">
        <v>21</v>
      </c>
      <c r="AO50" s="183">
        <f>H50*1</f>
        <v>0</v>
      </c>
      <c r="AP50" s="183">
        <f>H50*(1-1)</f>
        <v>0</v>
      </c>
      <c r="AQ50" s="185" t="s">
        <v>397</v>
      </c>
      <c r="AV50" s="183">
        <f>AW50+AX50</f>
        <v>0</v>
      </c>
      <c r="AW50" s="183">
        <f>G50*AO50</f>
        <v>0</v>
      </c>
      <c r="AX50" s="183">
        <f>G50*AP50</f>
        <v>0</v>
      </c>
      <c r="AY50" s="185" t="s">
        <v>427</v>
      </c>
      <c r="AZ50" s="185" t="s">
        <v>437</v>
      </c>
      <c r="BA50" s="165" t="s">
        <v>438</v>
      </c>
      <c r="BC50" s="183">
        <f>AW50+AX50</f>
        <v>0</v>
      </c>
      <c r="BD50" s="183">
        <f>H50/(100-BE50)*100</f>
        <v>0</v>
      </c>
      <c r="BE50" s="183">
        <v>0</v>
      </c>
      <c r="BF50" s="183">
        <f>M50</f>
        <v>0</v>
      </c>
      <c r="BH50" s="183">
        <f>G50*AO50</f>
        <v>0</v>
      </c>
      <c r="BI50" s="183">
        <f>G50*AP50</f>
        <v>0</v>
      </c>
      <c r="BJ50" s="183">
        <f>G50*H50</f>
        <v>0</v>
      </c>
      <c r="BK50" s="183"/>
      <c r="BL50" s="183"/>
    </row>
    <row r="51" spans="1:64" ht="15" customHeight="1">
      <c r="A51" s="181" t="s">
        <v>36</v>
      </c>
      <c r="B51" s="182"/>
      <c r="C51" s="182" t="s">
        <v>581</v>
      </c>
      <c r="D51" s="154" t="s">
        <v>582</v>
      </c>
      <c r="E51" s="154"/>
      <c r="F51" s="182" t="s">
        <v>558</v>
      </c>
      <c r="G51" s="183">
        <v>1</v>
      </c>
      <c r="H51" s="183"/>
      <c r="I51" s="183">
        <f>G51*AO51</f>
        <v>0</v>
      </c>
      <c r="J51" s="183">
        <f>G51*AP51</f>
        <v>0</v>
      </c>
      <c r="K51" s="183">
        <f>G51*H51</f>
        <v>0</v>
      </c>
      <c r="L51" s="183">
        <v>0</v>
      </c>
      <c r="M51" s="183">
        <f>G51*L51</f>
        <v>0</v>
      </c>
      <c r="N51" s="184"/>
      <c r="Z51" s="183">
        <f>IF(AQ51="5",BJ51,0)</f>
        <v>0</v>
      </c>
      <c r="AB51" s="183">
        <f>IF(AQ51="1",BH51,0)</f>
        <v>0</v>
      </c>
      <c r="AC51" s="183">
        <f>IF(AQ51="1",BI51,0)</f>
        <v>0</v>
      </c>
      <c r="AD51" s="183">
        <f>IF(AQ51="7",BH51,0)</f>
        <v>0</v>
      </c>
      <c r="AE51" s="183">
        <f>IF(AQ51="7",BI51,0)</f>
        <v>0</v>
      </c>
      <c r="AF51" s="183">
        <f>IF(AQ51="2",BH51,0)</f>
        <v>0</v>
      </c>
      <c r="AG51" s="183">
        <f>IF(AQ51="2",BI51,0)</f>
        <v>0</v>
      </c>
      <c r="AH51" s="183">
        <f>IF(AQ51="0",BJ51,0)</f>
        <v>0</v>
      </c>
      <c r="AI51" s="165"/>
      <c r="AJ51" s="183">
        <f>IF(AN51=0,K51,0)</f>
        <v>0</v>
      </c>
      <c r="AK51" s="183">
        <f>IF(AN51=15,K51,0)</f>
        <v>0</v>
      </c>
      <c r="AL51" s="183">
        <f>IF(AN51=21,K51,0)</f>
        <v>0</v>
      </c>
      <c r="AN51" s="183">
        <v>21</v>
      </c>
      <c r="AO51" s="183">
        <f>H51*1</f>
        <v>0</v>
      </c>
      <c r="AP51" s="183">
        <f>H51*(1-1)</f>
        <v>0</v>
      </c>
      <c r="AQ51" s="185" t="s">
        <v>397</v>
      </c>
      <c r="AV51" s="183">
        <f>AW51+AX51</f>
        <v>0</v>
      </c>
      <c r="AW51" s="183">
        <f>G51*AO51</f>
        <v>0</v>
      </c>
      <c r="AX51" s="183">
        <f>G51*AP51</f>
        <v>0</v>
      </c>
      <c r="AY51" s="185" t="s">
        <v>427</v>
      </c>
      <c r="AZ51" s="185" t="s">
        <v>437</v>
      </c>
      <c r="BA51" s="165" t="s">
        <v>438</v>
      </c>
      <c r="BC51" s="183">
        <f>AW51+AX51</f>
        <v>0</v>
      </c>
      <c r="BD51" s="183">
        <f>H51/(100-BE51)*100</f>
        <v>0</v>
      </c>
      <c r="BE51" s="183">
        <v>0</v>
      </c>
      <c r="BF51" s="183">
        <f>M51</f>
        <v>0</v>
      </c>
      <c r="BH51" s="183">
        <f>G51*AO51</f>
        <v>0</v>
      </c>
      <c r="BI51" s="183">
        <f>G51*AP51</f>
        <v>0</v>
      </c>
      <c r="BJ51" s="183">
        <f>G51*H51</f>
        <v>0</v>
      </c>
      <c r="BK51" s="183"/>
      <c r="BL51" s="183"/>
    </row>
    <row r="52" spans="1:14" ht="40.5" customHeight="1">
      <c r="A52" s="186"/>
      <c r="C52" s="187" t="s">
        <v>519</v>
      </c>
      <c r="D52" s="188" t="s">
        <v>583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</row>
    <row r="53" spans="1:64" ht="15" customHeight="1">
      <c r="A53" s="181" t="s">
        <v>37</v>
      </c>
      <c r="B53" s="182"/>
      <c r="C53" s="182" t="s">
        <v>584</v>
      </c>
      <c r="D53" s="154" t="s">
        <v>585</v>
      </c>
      <c r="E53" s="154"/>
      <c r="F53" s="182" t="s">
        <v>369</v>
      </c>
      <c r="G53" s="183">
        <v>4</v>
      </c>
      <c r="H53" s="183"/>
      <c r="I53" s="183">
        <f>G53*AO53</f>
        <v>0</v>
      </c>
      <c r="J53" s="183">
        <f>G53*AP53</f>
        <v>0</v>
      </c>
      <c r="K53" s="183">
        <f>G53*H53</f>
        <v>0</v>
      </c>
      <c r="L53" s="183">
        <v>0.00056</v>
      </c>
      <c r="M53" s="183">
        <f>G53*L53</f>
        <v>0.00224</v>
      </c>
      <c r="N53" s="184" t="s">
        <v>516</v>
      </c>
      <c r="Z53" s="183">
        <f>IF(AQ53="5",BJ53,0)</f>
        <v>0</v>
      </c>
      <c r="AB53" s="183">
        <f>IF(AQ53="1",BH53,0)</f>
        <v>0</v>
      </c>
      <c r="AC53" s="183">
        <f>IF(AQ53="1",BI53,0)</f>
        <v>0</v>
      </c>
      <c r="AD53" s="183">
        <f>IF(AQ53="7",BH53,0)</f>
        <v>0</v>
      </c>
      <c r="AE53" s="183">
        <f>IF(AQ53="7",BI53,0)</f>
        <v>0</v>
      </c>
      <c r="AF53" s="183">
        <f>IF(AQ53="2",BH53,0)</f>
        <v>0</v>
      </c>
      <c r="AG53" s="183">
        <f>IF(AQ53="2",BI53,0)</f>
        <v>0</v>
      </c>
      <c r="AH53" s="183">
        <f>IF(AQ53="0",BJ53,0)</f>
        <v>0</v>
      </c>
      <c r="AI53" s="165"/>
      <c r="AJ53" s="183">
        <f>IF(AN53=0,K53,0)</f>
        <v>0</v>
      </c>
      <c r="AK53" s="183">
        <f>IF(AN53=15,K53,0)</f>
        <v>0</v>
      </c>
      <c r="AL53" s="183">
        <f>IF(AN53=21,K53,0)</f>
        <v>0</v>
      </c>
      <c r="AN53" s="183">
        <v>21</v>
      </c>
      <c r="AO53" s="183">
        <f>H53*1</f>
        <v>0</v>
      </c>
      <c r="AP53" s="183">
        <f>H53*(1-1)</f>
        <v>0</v>
      </c>
      <c r="AQ53" s="185" t="s">
        <v>397</v>
      </c>
      <c r="AV53" s="183">
        <f>AW53+AX53</f>
        <v>0</v>
      </c>
      <c r="AW53" s="183">
        <f>G53*AO53</f>
        <v>0</v>
      </c>
      <c r="AX53" s="183">
        <f>G53*AP53</f>
        <v>0</v>
      </c>
      <c r="AY53" s="185" t="s">
        <v>427</v>
      </c>
      <c r="AZ53" s="185" t="s">
        <v>437</v>
      </c>
      <c r="BA53" s="165" t="s">
        <v>438</v>
      </c>
      <c r="BC53" s="183">
        <f>AW53+AX53</f>
        <v>0</v>
      </c>
      <c r="BD53" s="183">
        <f>H53/(100-BE53)*100</f>
        <v>0</v>
      </c>
      <c r="BE53" s="183">
        <v>0</v>
      </c>
      <c r="BF53" s="183">
        <f>M53</f>
        <v>0.00224</v>
      </c>
      <c r="BH53" s="183">
        <f>G53*AO53</f>
        <v>0</v>
      </c>
      <c r="BI53" s="183">
        <f>G53*AP53</f>
        <v>0</v>
      </c>
      <c r="BJ53" s="183">
        <f>G53*H53</f>
        <v>0</v>
      </c>
      <c r="BK53" s="183"/>
      <c r="BL53" s="183"/>
    </row>
    <row r="54" spans="1:14" ht="27" customHeight="1">
      <c r="A54" s="186"/>
      <c r="C54" s="187" t="s">
        <v>519</v>
      </c>
      <c r="D54" s="188" t="s">
        <v>586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64" ht="15" customHeight="1">
      <c r="A55" s="181" t="s">
        <v>38</v>
      </c>
      <c r="B55" s="182"/>
      <c r="C55" s="182" t="s">
        <v>587</v>
      </c>
      <c r="D55" s="154" t="s">
        <v>588</v>
      </c>
      <c r="E55" s="154"/>
      <c r="F55" s="182" t="s">
        <v>558</v>
      </c>
      <c r="G55" s="183">
        <v>1</v>
      </c>
      <c r="H55" s="183"/>
      <c r="I55" s="183">
        <f>G55*AO55</f>
        <v>0</v>
      </c>
      <c r="J55" s="183">
        <f>G55*AP55</f>
        <v>0</v>
      </c>
      <c r="K55" s="183">
        <f>G55*H55</f>
        <v>0</v>
      </c>
      <c r="L55" s="183">
        <v>0</v>
      </c>
      <c r="M55" s="183">
        <f>G55*L55</f>
        <v>0</v>
      </c>
      <c r="N55" s="184"/>
      <c r="Z55" s="183">
        <f>IF(AQ55="5",BJ55,0)</f>
        <v>0</v>
      </c>
      <c r="AB55" s="183">
        <f>IF(AQ55="1",BH55,0)</f>
        <v>0</v>
      </c>
      <c r="AC55" s="183">
        <f>IF(AQ55="1",BI55,0)</f>
        <v>0</v>
      </c>
      <c r="AD55" s="183">
        <f>IF(AQ55="7",BH55,0)</f>
        <v>0</v>
      </c>
      <c r="AE55" s="183">
        <f>IF(AQ55="7",BI55,0)</f>
        <v>0</v>
      </c>
      <c r="AF55" s="183">
        <f>IF(AQ55="2",BH55,0)</f>
        <v>0</v>
      </c>
      <c r="AG55" s="183">
        <f>IF(AQ55="2",BI55,0)</f>
        <v>0</v>
      </c>
      <c r="AH55" s="183">
        <f>IF(AQ55="0",BJ55,0)</f>
        <v>0</v>
      </c>
      <c r="AI55" s="165"/>
      <c r="AJ55" s="183">
        <f>IF(AN55=0,K55,0)</f>
        <v>0</v>
      </c>
      <c r="AK55" s="183">
        <f>IF(AN55=15,K55,0)</f>
        <v>0</v>
      </c>
      <c r="AL55" s="183">
        <f>IF(AN55=21,K55,0)</f>
        <v>0</v>
      </c>
      <c r="AN55" s="183">
        <v>21</v>
      </c>
      <c r="AO55" s="183">
        <f>H55*1</f>
        <v>0</v>
      </c>
      <c r="AP55" s="183">
        <f>H55*(1-1)</f>
        <v>0</v>
      </c>
      <c r="AQ55" s="185" t="s">
        <v>397</v>
      </c>
      <c r="AV55" s="183">
        <f>AW55+AX55</f>
        <v>0</v>
      </c>
      <c r="AW55" s="183">
        <f>G55*AO55</f>
        <v>0</v>
      </c>
      <c r="AX55" s="183">
        <f>G55*AP55</f>
        <v>0</v>
      </c>
      <c r="AY55" s="185" t="s">
        <v>427</v>
      </c>
      <c r="AZ55" s="185" t="s">
        <v>437</v>
      </c>
      <c r="BA55" s="165" t="s">
        <v>438</v>
      </c>
      <c r="BC55" s="183">
        <f>AW55+AX55</f>
        <v>0</v>
      </c>
      <c r="BD55" s="183">
        <f>H55/(100-BE55)*100</f>
        <v>0</v>
      </c>
      <c r="BE55" s="183">
        <v>0</v>
      </c>
      <c r="BF55" s="183">
        <f>M55</f>
        <v>0</v>
      </c>
      <c r="BH55" s="183">
        <f>G55*AO55</f>
        <v>0</v>
      </c>
      <c r="BI55" s="183">
        <f>G55*AP55</f>
        <v>0</v>
      </c>
      <c r="BJ55" s="183">
        <f>G55*H55</f>
        <v>0</v>
      </c>
      <c r="BK55" s="183"/>
      <c r="BL55" s="183"/>
    </row>
    <row r="56" spans="1:64" ht="15" customHeight="1">
      <c r="A56" s="181" t="s">
        <v>39</v>
      </c>
      <c r="B56" s="182"/>
      <c r="C56" s="182" t="s">
        <v>589</v>
      </c>
      <c r="D56" s="154" t="s">
        <v>590</v>
      </c>
      <c r="E56" s="154"/>
      <c r="F56" s="182" t="s">
        <v>367</v>
      </c>
      <c r="G56" s="183">
        <v>20</v>
      </c>
      <c r="H56" s="183"/>
      <c r="I56" s="183">
        <f>G56*AO56</f>
        <v>0</v>
      </c>
      <c r="J56" s="183">
        <f>G56*AP56</f>
        <v>0</v>
      </c>
      <c r="K56" s="183">
        <f>G56*H56</f>
        <v>0</v>
      </c>
      <c r="L56" s="183">
        <v>0.0002</v>
      </c>
      <c r="M56" s="183">
        <f>G56*L56</f>
        <v>0.004</v>
      </c>
      <c r="N56" s="184" t="s">
        <v>516</v>
      </c>
      <c r="Z56" s="183">
        <f>IF(AQ56="5",BJ56,0)</f>
        <v>0</v>
      </c>
      <c r="AB56" s="183">
        <f>IF(AQ56="1",BH56,0)</f>
        <v>0</v>
      </c>
      <c r="AC56" s="183">
        <f>IF(AQ56="1",BI56,0)</f>
        <v>0</v>
      </c>
      <c r="AD56" s="183">
        <f>IF(AQ56="7",BH56,0)</f>
        <v>0</v>
      </c>
      <c r="AE56" s="183">
        <f>IF(AQ56="7",BI56,0)</f>
        <v>0</v>
      </c>
      <c r="AF56" s="183">
        <f>IF(AQ56="2",BH56,0)</f>
        <v>0</v>
      </c>
      <c r="AG56" s="183">
        <f>IF(AQ56="2",BI56,0)</f>
        <v>0</v>
      </c>
      <c r="AH56" s="183">
        <f>IF(AQ56="0",BJ56,0)</f>
        <v>0</v>
      </c>
      <c r="AI56" s="165"/>
      <c r="AJ56" s="183">
        <f>IF(AN56=0,K56,0)</f>
        <v>0</v>
      </c>
      <c r="AK56" s="183">
        <f>IF(AN56=15,K56,0)</f>
        <v>0</v>
      </c>
      <c r="AL56" s="183">
        <f>IF(AN56=21,K56,0)</f>
        <v>0</v>
      </c>
      <c r="AN56" s="183">
        <v>21</v>
      </c>
      <c r="AO56" s="183">
        <f>H56*1</f>
        <v>0</v>
      </c>
      <c r="AP56" s="183">
        <f>H56*(1-1)</f>
        <v>0</v>
      </c>
      <c r="AQ56" s="185" t="s">
        <v>397</v>
      </c>
      <c r="AV56" s="183">
        <f>AW56+AX56</f>
        <v>0</v>
      </c>
      <c r="AW56" s="183">
        <f>G56*AO56</f>
        <v>0</v>
      </c>
      <c r="AX56" s="183">
        <f>G56*AP56</f>
        <v>0</v>
      </c>
      <c r="AY56" s="185" t="s">
        <v>427</v>
      </c>
      <c r="AZ56" s="185" t="s">
        <v>437</v>
      </c>
      <c r="BA56" s="165" t="s">
        <v>438</v>
      </c>
      <c r="BC56" s="183">
        <f>AW56+AX56</f>
        <v>0</v>
      </c>
      <c r="BD56" s="183">
        <f>H56/(100-BE56)*100</f>
        <v>0</v>
      </c>
      <c r="BE56" s="183">
        <v>0</v>
      </c>
      <c r="BF56" s="183">
        <f>M56</f>
        <v>0.004</v>
      </c>
      <c r="BH56" s="183">
        <f>G56*AO56</f>
        <v>0</v>
      </c>
      <c r="BI56" s="183">
        <f>G56*AP56</f>
        <v>0</v>
      </c>
      <c r="BJ56" s="183">
        <f>G56*H56</f>
        <v>0</v>
      </c>
      <c r="BK56" s="183"/>
      <c r="BL56" s="183"/>
    </row>
    <row r="57" spans="1:14" ht="27" customHeight="1">
      <c r="A57" s="186"/>
      <c r="C57" s="187" t="s">
        <v>519</v>
      </c>
      <c r="D57" s="188" t="s">
        <v>591</v>
      </c>
      <c r="E57" s="188"/>
      <c r="F57" s="188"/>
      <c r="G57" s="188"/>
      <c r="H57" s="188"/>
      <c r="I57" s="188"/>
      <c r="J57" s="188"/>
      <c r="K57" s="188"/>
      <c r="L57" s="188"/>
      <c r="M57" s="188"/>
      <c r="N57" s="188"/>
    </row>
    <row r="58" spans="1:64" ht="15" customHeight="1">
      <c r="A58" s="181" t="s">
        <v>40</v>
      </c>
      <c r="B58" s="182"/>
      <c r="C58" s="182" t="s">
        <v>592</v>
      </c>
      <c r="D58" s="154" t="s">
        <v>593</v>
      </c>
      <c r="E58" s="154"/>
      <c r="F58" s="182" t="s">
        <v>367</v>
      </c>
      <c r="G58" s="183">
        <v>5</v>
      </c>
      <c r="H58" s="183"/>
      <c r="I58" s="183">
        <f>G58*AO58</f>
        <v>0</v>
      </c>
      <c r="J58" s="183">
        <f>G58*AP58</f>
        <v>0</v>
      </c>
      <c r="K58" s="183">
        <f>G58*H58</f>
        <v>0</v>
      </c>
      <c r="L58" s="183">
        <v>0.00011</v>
      </c>
      <c r="M58" s="183">
        <f>G58*L58</f>
        <v>0.00055</v>
      </c>
      <c r="N58" s="184" t="s">
        <v>516</v>
      </c>
      <c r="Z58" s="183">
        <f>IF(AQ58="5",BJ58,0)</f>
        <v>0</v>
      </c>
      <c r="AB58" s="183">
        <f>IF(AQ58="1",BH58,0)</f>
        <v>0</v>
      </c>
      <c r="AC58" s="183">
        <f>IF(AQ58="1",BI58,0)</f>
        <v>0</v>
      </c>
      <c r="AD58" s="183">
        <f>IF(AQ58="7",BH58,0)</f>
        <v>0</v>
      </c>
      <c r="AE58" s="183">
        <f>IF(AQ58="7",BI58,0)</f>
        <v>0</v>
      </c>
      <c r="AF58" s="183">
        <f>IF(AQ58="2",BH58,0)</f>
        <v>0</v>
      </c>
      <c r="AG58" s="183">
        <f>IF(AQ58="2",BI58,0)</f>
        <v>0</v>
      </c>
      <c r="AH58" s="183">
        <f>IF(AQ58="0",BJ58,0)</f>
        <v>0</v>
      </c>
      <c r="AI58" s="165"/>
      <c r="AJ58" s="183">
        <f>IF(AN58=0,K58,0)</f>
        <v>0</v>
      </c>
      <c r="AK58" s="183">
        <f>IF(AN58=15,K58,0)</f>
        <v>0</v>
      </c>
      <c r="AL58" s="183">
        <f>IF(AN58=21,K58,0)</f>
        <v>0</v>
      </c>
      <c r="AN58" s="183">
        <v>21</v>
      </c>
      <c r="AO58" s="183">
        <f>H58*1</f>
        <v>0</v>
      </c>
      <c r="AP58" s="183">
        <f>H58*(1-1)</f>
        <v>0</v>
      </c>
      <c r="AQ58" s="185" t="s">
        <v>397</v>
      </c>
      <c r="AV58" s="183">
        <f>AW58+AX58</f>
        <v>0</v>
      </c>
      <c r="AW58" s="183">
        <f>G58*AO58</f>
        <v>0</v>
      </c>
      <c r="AX58" s="183">
        <f>G58*AP58</f>
        <v>0</v>
      </c>
      <c r="AY58" s="185" t="s">
        <v>427</v>
      </c>
      <c r="AZ58" s="185" t="s">
        <v>437</v>
      </c>
      <c r="BA58" s="165" t="s">
        <v>438</v>
      </c>
      <c r="BC58" s="183">
        <f>AW58+AX58</f>
        <v>0</v>
      </c>
      <c r="BD58" s="183">
        <f>H58/(100-BE58)*100</f>
        <v>0</v>
      </c>
      <c r="BE58" s="183">
        <v>0</v>
      </c>
      <c r="BF58" s="183">
        <f>M58</f>
        <v>0.00055</v>
      </c>
      <c r="BH58" s="183">
        <f>G58*AO58</f>
        <v>0</v>
      </c>
      <c r="BI58" s="183">
        <f>G58*AP58</f>
        <v>0</v>
      </c>
      <c r="BJ58" s="183">
        <f>G58*H58</f>
        <v>0</v>
      </c>
      <c r="BK58" s="183"/>
      <c r="BL58" s="183"/>
    </row>
    <row r="59" spans="1:64" ht="15" customHeight="1">
      <c r="A59" s="181" t="s">
        <v>41</v>
      </c>
      <c r="B59" s="182"/>
      <c r="C59" s="182" t="s">
        <v>594</v>
      </c>
      <c r="D59" s="154" t="s">
        <v>595</v>
      </c>
      <c r="E59" s="154"/>
      <c r="F59" s="182" t="s">
        <v>367</v>
      </c>
      <c r="G59" s="183">
        <v>35</v>
      </c>
      <c r="H59" s="183"/>
      <c r="I59" s="183">
        <f>G59*AO59</f>
        <v>0</v>
      </c>
      <c r="J59" s="183">
        <f>G59*AP59</f>
        <v>0</v>
      </c>
      <c r="K59" s="183">
        <f>G59*H59</f>
        <v>0</v>
      </c>
      <c r="L59" s="183">
        <v>6E-05</v>
      </c>
      <c r="M59" s="183">
        <f>G59*L59</f>
        <v>0.0021</v>
      </c>
      <c r="N59" s="184" t="s">
        <v>516</v>
      </c>
      <c r="Z59" s="183">
        <f>IF(AQ59="5",BJ59,0)</f>
        <v>0</v>
      </c>
      <c r="AB59" s="183">
        <f>IF(AQ59="1",BH59,0)</f>
        <v>0</v>
      </c>
      <c r="AC59" s="183">
        <f>IF(AQ59="1",BI59,0)</f>
        <v>0</v>
      </c>
      <c r="AD59" s="183">
        <f>IF(AQ59="7",BH59,0)</f>
        <v>0</v>
      </c>
      <c r="AE59" s="183">
        <f>IF(AQ59="7",BI59,0)</f>
        <v>0</v>
      </c>
      <c r="AF59" s="183">
        <f>IF(AQ59="2",BH59,0)</f>
        <v>0</v>
      </c>
      <c r="AG59" s="183">
        <f>IF(AQ59="2",BI59,0)</f>
        <v>0</v>
      </c>
      <c r="AH59" s="183">
        <f>IF(AQ59="0",BJ59,0)</f>
        <v>0</v>
      </c>
      <c r="AI59" s="165"/>
      <c r="AJ59" s="183">
        <f>IF(AN59=0,K59,0)</f>
        <v>0</v>
      </c>
      <c r="AK59" s="183">
        <f>IF(AN59=15,K59,0)</f>
        <v>0</v>
      </c>
      <c r="AL59" s="183">
        <f>IF(AN59=21,K59,0)</f>
        <v>0</v>
      </c>
      <c r="AN59" s="183">
        <v>21</v>
      </c>
      <c r="AO59" s="183">
        <f>H59*1</f>
        <v>0</v>
      </c>
      <c r="AP59" s="183">
        <f>H59*(1-1)</f>
        <v>0</v>
      </c>
      <c r="AQ59" s="185" t="s">
        <v>397</v>
      </c>
      <c r="AV59" s="183">
        <f>AW59+AX59</f>
        <v>0</v>
      </c>
      <c r="AW59" s="183">
        <f>G59*AO59</f>
        <v>0</v>
      </c>
      <c r="AX59" s="183">
        <f>G59*AP59</f>
        <v>0</v>
      </c>
      <c r="AY59" s="185" t="s">
        <v>427</v>
      </c>
      <c r="AZ59" s="185" t="s">
        <v>437</v>
      </c>
      <c r="BA59" s="165" t="s">
        <v>438</v>
      </c>
      <c r="BC59" s="183">
        <f>AW59+AX59</f>
        <v>0</v>
      </c>
      <c r="BD59" s="183">
        <f>H59/(100-BE59)*100</f>
        <v>0</v>
      </c>
      <c r="BE59" s="183">
        <v>0</v>
      </c>
      <c r="BF59" s="183">
        <f>M59</f>
        <v>0.0021</v>
      </c>
      <c r="BH59" s="183">
        <f>G59*AO59</f>
        <v>0</v>
      </c>
      <c r="BI59" s="183">
        <f>G59*AP59</f>
        <v>0</v>
      </c>
      <c r="BJ59" s="183">
        <f>G59*H59</f>
        <v>0</v>
      </c>
      <c r="BK59" s="183"/>
      <c r="BL59" s="183"/>
    </row>
    <row r="60" spans="1:64" ht="15" customHeight="1">
      <c r="A60" s="181" t="s">
        <v>42</v>
      </c>
      <c r="B60" s="182"/>
      <c r="C60" s="182" t="s">
        <v>596</v>
      </c>
      <c r="D60" s="154" t="s">
        <v>597</v>
      </c>
      <c r="E60" s="154"/>
      <c r="F60" s="182" t="s">
        <v>598</v>
      </c>
      <c r="G60" s="183">
        <v>15</v>
      </c>
      <c r="H60" s="183"/>
      <c r="I60" s="183">
        <f>G60*AO60</f>
        <v>0</v>
      </c>
      <c r="J60" s="183">
        <f>G60*AP60</f>
        <v>0</v>
      </c>
      <c r="K60" s="183">
        <f>G60*H60</f>
        <v>0</v>
      </c>
      <c r="L60" s="183">
        <v>0</v>
      </c>
      <c r="M60" s="183">
        <f>G60*L60</f>
        <v>0</v>
      </c>
      <c r="N60" s="184"/>
      <c r="Z60" s="183">
        <f>IF(AQ60="5",BJ60,0)</f>
        <v>0</v>
      </c>
      <c r="AB60" s="183">
        <f>IF(AQ60="1",BH60,0)</f>
        <v>0</v>
      </c>
      <c r="AC60" s="183">
        <f>IF(AQ60="1",BI60,0)</f>
        <v>0</v>
      </c>
      <c r="AD60" s="183">
        <f>IF(AQ60="7",BH60,0)</f>
        <v>0</v>
      </c>
      <c r="AE60" s="183">
        <f>IF(AQ60="7",BI60,0)</f>
        <v>0</v>
      </c>
      <c r="AF60" s="183">
        <f>IF(AQ60="2",BH60,0)</f>
        <v>0</v>
      </c>
      <c r="AG60" s="183">
        <f>IF(AQ60="2",BI60,0)</f>
        <v>0</v>
      </c>
      <c r="AH60" s="183">
        <f>IF(AQ60="0",BJ60,0)</f>
        <v>0</v>
      </c>
      <c r="AI60" s="165"/>
      <c r="AJ60" s="183">
        <f>IF(AN60=0,K60,0)</f>
        <v>0</v>
      </c>
      <c r="AK60" s="183">
        <f>IF(AN60=15,K60,0)</f>
        <v>0</v>
      </c>
      <c r="AL60" s="183">
        <f>IF(AN60=21,K60,0)</f>
        <v>0</v>
      </c>
      <c r="AN60" s="183">
        <v>21</v>
      </c>
      <c r="AO60" s="183">
        <f>H60*1</f>
        <v>0</v>
      </c>
      <c r="AP60" s="183">
        <f>H60*(1-1)</f>
        <v>0</v>
      </c>
      <c r="AQ60" s="185" t="s">
        <v>397</v>
      </c>
      <c r="AV60" s="183">
        <f>AW60+AX60</f>
        <v>0</v>
      </c>
      <c r="AW60" s="183">
        <f>G60*AO60</f>
        <v>0</v>
      </c>
      <c r="AX60" s="183">
        <f>G60*AP60</f>
        <v>0</v>
      </c>
      <c r="AY60" s="185" t="s">
        <v>427</v>
      </c>
      <c r="AZ60" s="185" t="s">
        <v>437</v>
      </c>
      <c r="BA60" s="165" t="s">
        <v>438</v>
      </c>
      <c r="BC60" s="183">
        <f>AW60+AX60</f>
        <v>0</v>
      </c>
      <c r="BD60" s="183">
        <f>H60/(100-BE60)*100</f>
        <v>0</v>
      </c>
      <c r="BE60" s="183">
        <v>0</v>
      </c>
      <c r="BF60" s="183">
        <f>M60</f>
        <v>0</v>
      </c>
      <c r="BH60" s="183">
        <f>G60*AO60</f>
        <v>0</v>
      </c>
      <c r="BI60" s="183">
        <f>G60*AP60</f>
        <v>0</v>
      </c>
      <c r="BJ60" s="183">
        <f>G60*H60</f>
        <v>0</v>
      </c>
      <c r="BK60" s="183"/>
      <c r="BL60" s="183"/>
    </row>
    <row r="61" spans="1:64" ht="15" customHeight="1">
      <c r="A61" s="181" t="s">
        <v>43</v>
      </c>
      <c r="B61" s="182"/>
      <c r="C61" s="182" t="s">
        <v>599</v>
      </c>
      <c r="D61" s="154" t="s">
        <v>600</v>
      </c>
      <c r="E61" s="154"/>
      <c r="F61" s="182" t="s">
        <v>558</v>
      </c>
      <c r="G61" s="183">
        <v>4</v>
      </c>
      <c r="H61" s="183"/>
      <c r="I61" s="183">
        <f>G61*AO61</f>
        <v>0</v>
      </c>
      <c r="J61" s="183">
        <f>G61*AP61</f>
        <v>0</v>
      </c>
      <c r="K61" s="183">
        <f>G61*H61</f>
        <v>0</v>
      </c>
      <c r="L61" s="183">
        <v>0</v>
      </c>
      <c r="M61" s="183">
        <f>G61*L61</f>
        <v>0</v>
      </c>
      <c r="N61" s="184"/>
      <c r="Z61" s="183">
        <f>IF(AQ61="5",BJ61,0)</f>
        <v>0</v>
      </c>
      <c r="AB61" s="183">
        <f>IF(AQ61="1",BH61,0)</f>
        <v>0</v>
      </c>
      <c r="AC61" s="183">
        <f>IF(AQ61="1",BI61,0)</f>
        <v>0</v>
      </c>
      <c r="AD61" s="183">
        <f>IF(AQ61="7",BH61,0)</f>
        <v>0</v>
      </c>
      <c r="AE61" s="183">
        <f>IF(AQ61="7",BI61,0)</f>
        <v>0</v>
      </c>
      <c r="AF61" s="183">
        <f>IF(AQ61="2",BH61,0)</f>
        <v>0</v>
      </c>
      <c r="AG61" s="183">
        <f>IF(AQ61="2",BI61,0)</f>
        <v>0</v>
      </c>
      <c r="AH61" s="183">
        <f>IF(AQ61="0",BJ61,0)</f>
        <v>0</v>
      </c>
      <c r="AI61" s="165"/>
      <c r="AJ61" s="183">
        <f>IF(AN61=0,K61,0)</f>
        <v>0</v>
      </c>
      <c r="AK61" s="183">
        <f>IF(AN61=15,K61,0)</f>
        <v>0</v>
      </c>
      <c r="AL61" s="183">
        <f>IF(AN61=21,K61,0)</f>
        <v>0</v>
      </c>
      <c r="AN61" s="183">
        <v>21</v>
      </c>
      <c r="AO61" s="183">
        <f>H61*1</f>
        <v>0</v>
      </c>
      <c r="AP61" s="183">
        <f>H61*(1-1)</f>
        <v>0</v>
      </c>
      <c r="AQ61" s="185" t="s">
        <v>397</v>
      </c>
      <c r="AV61" s="183">
        <f>AW61+AX61</f>
        <v>0</v>
      </c>
      <c r="AW61" s="183">
        <f>G61*AO61</f>
        <v>0</v>
      </c>
      <c r="AX61" s="183">
        <f>G61*AP61</f>
        <v>0</v>
      </c>
      <c r="AY61" s="185" t="s">
        <v>427</v>
      </c>
      <c r="AZ61" s="185" t="s">
        <v>437</v>
      </c>
      <c r="BA61" s="165" t="s">
        <v>438</v>
      </c>
      <c r="BC61" s="183">
        <f>AW61+AX61</f>
        <v>0</v>
      </c>
      <c r="BD61" s="183">
        <f>H61/(100-BE61)*100</f>
        <v>0</v>
      </c>
      <c r="BE61" s="183">
        <v>0</v>
      </c>
      <c r="BF61" s="183">
        <f>M61</f>
        <v>0</v>
      </c>
      <c r="BH61" s="183">
        <f>G61*AO61</f>
        <v>0</v>
      </c>
      <c r="BI61" s="183">
        <f>G61*AP61</f>
        <v>0</v>
      </c>
      <c r="BJ61" s="183">
        <f>G61*H61</f>
        <v>0</v>
      </c>
      <c r="BK61" s="183"/>
      <c r="BL61" s="183"/>
    </row>
    <row r="62" spans="1:14" ht="13.5" customHeight="1">
      <c r="A62" s="186"/>
      <c r="C62" s="187" t="s">
        <v>519</v>
      </c>
      <c r="D62" s="188" t="s">
        <v>601</v>
      </c>
      <c r="E62" s="188"/>
      <c r="F62" s="188"/>
      <c r="G62" s="188"/>
      <c r="H62" s="188"/>
      <c r="I62" s="188"/>
      <c r="J62" s="188"/>
      <c r="K62" s="188"/>
      <c r="L62" s="188"/>
      <c r="M62" s="188"/>
      <c r="N62" s="188"/>
    </row>
    <row r="63" spans="1:64" ht="15" customHeight="1">
      <c r="A63" s="189" t="s">
        <v>44</v>
      </c>
      <c r="B63" s="190"/>
      <c r="C63" s="190" t="s">
        <v>602</v>
      </c>
      <c r="D63" s="191" t="s">
        <v>603</v>
      </c>
      <c r="E63" s="191"/>
      <c r="F63" s="190" t="s">
        <v>604</v>
      </c>
      <c r="G63" s="192">
        <v>1</v>
      </c>
      <c r="H63" s="192">
        <v>0</v>
      </c>
      <c r="I63" s="192">
        <f>G63*AO63</f>
        <v>0</v>
      </c>
      <c r="J63" s="192">
        <f>G63*AP63</f>
        <v>0</v>
      </c>
      <c r="K63" s="192">
        <f>G63*H63</f>
        <v>0</v>
      </c>
      <c r="L63" s="192">
        <v>0</v>
      </c>
      <c r="M63" s="192">
        <f>G63*L63</f>
        <v>0</v>
      </c>
      <c r="N63" s="193"/>
      <c r="Z63" s="183">
        <f>IF(AQ63="5",BJ63,0)</f>
        <v>0</v>
      </c>
      <c r="AB63" s="183">
        <f>IF(AQ63="1",BH63,0)</f>
        <v>0</v>
      </c>
      <c r="AC63" s="183">
        <f>IF(AQ63="1",BI63,0)</f>
        <v>0</v>
      </c>
      <c r="AD63" s="183">
        <f>IF(AQ63="7",BH63,0)</f>
        <v>0</v>
      </c>
      <c r="AE63" s="183">
        <f>IF(AQ63="7",BI63,0)</f>
        <v>0</v>
      </c>
      <c r="AF63" s="183">
        <f>IF(AQ63="2",BH63,0)</f>
        <v>0</v>
      </c>
      <c r="AG63" s="183">
        <f>IF(AQ63="2",BI63,0)</f>
        <v>0</v>
      </c>
      <c r="AH63" s="183">
        <f>IF(AQ63="0",BJ63,0)</f>
        <v>0</v>
      </c>
      <c r="AI63" s="165"/>
      <c r="AJ63" s="183">
        <f>IF(AN63=0,K63,0)</f>
        <v>0</v>
      </c>
      <c r="AK63" s="183">
        <f>IF(AN63=15,K63,0)</f>
        <v>0</v>
      </c>
      <c r="AL63" s="183">
        <f>IF(AN63=21,K63,0)</f>
        <v>0</v>
      </c>
      <c r="AN63" s="183">
        <v>21</v>
      </c>
      <c r="AO63" s="183">
        <f>H63*1</f>
        <v>0</v>
      </c>
      <c r="AP63" s="183">
        <f>H63*(1-1)</f>
        <v>0</v>
      </c>
      <c r="AQ63" s="185" t="s">
        <v>397</v>
      </c>
      <c r="AV63" s="183">
        <f>AW63+AX63</f>
        <v>0</v>
      </c>
      <c r="AW63" s="183">
        <f>G63*AO63</f>
        <v>0</v>
      </c>
      <c r="AX63" s="183">
        <f>G63*AP63</f>
        <v>0</v>
      </c>
      <c r="AY63" s="185" t="s">
        <v>427</v>
      </c>
      <c r="AZ63" s="185" t="s">
        <v>437</v>
      </c>
      <c r="BA63" s="165" t="s">
        <v>438</v>
      </c>
      <c r="BC63" s="183">
        <f>AW63+AX63</f>
        <v>0</v>
      </c>
      <c r="BD63" s="183">
        <f>H63/(100-BE63)*100</f>
        <v>0</v>
      </c>
      <c r="BE63" s="183">
        <v>0</v>
      </c>
      <c r="BF63" s="183">
        <f>M63</f>
        <v>0</v>
      </c>
      <c r="BH63" s="183">
        <f>G63*AO63</f>
        <v>0</v>
      </c>
      <c r="BI63" s="183">
        <f>G63*AP63</f>
        <v>0</v>
      </c>
      <c r="BJ63" s="183">
        <f>G63*H63</f>
        <v>0</v>
      </c>
      <c r="BK63" s="183"/>
      <c r="BL63" s="183"/>
    </row>
    <row r="64" spans="9:11" ht="15" customHeight="1">
      <c r="I64" s="194" t="s">
        <v>382</v>
      </c>
      <c r="J64" s="194"/>
      <c r="K64" s="195">
        <f>K12+K37</f>
        <v>0</v>
      </c>
    </row>
    <row r="65" ht="15" customHeight="1">
      <c r="A65" s="196" t="s">
        <v>76</v>
      </c>
    </row>
    <row r="66" spans="1:14" ht="12.7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</row>
  </sheetData>
  <sheetProtection selectLockedCells="1" selectUnlockedCells="1"/>
  <mergeCells count="83">
    <mergeCell ref="D62:N62"/>
    <mergeCell ref="D63:E63"/>
    <mergeCell ref="I64:J64"/>
    <mergeCell ref="A66:N66"/>
    <mergeCell ref="D56:E56"/>
    <mergeCell ref="D57:N57"/>
    <mergeCell ref="D58:E58"/>
    <mergeCell ref="D59:E59"/>
    <mergeCell ref="D60:E60"/>
    <mergeCell ref="D61:E61"/>
    <mergeCell ref="D50:E50"/>
    <mergeCell ref="D51:E51"/>
    <mergeCell ref="D52:N52"/>
    <mergeCell ref="D53:E53"/>
    <mergeCell ref="D54:N54"/>
    <mergeCell ref="D55:E55"/>
    <mergeCell ref="D44:E44"/>
    <mergeCell ref="D45:E45"/>
    <mergeCell ref="D46:E46"/>
    <mergeCell ref="D47:E47"/>
    <mergeCell ref="D48:E48"/>
    <mergeCell ref="D49:N49"/>
    <mergeCell ref="D38:E38"/>
    <mergeCell ref="D39:E39"/>
    <mergeCell ref="D40:E40"/>
    <mergeCell ref="D41:N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N27"/>
    <mergeCell ref="D28:E28"/>
    <mergeCell ref="D29:E29"/>
    <mergeCell ref="D30:E30"/>
    <mergeCell ref="D31:E31"/>
    <mergeCell ref="D20:N20"/>
    <mergeCell ref="D21:E21"/>
    <mergeCell ref="D22:N22"/>
    <mergeCell ref="D23:E23"/>
    <mergeCell ref="D24:E24"/>
    <mergeCell ref="D25:N25"/>
    <mergeCell ref="D14:E14"/>
    <mergeCell ref="D15:N15"/>
    <mergeCell ref="D16:E16"/>
    <mergeCell ref="D17:E17"/>
    <mergeCell ref="D18:N18"/>
    <mergeCell ref="D19:E19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Bárta</cp:lastModifiedBy>
  <cp:lastPrinted>2023-06-28T08:47:16Z</cp:lastPrinted>
  <dcterms:created xsi:type="dcterms:W3CDTF">2023-07-24T11:35:46Z</dcterms:created>
  <dcterms:modified xsi:type="dcterms:W3CDTF">2023-07-24T11:44:53Z</dcterms:modified>
  <cp:category/>
  <cp:version/>
  <cp:contentType/>
  <cp:contentStatus/>
</cp:coreProperties>
</file>