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d3ca05e84f73388/Zakázky Já/2024/012_ČL_OKNA_UNIONKA/=ODEVZDÁNÍ=/ROZPOČET/"/>
    </mc:Choice>
  </mc:AlternateContent>
  <xr:revisionPtr revIDLastSave="148" documentId="11_6119CA9EE70F4197207D9D1D0A65CD97C81BD8D4" xr6:coauthVersionLast="47" xr6:coauthVersionMax="47" xr10:uidLastSave="{743603F8-84ED-4486-8EF9-8281AED1C6B2}"/>
  <bookViews>
    <workbookView xWindow="-120" yWindow="-120" windowWidth="29040" windowHeight="15720" xr2:uid="{00000000-000D-0000-FFFF-FFFF00000000}"/>
  </bookViews>
  <sheets>
    <sheet name="Krycí list rozpočtu" sheetId="2" r:id="rId1"/>
    <sheet name="VORN" sheetId="3" r:id="rId2"/>
    <sheet name="Stavební rozpočet" sheetId="1" r:id="rId3"/>
  </sheets>
  <definedNames>
    <definedName name="vorn_sum">VORN!$I$47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F19" i="2"/>
  <c r="I40" i="3"/>
  <c r="I41" i="3"/>
  <c r="I42" i="3"/>
  <c r="I20" i="3"/>
  <c r="I19" i="3"/>
  <c r="I26" i="3"/>
  <c r="I25" i="3"/>
  <c r="I46" i="3"/>
  <c r="I45" i="3"/>
  <c r="I44" i="3"/>
  <c r="I43" i="3"/>
  <c r="I39" i="3"/>
  <c r="I30" i="3"/>
  <c r="I19" i="2" s="1"/>
  <c r="I29" i="3"/>
  <c r="I18" i="2" s="1"/>
  <c r="I28" i="3"/>
  <c r="I17" i="2" s="1"/>
  <c r="I27" i="3"/>
  <c r="I16" i="2" s="1"/>
  <c r="I21" i="3"/>
  <c r="F18" i="2" s="1"/>
  <c r="I18" i="3"/>
  <c r="F17" i="2" s="1"/>
  <c r="I17" i="3"/>
  <c r="F16" i="2" s="1"/>
  <c r="I16" i="3"/>
  <c r="F15" i="2" s="1"/>
  <c r="I15" i="3"/>
  <c r="I10" i="3"/>
  <c r="F10" i="3"/>
  <c r="C10" i="3"/>
  <c r="F8" i="3"/>
  <c r="C8" i="3"/>
  <c r="F6" i="3"/>
  <c r="C6" i="3"/>
  <c r="F4" i="3"/>
  <c r="C4" i="3"/>
  <c r="F2" i="3"/>
  <c r="C2" i="3"/>
  <c r="I15" i="2"/>
  <c r="I10" i="2"/>
  <c r="F10" i="2"/>
  <c r="C10" i="2"/>
  <c r="F8" i="2"/>
  <c r="C8" i="2"/>
  <c r="F6" i="2"/>
  <c r="C6" i="2"/>
  <c r="F4" i="2"/>
  <c r="C4" i="2"/>
  <c r="F2" i="2"/>
  <c r="C2" i="2"/>
  <c r="BJ309" i="1"/>
  <c r="Z309" i="1" s="1"/>
  <c r="BF309" i="1"/>
  <c r="BD309" i="1"/>
  <c r="AW309" i="1"/>
  <c r="AP309" i="1"/>
  <c r="AX309" i="1" s="1"/>
  <c r="AO309" i="1"/>
  <c r="BH309" i="1" s="1"/>
  <c r="AL309" i="1"/>
  <c r="AK309" i="1"/>
  <c r="AT300" i="1" s="1"/>
  <c r="AJ309" i="1"/>
  <c r="AH309" i="1"/>
  <c r="AG309" i="1"/>
  <c r="AF309" i="1"/>
  <c r="AE309" i="1"/>
  <c r="AD309" i="1"/>
  <c r="AC309" i="1"/>
  <c r="AB309" i="1"/>
  <c r="H309" i="1"/>
  <c r="BJ307" i="1"/>
  <c r="BF307" i="1"/>
  <c r="BD307" i="1"/>
  <c r="BC307" i="1"/>
  <c r="AP307" i="1"/>
  <c r="AX307" i="1" s="1"/>
  <c r="AO307" i="1"/>
  <c r="AW307" i="1" s="1"/>
  <c r="AV307" i="1" s="1"/>
  <c r="AK307" i="1"/>
  <c r="AJ307" i="1"/>
  <c r="AH307" i="1"/>
  <c r="AG307" i="1"/>
  <c r="AF307" i="1"/>
  <c r="AE307" i="1"/>
  <c r="AD307" i="1"/>
  <c r="AC307" i="1"/>
  <c r="AB307" i="1"/>
  <c r="Z307" i="1"/>
  <c r="H307" i="1"/>
  <c r="AL307" i="1" s="1"/>
  <c r="BJ304" i="1"/>
  <c r="BH304" i="1"/>
  <c r="BF304" i="1"/>
  <c r="BD304" i="1"/>
  <c r="AX304" i="1"/>
  <c r="AP304" i="1"/>
  <c r="BI304" i="1" s="1"/>
  <c r="AO304" i="1"/>
  <c r="AW304" i="1" s="1"/>
  <c r="AK304" i="1"/>
  <c r="AJ304" i="1"/>
  <c r="AH304" i="1"/>
  <c r="AG304" i="1"/>
  <c r="AF304" i="1"/>
  <c r="AE304" i="1"/>
  <c r="AD304" i="1"/>
  <c r="AC304" i="1"/>
  <c r="AB304" i="1"/>
  <c r="Z304" i="1"/>
  <c r="H304" i="1"/>
  <c r="BJ301" i="1"/>
  <c r="Z301" i="1" s="1"/>
  <c r="BF301" i="1"/>
  <c r="BD301" i="1"/>
  <c r="AX301" i="1"/>
  <c r="AW301" i="1"/>
  <c r="AP301" i="1"/>
  <c r="BI301" i="1" s="1"/>
  <c r="AO301" i="1"/>
  <c r="BH301" i="1" s="1"/>
  <c r="AL301" i="1"/>
  <c r="AK301" i="1"/>
  <c r="AJ301" i="1"/>
  <c r="AH301" i="1"/>
  <c r="AG301" i="1"/>
  <c r="AF301" i="1"/>
  <c r="AE301" i="1"/>
  <c r="AD301" i="1"/>
  <c r="AC301" i="1"/>
  <c r="AB301" i="1"/>
  <c r="H301" i="1"/>
  <c r="BJ298" i="1"/>
  <c r="Z298" i="1" s="1"/>
  <c r="BF298" i="1"/>
  <c r="BD298" i="1"/>
  <c r="AW298" i="1"/>
  <c r="AV298" i="1"/>
  <c r="AP298" i="1"/>
  <c r="AX298" i="1" s="1"/>
  <c r="BC298" i="1" s="1"/>
  <c r="AO298" i="1"/>
  <c r="BH298" i="1" s="1"/>
  <c r="AL298" i="1"/>
  <c r="AK298" i="1"/>
  <c r="AT297" i="1" s="1"/>
  <c r="AJ298" i="1"/>
  <c r="AH298" i="1"/>
  <c r="AG298" i="1"/>
  <c r="AF298" i="1"/>
  <c r="AE298" i="1"/>
  <c r="AD298" i="1"/>
  <c r="AC298" i="1"/>
  <c r="AB298" i="1"/>
  <c r="H298" i="1"/>
  <c r="AU297" i="1"/>
  <c r="AS297" i="1"/>
  <c r="H297" i="1"/>
  <c r="BJ295" i="1"/>
  <c r="BF295" i="1"/>
  <c r="BD295" i="1"/>
  <c r="AP295" i="1"/>
  <c r="AX295" i="1" s="1"/>
  <c r="AO295" i="1"/>
  <c r="AW295" i="1" s="1"/>
  <c r="AK295" i="1"/>
  <c r="AJ295" i="1"/>
  <c r="AH295" i="1"/>
  <c r="AG295" i="1"/>
  <c r="AF295" i="1"/>
  <c r="AE295" i="1"/>
  <c r="AD295" i="1"/>
  <c r="AC295" i="1"/>
  <c r="AB295" i="1"/>
  <c r="Z295" i="1"/>
  <c r="H295" i="1"/>
  <c r="AL295" i="1" s="1"/>
  <c r="AU294" i="1" s="1"/>
  <c r="AT294" i="1"/>
  <c r="AS294" i="1"/>
  <c r="H294" i="1"/>
  <c r="BJ276" i="1"/>
  <c r="BH276" i="1"/>
  <c r="AB276" i="1" s="1"/>
  <c r="BF276" i="1"/>
  <c r="BD276" i="1"/>
  <c r="AX276" i="1"/>
  <c r="AP276" i="1"/>
  <c r="BI276" i="1" s="1"/>
  <c r="AC276" i="1" s="1"/>
  <c r="AO276" i="1"/>
  <c r="AW276" i="1" s="1"/>
  <c r="AK276" i="1"/>
  <c r="AJ276" i="1"/>
  <c r="AH276" i="1"/>
  <c r="AG276" i="1"/>
  <c r="AF276" i="1"/>
  <c r="AE276" i="1"/>
  <c r="AD276" i="1"/>
  <c r="Z276" i="1"/>
  <c r="H276" i="1"/>
  <c r="BJ274" i="1"/>
  <c r="BF274" i="1"/>
  <c r="BD274" i="1"/>
  <c r="AX274" i="1"/>
  <c r="AW274" i="1"/>
  <c r="AP274" i="1"/>
  <c r="BI274" i="1" s="1"/>
  <c r="AC274" i="1" s="1"/>
  <c r="AO274" i="1"/>
  <c r="BH274" i="1" s="1"/>
  <c r="AB274" i="1" s="1"/>
  <c r="AL274" i="1"/>
  <c r="AK274" i="1"/>
  <c r="AJ274" i="1"/>
  <c r="AH274" i="1"/>
  <c r="AG274" i="1"/>
  <c r="AF274" i="1"/>
  <c r="AE274" i="1"/>
  <c r="AD274" i="1"/>
  <c r="Z274" i="1"/>
  <c r="H274" i="1"/>
  <c r="BJ268" i="1"/>
  <c r="BF268" i="1"/>
  <c r="BD268" i="1"/>
  <c r="AW268" i="1"/>
  <c r="AV268" i="1"/>
  <c r="AP268" i="1"/>
  <c r="AX268" i="1" s="1"/>
  <c r="BC268" i="1" s="1"/>
  <c r="AO268" i="1"/>
  <c r="BH268" i="1" s="1"/>
  <c r="AL268" i="1"/>
  <c r="AK268" i="1"/>
  <c r="AT249" i="1" s="1"/>
  <c r="AJ268" i="1"/>
  <c r="AH268" i="1"/>
  <c r="AG268" i="1"/>
  <c r="AF268" i="1"/>
  <c r="AE268" i="1"/>
  <c r="AD268" i="1"/>
  <c r="AB268" i="1"/>
  <c r="Z268" i="1"/>
  <c r="H268" i="1"/>
  <c r="BJ250" i="1"/>
  <c r="BI250" i="1"/>
  <c r="AC250" i="1" s="1"/>
  <c r="BF250" i="1"/>
  <c r="BD250" i="1"/>
  <c r="AP250" i="1"/>
  <c r="AX250" i="1" s="1"/>
  <c r="AO250" i="1"/>
  <c r="AW250" i="1" s="1"/>
  <c r="BC250" i="1" s="1"/>
  <c r="AK250" i="1"/>
  <c r="AJ250" i="1"/>
  <c r="AH250" i="1"/>
  <c r="AG250" i="1"/>
  <c r="AF250" i="1"/>
  <c r="AE250" i="1"/>
  <c r="AD250" i="1"/>
  <c r="Z250" i="1"/>
  <c r="H250" i="1"/>
  <c r="AL250" i="1" s="1"/>
  <c r="AS249" i="1"/>
  <c r="BJ229" i="1"/>
  <c r="BH229" i="1"/>
  <c r="AB229" i="1" s="1"/>
  <c r="BF229" i="1"/>
  <c r="BD229" i="1"/>
  <c r="AX229" i="1"/>
  <c r="AP229" i="1"/>
  <c r="BI229" i="1" s="1"/>
  <c r="AC229" i="1" s="1"/>
  <c r="AO229" i="1"/>
  <c r="AW229" i="1" s="1"/>
  <c r="AK229" i="1"/>
  <c r="AJ229" i="1"/>
  <c r="AH229" i="1"/>
  <c r="AG229" i="1"/>
  <c r="AF229" i="1"/>
  <c r="AE229" i="1"/>
  <c r="AD229" i="1"/>
  <c r="Z229" i="1"/>
  <c r="H229" i="1"/>
  <c r="AL229" i="1" s="1"/>
  <c r="AU228" i="1" s="1"/>
  <c r="AT228" i="1"/>
  <c r="AS228" i="1"/>
  <c r="BJ226" i="1"/>
  <c r="BF226" i="1"/>
  <c r="BD226" i="1"/>
  <c r="AX226" i="1"/>
  <c r="AW226" i="1"/>
  <c r="AP226" i="1"/>
  <c r="BI226" i="1" s="1"/>
  <c r="AC226" i="1" s="1"/>
  <c r="AO226" i="1"/>
  <c r="BH226" i="1" s="1"/>
  <c r="AB226" i="1" s="1"/>
  <c r="AL226" i="1"/>
  <c r="AK226" i="1"/>
  <c r="AJ226" i="1"/>
  <c r="AH226" i="1"/>
  <c r="AG226" i="1"/>
  <c r="AF226" i="1"/>
  <c r="AE226" i="1"/>
  <c r="AD226" i="1"/>
  <c r="Z226" i="1"/>
  <c r="H226" i="1"/>
  <c r="BJ223" i="1"/>
  <c r="BF223" i="1"/>
  <c r="BD223" i="1"/>
  <c r="AW223" i="1"/>
  <c r="AV223" i="1"/>
  <c r="AP223" i="1"/>
  <c r="AX223" i="1" s="1"/>
  <c r="BC223" i="1" s="1"/>
  <c r="AO223" i="1"/>
  <c r="BH223" i="1" s="1"/>
  <c r="AL223" i="1"/>
  <c r="AK223" i="1"/>
  <c r="AJ223" i="1"/>
  <c r="AH223" i="1"/>
  <c r="AG223" i="1"/>
  <c r="AF223" i="1"/>
  <c r="AE223" i="1"/>
  <c r="AD223" i="1"/>
  <c r="AB223" i="1"/>
  <c r="Z223" i="1"/>
  <c r="H223" i="1"/>
  <c r="BJ220" i="1"/>
  <c r="BI220" i="1"/>
  <c r="AC220" i="1" s="1"/>
  <c r="BF220" i="1"/>
  <c r="BD220" i="1"/>
  <c r="AP220" i="1"/>
  <c r="AX220" i="1" s="1"/>
  <c r="AO220" i="1"/>
  <c r="AW220" i="1" s="1"/>
  <c r="BC220" i="1" s="1"/>
  <c r="AK220" i="1"/>
  <c r="AJ220" i="1"/>
  <c r="AH220" i="1"/>
  <c r="AG220" i="1"/>
  <c r="AF220" i="1"/>
  <c r="AE220" i="1"/>
  <c r="AD220" i="1"/>
  <c r="Z220" i="1"/>
  <c r="H220" i="1"/>
  <c r="AL220" i="1" s="1"/>
  <c r="BJ218" i="1"/>
  <c r="BH218" i="1"/>
  <c r="AB218" i="1" s="1"/>
  <c r="BF218" i="1"/>
  <c r="BD218" i="1"/>
  <c r="AX218" i="1"/>
  <c r="AP218" i="1"/>
  <c r="BI218" i="1" s="1"/>
  <c r="AC218" i="1" s="1"/>
  <c r="AO218" i="1"/>
  <c r="AW218" i="1" s="1"/>
  <c r="AK218" i="1"/>
  <c r="AJ218" i="1"/>
  <c r="AH218" i="1"/>
  <c r="AG218" i="1"/>
  <c r="AF218" i="1"/>
  <c r="AE218" i="1"/>
  <c r="AD218" i="1"/>
  <c r="Z218" i="1"/>
  <c r="H218" i="1"/>
  <c r="AL218" i="1" s="1"/>
  <c r="BJ216" i="1"/>
  <c r="BF216" i="1"/>
  <c r="BD216" i="1"/>
  <c r="AX216" i="1"/>
  <c r="AW216" i="1"/>
  <c r="AP216" i="1"/>
  <c r="BI216" i="1" s="1"/>
  <c r="AC216" i="1" s="1"/>
  <c r="AO216" i="1"/>
  <c r="BH216" i="1" s="1"/>
  <c r="AB216" i="1" s="1"/>
  <c r="AL216" i="1"/>
  <c r="AK216" i="1"/>
  <c r="AJ216" i="1"/>
  <c r="AH216" i="1"/>
  <c r="AG216" i="1"/>
  <c r="AF216" i="1"/>
  <c r="AE216" i="1"/>
  <c r="AD216" i="1"/>
  <c r="Z216" i="1"/>
  <c r="H216" i="1"/>
  <c r="BJ214" i="1"/>
  <c r="BF214" i="1"/>
  <c r="BD214" i="1"/>
  <c r="AW214" i="1"/>
  <c r="AV214" i="1"/>
  <c r="AP214" i="1"/>
  <c r="AX214" i="1" s="1"/>
  <c r="BC214" i="1" s="1"/>
  <c r="AO214" i="1"/>
  <c r="BH214" i="1" s="1"/>
  <c r="AL214" i="1"/>
  <c r="AK214" i="1"/>
  <c r="AJ214" i="1"/>
  <c r="AH214" i="1"/>
  <c r="AG214" i="1"/>
  <c r="AF214" i="1"/>
  <c r="AE214" i="1"/>
  <c r="AD214" i="1"/>
  <c r="AB214" i="1"/>
  <c r="Z214" i="1"/>
  <c r="H214" i="1"/>
  <c r="BJ212" i="1"/>
  <c r="BF212" i="1"/>
  <c r="BD212" i="1"/>
  <c r="AP212" i="1"/>
  <c r="AX212" i="1" s="1"/>
  <c r="AO212" i="1"/>
  <c r="AW212" i="1" s="1"/>
  <c r="AK212" i="1"/>
  <c r="AJ212" i="1"/>
  <c r="AH212" i="1"/>
  <c r="AG212" i="1"/>
  <c r="AF212" i="1"/>
  <c r="AE212" i="1"/>
  <c r="AD212" i="1"/>
  <c r="Z212" i="1"/>
  <c r="H212" i="1"/>
  <c r="AL212" i="1" s="1"/>
  <c r="BJ210" i="1"/>
  <c r="BH210" i="1"/>
  <c r="AB210" i="1" s="1"/>
  <c r="BF210" i="1"/>
  <c r="BD210" i="1"/>
  <c r="AX210" i="1"/>
  <c r="AP210" i="1"/>
  <c r="BI210" i="1" s="1"/>
  <c r="AC210" i="1" s="1"/>
  <c r="AO210" i="1"/>
  <c r="AW210" i="1" s="1"/>
  <c r="AK210" i="1"/>
  <c r="AJ210" i="1"/>
  <c r="AH210" i="1"/>
  <c r="AG210" i="1"/>
  <c r="AF210" i="1"/>
  <c r="AE210" i="1"/>
  <c r="AD210" i="1"/>
  <c r="Z210" i="1"/>
  <c r="H210" i="1"/>
  <c r="BJ208" i="1"/>
  <c r="BF208" i="1"/>
  <c r="BD208" i="1"/>
  <c r="AX208" i="1"/>
  <c r="AW208" i="1"/>
  <c r="AP208" i="1"/>
  <c r="BI208" i="1" s="1"/>
  <c r="AC208" i="1" s="1"/>
  <c r="AO208" i="1"/>
  <c r="BH208" i="1" s="1"/>
  <c r="AB208" i="1" s="1"/>
  <c r="AL208" i="1"/>
  <c r="AK208" i="1"/>
  <c r="AJ208" i="1"/>
  <c r="AH208" i="1"/>
  <c r="AG208" i="1"/>
  <c r="AF208" i="1"/>
  <c r="AE208" i="1"/>
  <c r="AD208" i="1"/>
  <c r="Z208" i="1"/>
  <c r="H208" i="1"/>
  <c r="BJ206" i="1"/>
  <c r="BF206" i="1"/>
  <c r="BD206" i="1"/>
  <c r="AW206" i="1"/>
  <c r="AV206" i="1"/>
  <c r="AP206" i="1"/>
  <c r="AX206" i="1" s="1"/>
  <c r="BC206" i="1" s="1"/>
  <c r="AO206" i="1"/>
  <c r="BH206" i="1" s="1"/>
  <c r="AL206" i="1"/>
  <c r="AK206" i="1"/>
  <c r="AT203" i="1" s="1"/>
  <c r="AJ206" i="1"/>
  <c r="AH206" i="1"/>
  <c r="AG206" i="1"/>
  <c r="AF206" i="1"/>
  <c r="AE206" i="1"/>
  <c r="AD206" i="1"/>
  <c r="AB206" i="1"/>
  <c r="Z206" i="1"/>
  <c r="H206" i="1"/>
  <c r="BJ204" i="1"/>
  <c r="BF204" i="1"/>
  <c r="BD204" i="1"/>
  <c r="AP204" i="1"/>
  <c r="AX204" i="1" s="1"/>
  <c r="AO204" i="1"/>
  <c r="AW204" i="1" s="1"/>
  <c r="AK204" i="1"/>
  <c r="AJ204" i="1"/>
  <c r="AH204" i="1"/>
  <c r="AG204" i="1"/>
  <c r="AF204" i="1"/>
  <c r="AE204" i="1"/>
  <c r="AD204" i="1"/>
  <c r="Z204" i="1"/>
  <c r="H204" i="1"/>
  <c r="AL204" i="1" s="1"/>
  <c r="AS203" i="1"/>
  <c r="BJ201" i="1"/>
  <c r="BH201" i="1"/>
  <c r="AB201" i="1" s="1"/>
  <c r="BF201" i="1"/>
  <c r="BD201" i="1"/>
  <c r="AX201" i="1"/>
  <c r="AP201" i="1"/>
  <c r="BI201" i="1" s="1"/>
  <c r="AC201" i="1" s="1"/>
  <c r="AO201" i="1"/>
  <c r="AW201" i="1" s="1"/>
  <c r="AK201" i="1"/>
  <c r="AJ201" i="1"/>
  <c r="AH201" i="1"/>
  <c r="AG201" i="1"/>
  <c r="AF201" i="1"/>
  <c r="AE201" i="1"/>
  <c r="AD201" i="1"/>
  <c r="Z201" i="1"/>
  <c r="H201" i="1"/>
  <c r="AL201" i="1" s="1"/>
  <c r="AU200" i="1" s="1"/>
  <c r="AT200" i="1"/>
  <c r="AS200" i="1"/>
  <c r="BJ198" i="1"/>
  <c r="BF198" i="1"/>
  <c r="BD198" i="1"/>
  <c r="AX198" i="1"/>
  <c r="AW198" i="1"/>
  <c r="AP198" i="1"/>
  <c r="BI198" i="1" s="1"/>
  <c r="AE198" i="1" s="1"/>
  <c r="AO198" i="1"/>
  <c r="BH198" i="1" s="1"/>
  <c r="AD198" i="1" s="1"/>
  <c r="AL198" i="1"/>
  <c r="AK198" i="1"/>
  <c r="AJ198" i="1"/>
  <c r="AH198" i="1"/>
  <c r="AG198" i="1"/>
  <c r="AF198" i="1"/>
  <c r="AC198" i="1"/>
  <c r="AB198" i="1"/>
  <c r="Z198" i="1"/>
  <c r="H198" i="1"/>
  <c r="AU197" i="1"/>
  <c r="AT197" i="1"/>
  <c r="AS197" i="1"/>
  <c r="H197" i="1"/>
  <c r="BJ191" i="1"/>
  <c r="BI191" i="1"/>
  <c r="AE191" i="1" s="1"/>
  <c r="BF191" i="1"/>
  <c r="BD191" i="1"/>
  <c r="BC191" i="1"/>
  <c r="AW191" i="1"/>
  <c r="AP191" i="1"/>
  <c r="AX191" i="1" s="1"/>
  <c r="AV191" i="1" s="1"/>
  <c r="AO191" i="1"/>
  <c r="BH191" i="1" s="1"/>
  <c r="AD191" i="1" s="1"/>
  <c r="AL191" i="1"/>
  <c r="AK191" i="1"/>
  <c r="AJ191" i="1"/>
  <c r="AH191" i="1"/>
  <c r="AG191" i="1"/>
  <c r="AF191" i="1"/>
  <c r="AC191" i="1"/>
  <c r="AB191" i="1"/>
  <c r="Z191" i="1"/>
  <c r="H191" i="1"/>
  <c r="BJ185" i="1"/>
  <c r="BI185" i="1"/>
  <c r="AE185" i="1" s="1"/>
  <c r="BF185" i="1"/>
  <c r="BD185" i="1"/>
  <c r="AP185" i="1"/>
  <c r="AX185" i="1" s="1"/>
  <c r="AO185" i="1"/>
  <c r="AK185" i="1"/>
  <c r="AT178" i="1" s="1"/>
  <c r="AJ185" i="1"/>
  <c r="AH185" i="1"/>
  <c r="AG185" i="1"/>
  <c r="AF185" i="1"/>
  <c r="AC185" i="1"/>
  <c r="AB185" i="1"/>
  <c r="Z185" i="1"/>
  <c r="H185" i="1"/>
  <c r="AL185" i="1" s="1"/>
  <c r="BJ179" i="1"/>
  <c r="BH179" i="1"/>
  <c r="AD179" i="1" s="1"/>
  <c r="BF179" i="1"/>
  <c r="BD179" i="1"/>
  <c r="AX179" i="1"/>
  <c r="AW179" i="1"/>
  <c r="AP179" i="1"/>
  <c r="BI179" i="1" s="1"/>
  <c r="AE179" i="1" s="1"/>
  <c r="AO179" i="1"/>
  <c r="AL179" i="1"/>
  <c r="AU178" i="1" s="1"/>
  <c r="AK179" i="1"/>
  <c r="AJ179" i="1"/>
  <c r="AH179" i="1"/>
  <c r="AG179" i="1"/>
  <c r="AF179" i="1"/>
  <c r="AC179" i="1"/>
  <c r="AB179" i="1"/>
  <c r="Z179" i="1"/>
  <c r="H179" i="1"/>
  <c r="AS178" i="1"/>
  <c r="H178" i="1"/>
  <c r="BJ159" i="1"/>
  <c r="BF159" i="1"/>
  <c r="BD159" i="1"/>
  <c r="AX159" i="1"/>
  <c r="AP159" i="1"/>
  <c r="BI159" i="1" s="1"/>
  <c r="AE159" i="1" s="1"/>
  <c r="AO159" i="1"/>
  <c r="BH159" i="1" s="1"/>
  <c r="AD159" i="1" s="1"/>
  <c r="AK159" i="1"/>
  <c r="AJ159" i="1"/>
  <c r="AH159" i="1"/>
  <c r="AG159" i="1"/>
  <c r="AF159" i="1"/>
  <c r="AC159" i="1"/>
  <c r="AB159" i="1"/>
  <c r="Z159" i="1"/>
  <c r="H159" i="1"/>
  <c r="AL159" i="1" s="1"/>
  <c r="BJ156" i="1"/>
  <c r="BF156" i="1"/>
  <c r="BD156" i="1"/>
  <c r="AW156" i="1"/>
  <c r="BC156" i="1" s="1"/>
  <c r="AV156" i="1"/>
  <c r="AP156" i="1"/>
  <c r="AX156" i="1" s="1"/>
  <c r="AO156" i="1"/>
  <c r="BH156" i="1" s="1"/>
  <c r="AD156" i="1" s="1"/>
  <c r="AL156" i="1"/>
  <c r="AK156" i="1"/>
  <c r="AJ156" i="1"/>
  <c r="AH156" i="1"/>
  <c r="AG156" i="1"/>
  <c r="AF156" i="1"/>
  <c r="AC156" i="1"/>
  <c r="AB156" i="1"/>
  <c r="Z156" i="1"/>
  <c r="H156" i="1"/>
  <c r="BJ153" i="1"/>
  <c r="BH153" i="1"/>
  <c r="AD153" i="1" s="1"/>
  <c r="BF153" i="1"/>
  <c r="BD153" i="1"/>
  <c r="AX153" i="1"/>
  <c r="AV153" i="1" s="1"/>
  <c r="AP153" i="1"/>
  <c r="BI153" i="1" s="1"/>
  <c r="AE153" i="1" s="1"/>
  <c r="AO153" i="1"/>
  <c r="AW153" i="1" s="1"/>
  <c r="AK153" i="1"/>
  <c r="AJ153" i="1"/>
  <c r="AH153" i="1"/>
  <c r="AG153" i="1"/>
  <c r="AF153" i="1"/>
  <c r="AC153" i="1"/>
  <c r="AB153" i="1"/>
  <c r="Z153" i="1"/>
  <c r="H153" i="1"/>
  <c r="AL153" i="1" s="1"/>
  <c r="BJ150" i="1"/>
  <c r="BI150" i="1"/>
  <c r="AE150" i="1" s="1"/>
  <c r="BF150" i="1"/>
  <c r="BD150" i="1"/>
  <c r="AX150" i="1"/>
  <c r="AP150" i="1"/>
  <c r="AO150" i="1"/>
  <c r="AK150" i="1"/>
  <c r="AJ150" i="1"/>
  <c r="AH150" i="1"/>
  <c r="AG150" i="1"/>
  <c r="AF150" i="1"/>
  <c r="AC150" i="1"/>
  <c r="AB150" i="1"/>
  <c r="Z150" i="1"/>
  <c r="H150" i="1"/>
  <c r="AL150" i="1" s="1"/>
  <c r="BJ147" i="1"/>
  <c r="BF147" i="1"/>
  <c r="BD147" i="1"/>
  <c r="AX147" i="1"/>
  <c r="AP147" i="1"/>
  <c r="BI147" i="1" s="1"/>
  <c r="AE147" i="1" s="1"/>
  <c r="AO147" i="1"/>
  <c r="BH147" i="1" s="1"/>
  <c r="AK147" i="1"/>
  <c r="AJ147" i="1"/>
  <c r="AH147" i="1"/>
  <c r="AG147" i="1"/>
  <c r="AF147" i="1"/>
  <c r="AD147" i="1"/>
  <c r="AC147" i="1"/>
  <c r="AB147" i="1"/>
  <c r="Z147" i="1"/>
  <c r="H147" i="1"/>
  <c r="AL147" i="1" s="1"/>
  <c r="BJ144" i="1"/>
  <c r="BF144" i="1"/>
  <c r="BD144" i="1"/>
  <c r="AW144" i="1"/>
  <c r="AP144" i="1"/>
  <c r="AO144" i="1"/>
  <c r="BH144" i="1" s="1"/>
  <c r="AD144" i="1" s="1"/>
  <c r="AK144" i="1"/>
  <c r="AJ144" i="1"/>
  <c r="AH144" i="1"/>
  <c r="AG144" i="1"/>
  <c r="AF144" i="1"/>
  <c r="AC144" i="1"/>
  <c r="AB144" i="1"/>
  <c r="Z144" i="1"/>
  <c r="H144" i="1"/>
  <c r="AL144" i="1" s="1"/>
  <c r="BJ141" i="1"/>
  <c r="BF141" i="1"/>
  <c r="BD141" i="1"/>
  <c r="AW141" i="1"/>
  <c r="AP141" i="1"/>
  <c r="BI141" i="1" s="1"/>
  <c r="AE141" i="1" s="1"/>
  <c r="AO141" i="1"/>
  <c r="BH141" i="1" s="1"/>
  <c r="AD141" i="1" s="1"/>
  <c r="AL141" i="1"/>
  <c r="AK141" i="1"/>
  <c r="AJ141" i="1"/>
  <c r="AH141" i="1"/>
  <c r="AG141" i="1"/>
  <c r="AF141" i="1"/>
  <c r="AC141" i="1"/>
  <c r="AB141" i="1"/>
  <c r="Z141" i="1"/>
  <c r="H141" i="1"/>
  <c r="BJ138" i="1"/>
  <c r="BF138" i="1"/>
  <c r="BD138" i="1"/>
  <c r="AP138" i="1"/>
  <c r="BI138" i="1" s="1"/>
  <c r="AE138" i="1" s="1"/>
  <c r="AO138" i="1"/>
  <c r="BH138" i="1" s="1"/>
  <c r="AD138" i="1" s="1"/>
  <c r="AK138" i="1"/>
  <c r="AJ138" i="1"/>
  <c r="AH138" i="1"/>
  <c r="AG138" i="1"/>
  <c r="AF138" i="1"/>
  <c r="AC138" i="1"/>
  <c r="AB138" i="1"/>
  <c r="Z138" i="1"/>
  <c r="H138" i="1"/>
  <c r="AL138" i="1" s="1"/>
  <c r="BJ135" i="1"/>
  <c r="BF135" i="1"/>
  <c r="BD135" i="1"/>
  <c r="AP135" i="1"/>
  <c r="AX135" i="1" s="1"/>
  <c r="AO135" i="1"/>
  <c r="BH135" i="1" s="1"/>
  <c r="AD135" i="1" s="1"/>
  <c r="AK135" i="1"/>
  <c r="AJ135" i="1"/>
  <c r="AH135" i="1"/>
  <c r="AG135" i="1"/>
  <c r="AF135" i="1"/>
  <c r="AC135" i="1"/>
  <c r="AB135" i="1"/>
  <c r="Z135" i="1"/>
  <c r="H135" i="1"/>
  <c r="AL135" i="1" s="1"/>
  <c r="BJ132" i="1"/>
  <c r="BH132" i="1"/>
  <c r="AD132" i="1" s="1"/>
  <c r="BF132" i="1"/>
  <c r="BD132" i="1"/>
  <c r="AX132" i="1"/>
  <c r="AP132" i="1"/>
  <c r="BI132" i="1" s="1"/>
  <c r="AE132" i="1" s="1"/>
  <c r="AO132" i="1"/>
  <c r="AW132" i="1" s="1"/>
  <c r="AK132" i="1"/>
  <c r="AJ132" i="1"/>
  <c r="AH132" i="1"/>
  <c r="AG132" i="1"/>
  <c r="AF132" i="1"/>
  <c r="AC132" i="1"/>
  <c r="AB132" i="1"/>
  <c r="Z132" i="1"/>
  <c r="H132" i="1"/>
  <c r="AL132" i="1" s="1"/>
  <c r="BJ129" i="1"/>
  <c r="BF129" i="1"/>
  <c r="BD129" i="1"/>
  <c r="AW129" i="1"/>
  <c r="AP129" i="1"/>
  <c r="BI129" i="1" s="1"/>
  <c r="AE129" i="1" s="1"/>
  <c r="AO129" i="1"/>
  <c r="BH129" i="1" s="1"/>
  <c r="AD129" i="1" s="1"/>
  <c r="AL129" i="1"/>
  <c r="AK129" i="1"/>
  <c r="AJ129" i="1"/>
  <c r="AH129" i="1"/>
  <c r="AG129" i="1"/>
  <c r="AF129" i="1"/>
  <c r="AC129" i="1"/>
  <c r="AB129" i="1"/>
  <c r="Z129" i="1"/>
  <c r="H129" i="1"/>
  <c r="BJ126" i="1"/>
  <c r="BF126" i="1"/>
  <c r="BD126" i="1"/>
  <c r="AP126" i="1"/>
  <c r="BI126" i="1" s="1"/>
  <c r="AE126" i="1" s="1"/>
  <c r="AO126" i="1"/>
  <c r="BH126" i="1" s="1"/>
  <c r="AD126" i="1" s="1"/>
  <c r="AK126" i="1"/>
  <c r="AJ126" i="1"/>
  <c r="AH126" i="1"/>
  <c r="AG126" i="1"/>
  <c r="AF126" i="1"/>
  <c r="AC126" i="1"/>
  <c r="AB126" i="1"/>
  <c r="Z126" i="1"/>
  <c r="H126" i="1"/>
  <c r="AL126" i="1" s="1"/>
  <c r="BJ123" i="1"/>
  <c r="BF123" i="1"/>
  <c r="BD123" i="1"/>
  <c r="AP123" i="1"/>
  <c r="AX123" i="1" s="1"/>
  <c r="AO123" i="1"/>
  <c r="BH123" i="1" s="1"/>
  <c r="AD123" i="1" s="1"/>
  <c r="AK123" i="1"/>
  <c r="AJ123" i="1"/>
  <c r="AH123" i="1"/>
  <c r="AG123" i="1"/>
  <c r="AF123" i="1"/>
  <c r="AC123" i="1"/>
  <c r="AB123" i="1"/>
  <c r="Z123" i="1"/>
  <c r="H123" i="1"/>
  <c r="AL123" i="1" s="1"/>
  <c r="BJ119" i="1"/>
  <c r="BF119" i="1"/>
  <c r="BD119" i="1"/>
  <c r="AX119" i="1"/>
  <c r="AP119" i="1"/>
  <c r="BI119" i="1" s="1"/>
  <c r="AE119" i="1" s="1"/>
  <c r="AO119" i="1"/>
  <c r="AW119" i="1" s="1"/>
  <c r="AK119" i="1"/>
  <c r="AJ119" i="1"/>
  <c r="AH119" i="1"/>
  <c r="AG119" i="1"/>
  <c r="AF119" i="1"/>
  <c r="AC119" i="1"/>
  <c r="AB119" i="1"/>
  <c r="Z119" i="1"/>
  <c r="H119" i="1"/>
  <c r="AL119" i="1" s="1"/>
  <c r="BJ114" i="1"/>
  <c r="BF114" i="1"/>
  <c r="BD114" i="1"/>
  <c r="AW114" i="1"/>
  <c r="AP114" i="1"/>
  <c r="BI114" i="1" s="1"/>
  <c r="AE114" i="1" s="1"/>
  <c r="AO114" i="1"/>
  <c r="BH114" i="1" s="1"/>
  <c r="AD114" i="1" s="1"/>
  <c r="AL114" i="1"/>
  <c r="AK114" i="1"/>
  <c r="AJ114" i="1"/>
  <c r="AH114" i="1"/>
  <c r="AG114" i="1"/>
  <c r="AF114" i="1"/>
  <c r="AC114" i="1"/>
  <c r="AB114" i="1"/>
  <c r="Z114" i="1"/>
  <c r="H114" i="1"/>
  <c r="BJ111" i="1"/>
  <c r="BF111" i="1"/>
  <c r="BD111" i="1"/>
  <c r="AP111" i="1"/>
  <c r="BI111" i="1" s="1"/>
  <c r="AE111" i="1" s="1"/>
  <c r="AO111" i="1"/>
  <c r="BH111" i="1" s="1"/>
  <c r="AD111" i="1" s="1"/>
  <c r="AK111" i="1"/>
  <c r="AJ111" i="1"/>
  <c r="AH111" i="1"/>
  <c r="AG111" i="1"/>
  <c r="AF111" i="1"/>
  <c r="AC111" i="1"/>
  <c r="AB111" i="1"/>
  <c r="Z111" i="1"/>
  <c r="H111" i="1"/>
  <c r="AL111" i="1" s="1"/>
  <c r="BJ108" i="1"/>
  <c r="BF108" i="1"/>
  <c r="BD108" i="1"/>
  <c r="AP108" i="1"/>
  <c r="AX108" i="1" s="1"/>
  <c r="AO108" i="1"/>
  <c r="BH108" i="1" s="1"/>
  <c r="AD108" i="1" s="1"/>
  <c r="AK108" i="1"/>
  <c r="AJ108" i="1"/>
  <c r="AH108" i="1"/>
  <c r="AG108" i="1"/>
  <c r="AF108" i="1"/>
  <c r="AC108" i="1"/>
  <c r="AB108" i="1"/>
  <c r="Z108" i="1"/>
  <c r="H108" i="1"/>
  <c r="AL108" i="1" s="1"/>
  <c r="BJ104" i="1"/>
  <c r="BH104" i="1"/>
  <c r="AD104" i="1" s="1"/>
  <c r="BF104" i="1"/>
  <c r="BD104" i="1"/>
  <c r="AX104" i="1"/>
  <c r="AP104" i="1"/>
  <c r="BI104" i="1" s="1"/>
  <c r="AE104" i="1" s="1"/>
  <c r="AO104" i="1"/>
  <c r="AW104" i="1" s="1"/>
  <c r="AK104" i="1"/>
  <c r="AJ104" i="1"/>
  <c r="AH104" i="1"/>
  <c r="AG104" i="1"/>
  <c r="AF104" i="1"/>
  <c r="AC104" i="1"/>
  <c r="AB104" i="1"/>
  <c r="Z104" i="1"/>
  <c r="H104" i="1"/>
  <c r="AL104" i="1" s="1"/>
  <c r="BJ101" i="1"/>
  <c r="BF101" i="1"/>
  <c r="BD101" i="1"/>
  <c r="AW101" i="1"/>
  <c r="AP101" i="1"/>
  <c r="BI101" i="1" s="1"/>
  <c r="AE101" i="1" s="1"/>
  <c r="AO101" i="1"/>
  <c r="BH101" i="1" s="1"/>
  <c r="AD101" i="1" s="1"/>
  <c r="AL101" i="1"/>
  <c r="AK101" i="1"/>
  <c r="AJ101" i="1"/>
  <c r="AH101" i="1"/>
  <c r="AG101" i="1"/>
  <c r="AF101" i="1"/>
  <c r="AC101" i="1"/>
  <c r="AB101" i="1"/>
  <c r="Z101" i="1"/>
  <c r="H101" i="1"/>
  <c r="BJ98" i="1"/>
  <c r="BF98" i="1"/>
  <c r="BD98" i="1"/>
  <c r="AP98" i="1"/>
  <c r="BI98" i="1" s="1"/>
  <c r="AE98" i="1" s="1"/>
  <c r="AO98" i="1"/>
  <c r="BH98" i="1" s="1"/>
  <c r="AD98" i="1" s="1"/>
  <c r="AK98" i="1"/>
  <c r="AJ98" i="1"/>
  <c r="AH98" i="1"/>
  <c r="AG98" i="1"/>
  <c r="AF98" i="1"/>
  <c r="AC98" i="1"/>
  <c r="AB98" i="1"/>
  <c r="Z98" i="1"/>
  <c r="H98" i="1"/>
  <c r="AL98" i="1" s="1"/>
  <c r="BJ94" i="1"/>
  <c r="BF94" i="1"/>
  <c r="BD94" i="1"/>
  <c r="AP94" i="1"/>
  <c r="AX94" i="1" s="1"/>
  <c r="AO94" i="1"/>
  <c r="BH94" i="1" s="1"/>
  <c r="AD94" i="1" s="1"/>
  <c r="AK94" i="1"/>
  <c r="AJ94" i="1"/>
  <c r="AH94" i="1"/>
  <c r="AG94" i="1"/>
  <c r="AF94" i="1"/>
  <c r="AC94" i="1"/>
  <c r="AB94" i="1"/>
  <c r="Z94" i="1"/>
  <c r="H94" i="1"/>
  <c r="AL94" i="1" s="1"/>
  <c r="BJ91" i="1"/>
  <c r="BF91" i="1"/>
  <c r="BD91" i="1"/>
  <c r="AX91" i="1"/>
  <c r="AP91" i="1"/>
  <c r="BI91" i="1" s="1"/>
  <c r="AE91" i="1" s="1"/>
  <c r="AO91" i="1"/>
  <c r="AW91" i="1" s="1"/>
  <c r="AK91" i="1"/>
  <c r="AJ91" i="1"/>
  <c r="AH91" i="1"/>
  <c r="AG91" i="1"/>
  <c r="AF91" i="1"/>
  <c r="AC91" i="1"/>
  <c r="AB91" i="1"/>
  <c r="Z91" i="1"/>
  <c r="H91" i="1"/>
  <c r="AL91" i="1" s="1"/>
  <c r="BJ88" i="1"/>
  <c r="BF88" i="1"/>
  <c r="BD88" i="1"/>
  <c r="AW88" i="1"/>
  <c r="AP88" i="1"/>
  <c r="BI88" i="1" s="1"/>
  <c r="AE88" i="1" s="1"/>
  <c r="AO88" i="1"/>
  <c r="BH88" i="1" s="1"/>
  <c r="AD88" i="1" s="1"/>
  <c r="AL88" i="1"/>
  <c r="AK88" i="1"/>
  <c r="AJ88" i="1"/>
  <c r="AH88" i="1"/>
  <c r="AG88" i="1"/>
  <c r="AF88" i="1"/>
  <c r="AC88" i="1"/>
  <c r="AB88" i="1"/>
  <c r="Z88" i="1"/>
  <c r="H88" i="1"/>
  <c r="BJ85" i="1"/>
  <c r="BF85" i="1"/>
  <c r="BD85" i="1"/>
  <c r="AP85" i="1"/>
  <c r="BI85" i="1" s="1"/>
  <c r="AE85" i="1" s="1"/>
  <c r="AO85" i="1"/>
  <c r="BH85" i="1" s="1"/>
  <c r="AD85" i="1" s="1"/>
  <c r="AK85" i="1"/>
  <c r="AJ85" i="1"/>
  <c r="AH85" i="1"/>
  <c r="AG85" i="1"/>
  <c r="AF85" i="1"/>
  <c r="AC85" i="1"/>
  <c r="AB85" i="1"/>
  <c r="Z85" i="1"/>
  <c r="H85" i="1"/>
  <c r="AL85" i="1" s="1"/>
  <c r="BJ82" i="1"/>
  <c r="BF82" i="1"/>
  <c r="BD82" i="1"/>
  <c r="AP82" i="1"/>
  <c r="AX82" i="1" s="1"/>
  <c r="AO82" i="1"/>
  <c r="AK82" i="1"/>
  <c r="AJ82" i="1"/>
  <c r="AH82" i="1"/>
  <c r="AG82" i="1"/>
  <c r="AF82" i="1"/>
  <c r="AC82" i="1"/>
  <c r="AB82" i="1"/>
  <c r="Z82" i="1"/>
  <c r="H82" i="1"/>
  <c r="AL82" i="1" s="1"/>
  <c r="BJ79" i="1"/>
  <c r="BH79" i="1"/>
  <c r="BF79" i="1"/>
  <c r="BD79" i="1"/>
  <c r="AX79" i="1"/>
  <c r="AW79" i="1"/>
  <c r="AP79" i="1"/>
  <c r="BI79" i="1" s="1"/>
  <c r="AE79" i="1" s="1"/>
  <c r="AO79" i="1"/>
  <c r="AK79" i="1"/>
  <c r="AJ79" i="1"/>
  <c r="AH79" i="1"/>
  <c r="AG79" i="1"/>
  <c r="AF79" i="1"/>
  <c r="AD79" i="1"/>
  <c r="AC79" i="1"/>
  <c r="AB79" i="1"/>
  <c r="Z79" i="1"/>
  <c r="H79" i="1"/>
  <c r="AL79" i="1" s="1"/>
  <c r="BJ76" i="1"/>
  <c r="BF76" i="1"/>
  <c r="BD76" i="1"/>
  <c r="AW76" i="1"/>
  <c r="AP76" i="1"/>
  <c r="BI76" i="1" s="1"/>
  <c r="AE76" i="1" s="1"/>
  <c r="AO76" i="1"/>
  <c r="BH76" i="1" s="1"/>
  <c r="AD76" i="1" s="1"/>
  <c r="AL76" i="1"/>
  <c r="AK76" i="1"/>
  <c r="AJ76" i="1"/>
  <c r="AH76" i="1"/>
  <c r="AG76" i="1"/>
  <c r="AF76" i="1"/>
  <c r="AC76" i="1"/>
  <c r="AB76" i="1"/>
  <c r="Z76" i="1"/>
  <c r="H76" i="1"/>
  <c r="BJ73" i="1"/>
  <c r="BF73" i="1"/>
  <c r="BD73" i="1"/>
  <c r="AP73" i="1"/>
  <c r="AX73" i="1" s="1"/>
  <c r="AO73" i="1"/>
  <c r="BH73" i="1" s="1"/>
  <c r="AD73" i="1" s="1"/>
  <c r="AK73" i="1"/>
  <c r="AJ73" i="1"/>
  <c r="AH73" i="1"/>
  <c r="AG73" i="1"/>
  <c r="AF73" i="1"/>
  <c r="AC73" i="1"/>
  <c r="AB73" i="1"/>
  <c r="Z73" i="1"/>
  <c r="H73" i="1"/>
  <c r="AL73" i="1" s="1"/>
  <c r="BJ70" i="1"/>
  <c r="BF70" i="1"/>
  <c r="BD70" i="1"/>
  <c r="AP70" i="1"/>
  <c r="BI70" i="1" s="1"/>
  <c r="AE70" i="1" s="1"/>
  <c r="AO70" i="1"/>
  <c r="AW70" i="1" s="1"/>
  <c r="AK70" i="1"/>
  <c r="AJ70" i="1"/>
  <c r="AH70" i="1"/>
  <c r="AG70" i="1"/>
  <c r="AF70" i="1"/>
  <c r="AC70" i="1"/>
  <c r="AB70" i="1"/>
  <c r="Z70" i="1"/>
  <c r="H70" i="1"/>
  <c r="AL70" i="1" s="1"/>
  <c r="BJ67" i="1"/>
  <c r="BF67" i="1"/>
  <c r="BD67" i="1"/>
  <c r="AX67" i="1"/>
  <c r="AP67" i="1"/>
  <c r="BI67" i="1" s="1"/>
  <c r="AE67" i="1" s="1"/>
  <c r="AO67" i="1"/>
  <c r="BH67" i="1" s="1"/>
  <c r="AD67" i="1" s="1"/>
  <c r="AL67" i="1"/>
  <c r="AK67" i="1"/>
  <c r="AJ67" i="1"/>
  <c r="AH67" i="1"/>
  <c r="AG67" i="1"/>
  <c r="AF67" i="1"/>
  <c r="AC67" i="1"/>
  <c r="AB67" i="1"/>
  <c r="Z67" i="1"/>
  <c r="H67" i="1"/>
  <c r="BJ64" i="1"/>
  <c r="BF64" i="1"/>
  <c r="BD64" i="1"/>
  <c r="AW64" i="1"/>
  <c r="AP64" i="1"/>
  <c r="BI64" i="1" s="1"/>
  <c r="AE64" i="1" s="1"/>
  <c r="AO64" i="1"/>
  <c r="BH64" i="1" s="1"/>
  <c r="AD64" i="1" s="1"/>
  <c r="AL64" i="1"/>
  <c r="AK64" i="1"/>
  <c r="AJ64" i="1"/>
  <c r="AH64" i="1"/>
  <c r="AG64" i="1"/>
  <c r="AF64" i="1"/>
  <c r="AC64" i="1"/>
  <c r="AB64" i="1"/>
  <c r="Z64" i="1"/>
  <c r="H64" i="1"/>
  <c r="BJ61" i="1"/>
  <c r="BF61" i="1"/>
  <c r="BD61" i="1"/>
  <c r="AP61" i="1"/>
  <c r="AX61" i="1" s="1"/>
  <c r="AO61" i="1"/>
  <c r="BH61" i="1" s="1"/>
  <c r="AD61" i="1" s="1"/>
  <c r="AK61" i="1"/>
  <c r="AT55" i="1" s="1"/>
  <c r="AJ61" i="1"/>
  <c r="AH61" i="1"/>
  <c r="AG61" i="1"/>
  <c r="AF61" i="1"/>
  <c r="AC61" i="1"/>
  <c r="AB61" i="1"/>
  <c r="Z61" i="1"/>
  <c r="H61" i="1"/>
  <c r="AL61" i="1" s="1"/>
  <c r="BJ59" i="1"/>
  <c r="BF59" i="1"/>
  <c r="BD59" i="1"/>
  <c r="AX59" i="1"/>
  <c r="AP59" i="1"/>
  <c r="BI59" i="1" s="1"/>
  <c r="AE59" i="1" s="1"/>
  <c r="AO59" i="1"/>
  <c r="AW59" i="1" s="1"/>
  <c r="AK59" i="1"/>
  <c r="AJ59" i="1"/>
  <c r="AS55" i="1" s="1"/>
  <c r="AH59" i="1"/>
  <c r="AG59" i="1"/>
  <c r="AF59" i="1"/>
  <c r="AC59" i="1"/>
  <c r="AB59" i="1"/>
  <c r="Z59" i="1"/>
  <c r="H59" i="1"/>
  <c r="AL59" i="1" s="1"/>
  <c r="BJ56" i="1"/>
  <c r="BF56" i="1"/>
  <c r="BD56" i="1"/>
  <c r="AX56" i="1"/>
  <c r="AW56" i="1"/>
  <c r="AV56" i="1" s="1"/>
  <c r="AP56" i="1"/>
  <c r="BI56" i="1" s="1"/>
  <c r="AE56" i="1" s="1"/>
  <c r="AO56" i="1"/>
  <c r="BH56" i="1" s="1"/>
  <c r="AD56" i="1" s="1"/>
  <c r="AL56" i="1"/>
  <c r="AK56" i="1"/>
  <c r="AJ56" i="1"/>
  <c r="AH56" i="1"/>
  <c r="AG56" i="1"/>
  <c r="AF56" i="1"/>
  <c r="AC56" i="1"/>
  <c r="AB56" i="1"/>
  <c r="Z56" i="1"/>
  <c r="H56" i="1"/>
  <c r="BJ36" i="1"/>
  <c r="BF36" i="1"/>
  <c r="BD36" i="1"/>
  <c r="AX36" i="1"/>
  <c r="AW36" i="1"/>
  <c r="BC36" i="1" s="1"/>
  <c r="AV36" i="1"/>
  <c r="AP36" i="1"/>
  <c r="BI36" i="1" s="1"/>
  <c r="AC36" i="1" s="1"/>
  <c r="AO36" i="1"/>
  <c r="BH36" i="1" s="1"/>
  <c r="AB36" i="1" s="1"/>
  <c r="AL36" i="1"/>
  <c r="AU16" i="1" s="1"/>
  <c r="AK36" i="1"/>
  <c r="AT16" i="1" s="1"/>
  <c r="AJ36" i="1"/>
  <c r="AH36" i="1"/>
  <c r="AG36" i="1"/>
  <c r="AF36" i="1"/>
  <c r="AE36" i="1"/>
  <c r="AD36" i="1"/>
  <c r="Z36" i="1"/>
  <c r="H36" i="1"/>
  <c r="H16" i="1" s="1"/>
  <c r="BJ17" i="1"/>
  <c r="BF17" i="1"/>
  <c r="BD17" i="1"/>
  <c r="AW17" i="1"/>
  <c r="AP17" i="1"/>
  <c r="AX17" i="1" s="1"/>
  <c r="AO17" i="1"/>
  <c r="BH17" i="1" s="1"/>
  <c r="AB17" i="1" s="1"/>
  <c r="AL17" i="1"/>
  <c r="AK17" i="1"/>
  <c r="AJ17" i="1"/>
  <c r="AH17" i="1"/>
  <c r="AG17" i="1"/>
  <c r="AF17" i="1"/>
  <c r="AE17" i="1"/>
  <c r="AD17" i="1"/>
  <c r="Z17" i="1"/>
  <c r="H17" i="1"/>
  <c r="AS16" i="1"/>
  <c r="BJ13" i="1"/>
  <c r="BH13" i="1"/>
  <c r="AB13" i="1" s="1"/>
  <c r="BF13" i="1"/>
  <c r="BD13" i="1"/>
  <c r="AX13" i="1"/>
  <c r="AP13" i="1"/>
  <c r="BI13" i="1" s="1"/>
  <c r="AC13" i="1" s="1"/>
  <c r="AO13" i="1"/>
  <c r="AW13" i="1" s="1"/>
  <c r="AK13" i="1"/>
  <c r="AJ13" i="1"/>
  <c r="AH13" i="1"/>
  <c r="C20" i="2" s="1"/>
  <c r="AG13" i="1"/>
  <c r="AF13" i="1"/>
  <c r="AE13" i="1"/>
  <c r="AD13" i="1"/>
  <c r="Z13" i="1"/>
  <c r="H13" i="1"/>
  <c r="AL13" i="1" s="1"/>
  <c r="AU12" i="1" s="1"/>
  <c r="AT12" i="1"/>
  <c r="AS12" i="1"/>
  <c r="H12" i="1"/>
  <c r="AU1" i="1"/>
  <c r="AT1" i="1"/>
  <c r="AS1" i="1"/>
  <c r="I31" i="3" l="1"/>
  <c r="I22" i="3"/>
  <c r="F14" i="2"/>
  <c r="F22" i="2" s="1"/>
  <c r="I47" i="3"/>
  <c r="I24" i="2" s="1"/>
  <c r="AV17" i="1"/>
  <c r="BC17" i="1"/>
  <c r="AU55" i="1"/>
  <c r="AV13" i="1"/>
  <c r="BC13" i="1"/>
  <c r="AV59" i="1"/>
  <c r="BC59" i="1"/>
  <c r="BI17" i="1"/>
  <c r="AC17" i="1" s="1"/>
  <c r="AV88" i="1"/>
  <c r="BI94" i="1"/>
  <c r="AE94" i="1" s="1"/>
  <c r="C21" i="2"/>
  <c r="H55" i="1"/>
  <c r="H311" i="1" s="1"/>
  <c r="BI73" i="1"/>
  <c r="AE73" i="1" s="1"/>
  <c r="AV79" i="1"/>
  <c r="BC79" i="1"/>
  <c r="BI108" i="1"/>
  <c r="AE108" i="1" s="1"/>
  <c r="BH119" i="1"/>
  <c r="AD119" i="1" s="1"/>
  <c r="AV132" i="1"/>
  <c r="BC132" i="1"/>
  <c r="BC204" i="1"/>
  <c r="BI204" i="1"/>
  <c r="AC204" i="1" s="1"/>
  <c r="AV295" i="1"/>
  <c r="BC295" i="1"/>
  <c r="H300" i="1"/>
  <c r="AL304" i="1"/>
  <c r="AU300" i="1" s="1"/>
  <c r="BH59" i="1"/>
  <c r="AD59" i="1" s="1"/>
  <c r="C16" i="2" s="1"/>
  <c r="AV70" i="1"/>
  <c r="AV119" i="1"/>
  <c r="BC119" i="1"/>
  <c r="BC309" i="1"/>
  <c r="AV309" i="1"/>
  <c r="C28" i="2"/>
  <c r="F28" i="2" s="1"/>
  <c r="BC56" i="1"/>
  <c r="AX70" i="1"/>
  <c r="BH70" i="1"/>
  <c r="AD70" i="1" s="1"/>
  <c r="BH82" i="1"/>
  <c r="AD82" i="1" s="1"/>
  <c r="AW82" i="1"/>
  <c r="AV91" i="1"/>
  <c r="BC91" i="1"/>
  <c r="AV114" i="1"/>
  <c r="BI123" i="1"/>
  <c r="AE123" i="1" s="1"/>
  <c r="BH150" i="1"/>
  <c r="AD150" i="1" s="1"/>
  <c r="AW150" i="1"/>
  <c r="AW185" i="1"/>
  <c r="BH185" i="1"/>
  <c r="AD185" i="1" s="1"/>
  <c r="C27" i="2"/>
  <c r="C18" i="2"/>
  <c r="C19" i="2"/>
  <c r="BI61" i="1"/>
  <c r="AE61" i="1" s="1"/>
  <c r="C17" i="2" s="1"/>
  <c r="AW67" i="1"/>
  <c r="BC70" i="1"/>
  <c r="BI82" i="1"/>
  <c r="AE82" i="1" s="1"/>
  <c r="BH91" i="1"/>
  <c r="AD91" i="1" s="1"/>
  <c r="AV104" i="1"/>
  <c r="BC104" i="1"/>
  <c r="AV129" i="1"/>
  <c r="BI135" i="1"/>
  <c r="AE135" i="1" s="1"/>
  <c r="AX144" i="1"/>
  <c r="BC144" i="1" s="1"/>
  <c r="BI144" i="1"/>
  <c r="AE144" i="1" s="1"/>
  <c r="BC153" i="1"/>
  <c r="BC212" i="1"/>
  <c r="BI212" i="1"/>
  <c r="AC212" i="1" s="1"/>
  <c r="AW61" i="1"/>
  <c r="AX64" i="1"/>
  <c r="AV64" i="1" s="1"/>
  <c r="AW73" i="1"/>
  <c r="AX76" i="1"/>
  <c r="BC76" i="1" s="1"/>
  <c r="AW85" i="1"/>
  <c r="AX88" i="1"/>
  <c r="BC88" i="1" s="1"/>
  <c r="AW98" i="1"/>
  <c r="AX101" i="1"/>
  <c r="AV101" i="1" s="1"/>
  <c r="AW111" i="1"/>
  <c r="AX114" i="1"/>
  <c r="BC114" i="1" s="1"/>
  <c r="AW126" i="1"/>
  <c r="AX129" i="1"/>
  <c r="BC129" i="1" s="1"/>
  <c r="AW138" i="1"/>
  <c r="AX141" i="1"/>
  <c r="AV141" i="1" s="1"/>
  <c r="BI156" i="1"/>
  <c r="AE156" i="1" s="1"/>
  <c r="AW159" i="1"/>
  <c r="BC198" i="1"/>
  <c r="AV198" i="1"/>
  <c r="BC208" i="1"/>
  <c r="AV208" i="1"/>
  <c r="BC216" i="1"/>
  <c r="AV216" i="1"/>
  <c r="BC226" i="1"/>
  <c r="AV226" i="1"/>
  <c r="BC274" i="1"/>
  <c r="AV274" i="1"/>
  <c r="BI295" i="1"/>
  <c r="AS300" i="1"/>
  <c r="AX85" i="1"/>
  <c r="AW94" i="1"/>
  <c r="AX98" i="1"/>
  <c r="AW108" i="1"/>
  <c r="AX111" i="1"/>
  <c r="AW123" i="1"/>
  <c r="AX126" i="1"/>
  <c r="AW135" i="1"/>
  <c r="AX138" i="1"/>
  <c r="AW147" i="1"/>
  <c r="H200" i="1"/>
  <c r="AV201" i="1"/>
  <c r="BC201" i="1"/>
  <c r="AL210" i="1"/>
  <c r="AU203" i="1" s="1"/>
  <c r="H203" i="1"/>
  <c r="H228" i="1"/>
  <c r="AV229" i="1"/>
  <c r="BC229" i="1"/>
  <c r="AU249" i="1"/>
  <c r="AL276" i="1"/>
  <c r="H249" i="1"/>
  <c r="BI307" i="1"/>
  <c r="AV179" i="1"/>
  <c r="BC179" i="1"/>
  <c r="AV204" i="1"/>
  <c r="AV210" i="1"/>
  <c r="BC210" i="1"/>
  <c r="AV212" i="1"/>
  <c r="AV218" i="1"/>
  <c r="BC218" i="1"/>
  <c r="AV220" i="1"/>
  <c r="AV250" i="1"/>
  <c r="AV276" i="1"/>
  <c r="BC276" i="1"/>
  <c r="BC301" i="1"/>
  <c r="AV301" i="1"/>
  <c r="AV304" i="1"/>
  <c r="BC304" i="1"/>
  <c r="BH204" i="1"/>
  <c r="AB204" i="1" s="1"/>
  <c r="C14" i="2" s="1"/>
  <c r="C22" i="2" s="1"/>
  <c r="BI206" i="1"/>
  <c r="AC206" i="1" s="1"/>
  <c r="BH212" i="1"/>
  <c r="AB212" i="1" s="1"/>
  <c r="BI214" i="1"/>
  <c r="AC214" i="1" s="1"/>
  <c r="C15" i="2" s="1"/>
  <c r="BH220" i="1"/>
  <c r="AB220" i="1" s="1"/>
  <c r="BI223" i="1"/>
  <c r="AC223" i="1" s="1"/>
  <c r="BH250" i="1"/>
  <c r="AB250" i="1" s="1"/>
  <c r="BI268" i="1"/>
  <c r="AC268" i="1" s="1"/>
  <c r="BH295" i="1"/>
  <c r="BI298" i="1"/>
  <c r="BH307" i="1"/>
  <c r="BI309" i="1"/>
  <c r="F33" i="3" l="1"/>
  <c r="I14" i="2"/>
  <c r="I22" i="2" s="1"/>
  <c r="C29" i="2" s="1"/>
  <c r="F29" i="2" s="1"/>
  <c r="AV185" i="1"/>
  <c r="BC185" i="1"/>
  <c r="AV144" i="1"/>
  <c r="BC138" i="1"/>
  <c r="AV138" i="1"/>
  <c r="AV150" i="1"/>
  <c r="BC150" i="1"/>
  <c r="BC159" i="1"/>
  <c r="AV159" i="1"/>
  <c r="BC147" i="1"/>
  <c r="AV147" i="1"/>
  <c r="AV123" i="1"/>
  <c r="BC123" i="1"/>
  <c r="AV94" i="1"/>
  <c r="BC94" i="1"/>
  <c r="BC126" i="1"/>
  <c r="AV126" i="1"/>
  <c r="BC98" i="1"/>
  <c r="AV98" i="1"/>
  <c r="BC73" i="1"/>
  <c r="AV73" i="1"/>
  <c r="BC141" i="1"/>
  <c r="BC101" i="1"/>
  <c r="AV135" i="1"/>
  <c r="BC135" i="1"/>
  <c r="AV108" i="1"/>
  <c r="BC108" i="1"/>
  <c r="BC111" i="1"/>
  <c r="AV111" i="1"/>
  <c r="BC85" i="1"/>
  <c r="AV85" i="1"/>
  <c r="AV61" i="1"/>
  <c r="BC61" i="1"/>
  <c r="AV76" i="1"/>
  <c r="AV67" i="1"/>
  <c r="BC67" i="1"/>
  <c r="AV82" i="1"/>
  <c r="BC82" i="1"/>
  <c r="BC64" i="1"/>
  <c r="I28" i="2" l="1"/>
  <c r="I29" i="2" s="1"/>
</calcChain>
</file>

<file path=xl/sharedStrings.xml><?xml version="1.0" encoding="utf-8"?>
<sst xmlns="http://schemas.openxmlformats.org/spreadsheetml/2006/main" count="1430" uniqueCount="533">
  <si>
    <t>Slepý stavební rozpočet</t>
  </si>
  <si>
    <t>Název stavby:</t>
  </si>
  <si>
    <t>Česká Lípa - oprava a výměna oken a dveří na objektu UNION</t>
  </si>
  <si>
    <t>Doba výstavby:</t>
  </si>
  <si>
    <t xml:space="preserve"> </t>
  </si>
  <si>
    <t>Objednatel:</t>
  </si>
  <si>
    <t> </t>
  </si>
  <si>
    <t>Druh stavby:</t>
  </si>
  <si>
    <t>Začátek výstavby:</t>
  </si>
  <si>
    <t>05.08.2024</t>
  </si>
  <si>
    <t>Projektant:</t>
  </si>
  <si>
    <t>Lokalita:</t>
  </si>
  <si>
    <t>Jindřicha z Lipé 113/24, Česká Lípa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</si>
  <si>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</si>
  <si>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</si>
  <si>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</si>
  <si>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</si>
  <si>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</si>
  <si>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</si>
  <si>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</si>
  <si>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</si>
  <si>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</si>
  <si>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</si>
  <si>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</si>
  <si>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</si>
  <si>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</si>
  <si>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</si>
  <si>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</si>
  <si>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</si>
  <si>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</si>
  <si>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</si>
  <si>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</si>
  <si>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</si>
  <si>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</si>
  <si>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</si>
  <si>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</si>
  <si>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</si>
  <si>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</si>
  <si>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</si>
  <si>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</si>
  <si>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</si>
  <si>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</si>
  <si>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</si>
  <si>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</si>
  <si>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</si>
  <si>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</si>
  <si>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61</t>
  </si>
  <si>
    <t>Úprava povrchů vnitřní</t>
  </si>
  <si>
    <t>1</t>
  </si>
  <si>
    <t>612421637R00</t>
  </si>
  <si>
    <t>Omítka vnitřní zdiva, MVC, štuková</t>
  </si>
  <si>
    <t>m2</t>
  </si>
  <si>
    <t>RTS II / 2023</t>
  </si>
  <si>
    <t>61_</t>
  </si>
  <si>
    <t>6_</t>
  </si>
  <si>
    <t>_</t>
  </si>
  <si>
    <t>Varianta:</t>
  </si>
  <si>
    <t xml:space="preserve">opava vnitřních omítek po zpětném osazení vniřního okna a mezi okny včetně parapetní části
</t>
  </si>
  <si>
    <t>100</t>
  </si>
  <si>
    <t>62</t>
  </si>
  <si>
    <t>Úprava povrchů vnější</t>
  </si>
  <si>
    <t>2</t>
  </si>
  <si>
    <t>622421144R00</t>
  </si>
  <si>
    <t>Omítka vnější stěn, MVC, štuková, složitost 3</t>
  </si>
  <si>
    <t>62_</t>
  </si>
  <si>
    <t>(0,56+2,55+2,55)*2*0,2</t>
  </si>
  <si>
    <t>oprava vnějších omítek po osazení oken</t>
  </si>
  <si>
    <t>(0,69+2,55+2,55)*0,2</t>
  </si>
  <si>
    <t>(0,62+2,55+2,55)*4*0,2</t>
  </si>
  <si>
    <t>(1,82+2,55)*2*0,2</t>
  </si>
  <si>
    <t>(3,15+3,45+3,45)*3*0,2</t>
  </si>
  <si>
    <t>(3,15+2,56+2,56)*0,2</t>
  </si>
  <si>
    <t>(1,2+3,5+3,5)*0,2</t>
  </si>
  <si>
    <t>(0,58+2,04+2,04)*2*0,2</t>
  </si>
  <si>
    <t>(0,7+2,04+2,04)*0,2</t>
  </si>
  <si>
    <t>(0,64+2,04+2,04)*4*0,2</t>
  </si>
  <si>
    <t>(1,72+2,04+2,04)*2*0,2</t>
  </si>
  <si>
    <t>(1,19+2,04+2,04)*8*0,2</t>
  </si>
  <si>
    <t>(1,16+2,9+2,9)*0,2</t>
  </si>
  <si>
    <t>(0,58+2,03+2,03)*2*0,2</t>
  </si>
  <si>
    <t>(0,7+2,03+2,03)*0,2</t>
  </si>
  <si>
    <t>(1,2+2,03+2,03)*9*0,2</t>
  </si>
  <si>
    <t>(1,6+2,8+2,8)*2*0,2</t>
  </si>
  <si>
    <t>7,034</t>
  </si>
  <si>
    <t>t20 - t21 - t22</t>
  </si>
  <si>
    <t>3</t>
  </si>
  <si>
    <t>622300172RT2</t>
  </si>
  <si>
    <t>Těsnění napojovacích spár tmelem, oprava u parapetní části</t>
  </si>
  <si>
    <t>m</t>
  </si>
  <si>
    <t>včetně dodávky tmelu oprava tmelu mezi rámem a stávajícím parapetem</t>
  </si>
  <si>
    <t>1,1*7</t>
  </si>
  <si>
    <t>0,56*2</t>
  </si>
  <si>
    <t>0,69*1</t>
  </si>
  <si>
    <t>0,62*4</t>
  </si>
  <si>
    <t>1,82*2</t>
  </si>
  <si>
    <t>3,15*3</t>
  </si>
  <si>
    <t>3,15</t>
  </si>
  <si>
    <t>0,58*2</t>
  </si>
  <si>
    <t>0,7*1</t>
  </si>
  <si>
    <t>0,64*4</t>
  </si>
  <si>
    <t>1,72*2</t>
  </si>
  <si>
    <t>1,2*8</t>
  </si>
  <si>
    <t>1,2*9</t>
  </si>
  <si>
    <t>1,6*2</t>
  </si>
  <si>
    <t>3+1</t>
  </si>
  <si>
    <t>766</t>
  </si>
  <si>
    <t>Konstrukce truhlářské</t>
  </si>
  <si>
    <t>4</t>
  </si>
  <si>
    <t>R766662911R00</t>
  </si>
  <si>
    <t>Oprava dveří z tvrdého dřeva, bez výměny prvků</t>
  </si>
  <si>
    <t>kpl</t>
  </si>
  <si>
    <t>7</t>
  </si>
  <si>
    <t>766_</t>
  </si>
  <si>
    <t>76_</t>
  </si>
  <si>
    <t xml:space="preserve">odvoz, oprava tmelení, nátěr dle PD
</t>
  </si>
  <si>
    <t>Oprava vstupní dveře dle popisu PD včetně obrusu, přetmelení</t>
  </si>
  <si>
    <t>5</t>
  </si>
  <si>
    <t>766667912R00</t>
  </si>
  <si>
    <t>Oprava obložení zárubní pro dveře 2křídlové</t>
  </si>
  <si>
    <t>kus</t>
  </si>
  <si>
    <t>oprava obložkové zárubně vstupní dveře dle TZ</t>
  </si>
  <si>
    <t>6</t>
  </si>
  <si>
    <t>R766T01A_G</t>
  </si>
  <si>
    <t>Okno T01A - G - dle PD</t>
  </si>
  <si>
    <t>Nátěr a oprava stávajících dřevěných jednoduchých oken. V odstínu dle specifikace PD. Před opravou budou vyvzorkované jednotlivé odstíny nátěru.</t>
  </si>
  <si>
    <t>(1,1*2,1)*7</t>
  </si>
  <si>
    <t>R7666T03A</t>
  </si>
  <si>
    <t>Okno T03A - dle PD</t>
  </si>
  <si>
    <t>oprava, výroba, repasování stávajícího vnějšího okna dle požadavku NPÚ</t>
  </si>
  <si>
    <t>0,56*2,55</t>
  </si>
  <si>
    <t>8</t>
  </si>
  <si>
    <t>R7666T03B</t>
  </si>
  <si>
    <t>Okno T03B - dle PD</t>
  </si>
  <si>
    <t>vlastní</t>
  </si>
  <si>
    <t>9</t>
  </si>
  <si>
    <t>R7666T04A</t>
  </si>
  <si>
    <t>Okno T04A - dle PD</t>
  </si>
  <si>
    <t>0,69*2,55</t>
  </si>
  <si>
    <t>10</t>
  </si>
  <si>
    <t>R7666T05A</t>
  </si>
  <si>
    <t>Okno T05A - dle PD</t>
  </si>
  <si>
    <t>0,62*2,55</t>
  </si>
  <si>
    <t>11</t>
  </si>
  <si>
    <t>R7666T05B</t>
  </si>
  <si>
    <t>Okno T05B - dle PD</t>
  </si>
  <si>
    <t>12</t>
  </si>
  <si>
    <t>R7666T05C</t>
  </si>
  <si>
    <t>Okno T05C - dle PD</t>
  </si>
  <si>
    <t>13</t>
  </si>
  <si>
    <t>R7666T05D</t>
  </si>
  <si>
    <t>Okno T05D - dle PD</t>
  </si>
  <si>
    <t>14</t>
  </si>
  <si>
    <t>R7666T06A</t>
  </si>
  <si>
    <t>Okno T06A - dle PD</t>
  </si>
  <si>
    <t>1,82*2,55</t>
  </si>
  <si>
    <t>15</t>
  </si>
  <si>
    <t>R7666T06B</t>
  </si>
  <si>
    <t>Okno T06B - dle PD</t>
  </si>
  <si>
    <t>16</t>
  </si>
  <si>
    <t>R7666T07A</t>
  </si>
  <si>
    <t>Okno T07A - dle PD</t>
  </si>
  <si>
    <t>3,15*3,45</t>
  </si>
  <si>
    <t>17</t>
  </si>
  <si>
    <t>R7666T07BC</t>
  </si>
  <si>
    <t>Okno T07B-C - dle PD</t>
  </si>
  <si>
    <t>18</t>
  </si>
  <si>
    <t>R7666T08A</t>
  </si>
  <si>
    <t>Okno T08A - dle PD</t>
  </si>
  <si>
    <t>3,15*2,56</t>
  </si>
  <si>
    <t>19</t>
  </si>
  <si>
    <t>R7666T09A</t>
  </si>
  <si>
    <t>Okno T09A - dle PD</t>
  </si>
  <si>
    <t>1,2*3,5</t>
  </si>
  <si>
    <t>20</t>
  </si>
  <si>
    <t>R7666T10AB</t>
  </si>
  <si>
    <t>Okno T10A - B - dle PD</t>
  </si>
  <si>
    <t>0,58*2,04</t>
  </si>
  <si>
    <t>21</t>
  </si>
  <si>
    <t>R7666T11A</t>
  </si>
  <si>
    <t>Okno T11A - dle PD</t>
  </si>
  <si>
    <t>0,7*2,04</t>
  </si>
  <si>
    <t>22</t>
  </si>
  <si>
    <t>R7666T12A</t>
  </si>
  <si>
    <t>Okno T12A - dle PD</t>
  </si>
  <si>
    <t>0,64*2,04</t>
  </si>
  <si>
    <t>23</t>
  </si>
  <si>
    <t>R7666T12BCD</t>
  </si>
  <si>
    <t>Okno T12B,C,D - dle PD</t>
  </si>
  <si>
    <t>24</t>
  </si>
  <si>
    <t>R7666T13A</t>
  </si>
  <si>
    <t>Okno T13AB - dle PD</t>
  </si>
  <si>
    <t>1,72*2,04</t>
  </si>
  <si>
    <t>25</t>
  </si>
  <si>
    <t>R7666T14AH</t>
  </si>
  <si>
    <t>Okno T14A,B,C,D,E,F,G,H - dle PD</t>
  </si>
  <si>
    <t>(1,19*2,04)*8</t>
  </si>
  <si>
    <t>26</t>
  </si>
  <si>
    <t>R7666T15A</t>
  </si>
  <si>
    <t>Okno T15A - dle PD</t>
  </si>
  <si>
    <t>1,16*2,90</t>
  </si>
  <si>
    <t>27</t>
  </si>
  <si>
    <t>R7666T16A</t>
  </si>
  <si>
    <t>Okno T16A - dle PD</t>
  </si>
  <si>
    <t>0,58*2,03</t>
  </si>
  <si>
    <t>28</t>
  </si>
  <si>
    <t>R7666T16B</t>
  </si>
  <si>
    <t>Okno T16B - dle PD</t>
  </si>
  <si>
    <t>29</t>
  </si>
  <si>
    <t>R7666T17A</t>
  </si>
  <si>
    <t>Okno T17A - dle PD</t>
  </si>
  <si>
    <t>0,7*2,03</t>
  </si>
  <si>
    <t>30</t>
  </si>
  <si>
    <t>R7666T18AI</t>
  </si>
  <si>
    <t>Okno T18A-I - dle PD</t>
  </si>
  <si>
    <t>(1,2*2,03)*9</t>
  </si>
  <si>
    <t>31</t>
  </si>
  <si>
    <t>R7666T19AB</t>
  </si>
  <si>
    <t>Okno T19A-B - dle PD</t>
  </si>
  <si>
    <t>(1,6*2,8)*2</t>
  </si>
  <si>
    <t>32</t>
  </si>
  <si>
    <t>R7666T20A</t>
  </si>
  <si>
    <t>Okno T20A - dle PD</t>
  </si>
  <si>
    <t>0,61*0,81</t>
  </si>
  <si>
    <t>33</t>
  </si>
  <si>
    <t>R7666T21A</t>
  </si>
  <si>
    <t>Okno T21A - dle PD</t>
  </si>
  <si>
    <t>34</t>
  </si>
  <si>
    <t>R7666T22A</t>
  </si>
  <si>
    <t>Okno T22A - dle PD</t>
  </si>
  <si>
    <t>0,76*1</t>
  </si>
  <si>
    <t>35</t>
  </si>
  <si>
    <t>R7666T23</t>
  </si>
  <si>
    <t>Okno T23 - dle PD</t>
  </si>
  <si>
    <t>8*(0,9*0,97)</t>
  </si>
  <si>
    <t>36</t>
  </si>
  <si>
    <t>R7666T24</t>
  </si>
  <si>
    <t>Rám oken věžička malá a síťovina</t>
  </si>
  <si>
    <t>oprava, výroba, repasování stávajícího okna dle požadavku NPÚ, okna na malé věžičce se síťovinou.</t>
  </si>
  <si>
    <t>(0,8*0,8)*8</t>
  </si>
  <si>
    <t>37</t>
  </si>
  <si>
    <t>766601215R00</t>
  </si>
  <si>
    <t>Těsnění oken.spáry,ostění,provazec, tmel dle TZ a požadavku NPÚ</t>
  </si>
  <si>
    <t>6*2</t>
  </si>
  <si>
    <t>6*4</t>
  </si>
  <si>
    <t>8*2</t>
  </si>
  <si>
    <t>11*3</t>
  </si>
  <si>
    <t>8,2</t>
  </si>
  <si>
    <t>5*2</t>
  </si>
  <si>
    <t>5*4</t>
  </si>
  <si>
    <t>6*8</t>
  </si>
  <si>
    <t>7*1</t>
  </si>
  <si>
    <t>6*9</t>
  </si>
  <si>
    <t>9*2</t>
  </si>
  <si>
    <t>3+3+10</t>
  </si>
  <si>
    <t>783</t>
  </si>
  <si>
    <t>Nátěry</t>
  </si>
  <si>
    <t>38</t>
  </si>
  <si>
    <t>610991111R00</t>
  </si>
  <si>
    <t>Zakrývání výplní otvorů před provedením lakování hliníkových profilů</t>
  </si>
  <si>
    <t>783_</t>
  </si>
  <si>
    <t>78_</t>
  </si>
  <si>
    <t>4*(3,2*3,25)</t>
  </si>
  <si>
    <t>2,75*3,25</t>
  </si>
  <si>
    <t>1,2*3,675</t>
  </si>
  <si>
    <t>2,6*3,25</t>
  </si>
  <si>
    <t>39</t>
  </si>
  <si>
    <t>R783226</t>
  </si>
  <si>
    <t>Oprava a nový nástřik hliníkových proflů rámy - oprava barvy</t>
  </si>
  <si>
    <t>obrousení, odmaštění, oprava a nanesení základní vrstvy s finálním lakováním</t>
  </si>
  <si>
    <t>3,3+3,3+2,6+2,6+2,6</t>
  </si>
  <si>
    <t>okno vedle vstupu do objektu</t>
  </si>
  <si>
    <t>3,3+3,3+3,3+3,3+2,75+2,75+2,75</t>
  </si>
  <si>
    <t>(3,2+3,2+3,2+3,25+3,25+3,25+3,25)*2</t>
  </si>
  <si>
    <t>(3,2+3,2+3,2+3,25+3,25)*2</t>
  </si>
  <si>
    <t>40</t>
  </si>
  <si>
    <t>783242003R00</t>
  </si>
  <si>
    <t>Oprava a nový nástřik hliníkových proflů rámy - oprava barvy - dveře</t>
  </si>
  <si>
    <t>včetně opravy ozdobných prvků. obrousení, odmaštění, oprava, nanesení základního nátěru, finální nástřik</t>
  </si>
  <si>
    <t>3,7+3,7+3,7+3,7</t>
  </si>
  <si>
    <t>1,2*6</t>
  </si>
  <si>
    <t>2,75+2,75+0,8+0,8+0,15</t>
  </si>
  <si>
    <t>2,9+3,25+3,25+3,25+2,9</t>
  </si>
  <si>
    <t>784</t>
  </si>
  <si>
    <t>Malby</t>
  </si>
  <si>
    <t>41</t>
  </si>
  <si>
    <t>784155222R00</t>
  </si>
  <si>
    <t>Malba po opravě ostění nadpraží, barva dle požadavku NPÚ, bez penetr. 2 x</t>
  </si>
  <si>
    <t>784_</t>
  </si>
  <si>
    <t>60</t>
  </si>
  <si>
    <t>90</t>
  </si>
  <si>
    <t>Hodinové zúčtovací sazby (HZS)</t>
  </si>
  <si>
    <t>42</t>
  </si>
  <si>
    <t>900      R00</t>
  </si>
  <si>
    <t>HZS</t>
  </si>
  <si>
    <t>h</t>
  </si>
  <si>
    <t>90_</t>
  </si>
  <si>
    <t>9_</t>
  </si>
  <si>
    <t>stavební přípomoce - průzkumné práce u kulturní památky</t>
  </si>
  <si>
    <t>94</t>
  </si>
  <si>
    <t>Lešení a stavební výtahy</t>
  </si>
  <si>
    <t>43</t>
  </si>
  <si>
    <t>941941042R00</t>
  </si>
  <si>
    <t>Montáž lešení leh.řad.s podlahami,š.1,2 m, H 30 m</t>
  </si>
  <si>
    <t>94_</t>
  </si>
  <si>
    <t>120</t>
  </si>
  <si>
    <t>lešení do dvora - oprava oken</t>
  </si>
  <si>
    <t>44</t>
  </si>
  <si>
    <t>941941192R00</t>
  </si>
  <si>
    <t>Příplatek za každý měsíc použití lešení k pol.1032</t>
  </si>
  <si>
    <t>45</t>
  </si>
  <si>
    <t>941941842R00</t>
  </si>
  <si>
    <t>Demontáž lešení leh.řad.s podlahami,š.1,2 m,H 30 m</t>
  </si>
  <si>
    <t>46</t>
  </si>
  <si>
    <t>944944011R00</t>
  </si>
  <si>
    <t>Montáž ochranné sítě z umělých vláken</t>
  </si>
  <si>
    <t>47</t>
  </si>
  <si>
    <t>944944031R00</t>
  </si>
  <si>
    <t>Příplatek za každý měsíc použití sítí k pol. 4011</t>
  </si>
  <si>
    <t>48</t>
  </si>
  <si>
    <t>944945012R00</t>
  </si>
  <si>
    <t>Montáž záchytné stříšky H 4,5 m, šířky do 2 m</t>
  </si>
  <si>
    <t>49</t>
  </si>
  <si>
    <t>944945192R00</t>
  </si>
  <si>
    <t>Příplatek za každý měsíc použ.stříšky, k pol. 5012</t>
  </si>
  <si>
    <t>50</t>
  </si>
  <si>
    <t>944945812R00</t>
  </si>
  <si>
    <t>Demontáž záchytné stříšky H 4,5 m, šířky do 2 m</t>
  </si>
  <si>
    <t>51</t>
  </si>
  <si>
    <t>946941102RT1</t>
  </si>
  <si>
    <t>Montáž pojízdných Alu lešení, 2,5 x 1,45 m</t>
  </si>
  <si>
    <t>sada</t>
  </si>
  <si>
    <t>pracovní výška 4,2 m</t>
  </si>
  <si>
    <t>52</t>
  </si>
  <si>
    <t>946941802RT1</t>
  </si>
  <si>
    <t>Demontáž pojízdných Alu lešení, 2,5 x 1,45 m</t>
  </si>
  <si>
    <t>pracovní výška 4,3 m</t>
  </si>
  <si>
    <t>53</t>
  </si>
  <si>
    <t>946941501R00</t>
  </si>
  <si>
    <t>Návoz a odvoz pojízného lešení</t>
  </si>
  <si>
    <t>kompl</t>
  </si>
  <si>
    <t>95</t>
  </si>
  <si>
    <t>Různé dokončovací konstrukce a práce na pozemních stavbách</t>
  </si>
  <si>
    <t>54</t>
  </si>
  <si>
    <t>95290111A</t>
  </si>
  <si>
    <t>Přípravné a dokončovací práce, provizorní bednění oken po demontáži a odbednění</t>
  </si>
  <si>
    <t>95_</t>
  </si>
  <si>
    <t xml:space="preserve">plus provizorní ochrana dveří při repasování
</t>
  </si>
  <si>
    <t>1,5*2</t>
  </si>
  <si>
    <t>1,8</t>
  </si>
  <si>
    <t>1,6*4</t>
  </si>
  <si>
    <t>4,7*2</t>
  </si>
  <si>
    <t>10,9*3</t>
  </si>
  <si>
    <t>3,7*1</t>
  </si>
  <si>
    <t>1,25*2</t>
  </si>
  <si>
    <t>1,5*1</t>
  </si>
  <si>
    <t>1,4*4</t>
  </si>
  <si>
    <t>3,7*2</t>
  </si>
  <si>
    <t>2,45*8</t>
  </si>
  <si>
    <t>3,1*1</t>
  </si>
  <si>
    <t>1,3*2</t>
  </si>
  <si>
    <t>2,6*9</t>
  </si>
  <si>
    <t>4,5*2</t>
  </si>
  <si>
    <t>1+3+7</t>
  </si>
  <si>
    <t>1,34*3,68</t>
  </si>
  <si>
    <t>96</t>
  </si>
  <si>
    <t>Bourání konstrukcí</t>
  </si>
  <si>
    <t>55</t>
  </si>
  <si>
    <t>968061112R00</t>
  </si>
  <si>
    <t>Vyvěšení dřevěných a plastových okenních křídel pl. do 1,5 m2</t>
  </si>
  <si>
    <t>96_</t>
  </si>
  <si>
    <t>vyvěšení a uložení na stavbě k opětovnému použití a zpětné osazení</t>
  </si>
  <si>
    <t>2*2</t>
  </si>
  <si>
    <t>t03 - vnitřní křídla</t>
  </si>
  <si>
    <t>t04 - vnitřní křídla</t>
  </si>
  <si>
    <t>t05 - vnitřní křídla</t>
  </si>
  <si>
    <t>4*2</t>
  </si>
  <si>
    <t>t06 - vnitřní křídla</t>
  </si>
  <si>
    <t>5*3</t>
  </si>
  <si>
    <t>t07 - vnitřní křídla</t>
  </si>
  <si>
    <t>t08 - vnitřní křídla</t>
  </si>
  <si>
    <t>t10 - vnitřní křídla</t>
  </si>
  <si>
    <t>t11 - vnitřní křídla</t>
  </si>
  <si>
    <t>2*4</t>
  </si>
  <si>
    <t>t12 - vnitřní křídla</t>
  </si>
  <si>
    <t>t13 - vnitřní křídla</t>
  </si>
  <si>
    <t>3*8</t>
  </si>
  <si>
    <t>t14 - vnitřní křídla</t>
  </si>
  <si>
    <t>t15 - vnitřní křídla</t>
  </si>
  <si>
    <t>t16 a t17- vnitřní křídla</t>
  </si>
  <si>
    <t>4*9</t>
  </si>
  <si>
    <t>t18 - vnitřní křídla</t>
  </si>
  <si>
    <t>t19 - vnitřní křídla</t>
  </si>
  <si>
    <t>56</t>
  </si>
  <si>
    <t>968061126R00</t>
  </si>
  <si>
    <t>Vyvěšení dřevěných a plastových dveřních křídel pl. nad 2 m2</t>
  </si>
  <si>
    <t>t07 - vnitřní dveře</t>
  </si>
  <si>
    <t>t09 - vnitřní dveře</t>
  </si>
  <si>
    <t>t15_vnitřní dveře</t>
  </si>
  <si>
    <t>1*2</t>
  </si>
  <si>
    <t>t19 - vnitřní dveře</t>
  </si>
  <si>
    <t>57</t>
  </si>
  <si>
    <t>968061125R00</t>
  </si>
  <si>
    <t>Vyvěšení dřevěných a plastových dveřních křídel pl. do 2 m2</t>
  </si>
  <si>
    <t>58</t>
  </si>
  <si>
    <t>R9680622</t>
  </si>
  <si>
    <t>demontáž a zpětná montáž vnitřního rámu špaletového okna</t>
  </si>
  <si>
    <t>vybourání rámů vnitřních špaletových oken pro zpětné osazení, ochrana na stavbě a případná oprava po celou dobu umístění na stavbě.</t>
  </si>
  <si>
    <t>(0,56*2,55)*2</t>
  </si>
  <si>
    <t>t03</t>
  </si>
  <si>
    <t>t04</t>
  </si>
  <si>
    <t>4*(0,62*2,55)</t>
  </si>
  <si>
    <t>t05</t>
  </si>
  <si>
    <t>2*(1,82*2,55)</t>
  </si>
  <si>
    <t>t06</t>
  </si>
  <si>
    <t>3*(2,15*3,45)</t>
  </si>
  <si>
    <t>t07</t>
  </si>
  <si>
    <t>t08</t>
  </si>
  <si>
    <t>2*(0,58*2,04)</t>
  </si>
  <si>
    <t>t10</t>
  </si>
  <si>
    <t>t11</t>
  </si>
  <si>
    <t>4*(0,64*2,04)</t>
  </si>
  <si>
    <t>t12</t>
  </si>
  <si>
    <t>2*(1,72*2,04)</t>
  </si>
  <si>
    <t>t13</t>
  </si>
  <si>
    <t>8*(1,19*2,04)</t>
  </si>
  <si>
    <t>t14</t>
  </si>
  <si>
    <t>1,16*2,9</t>
  </si>
  <si>
    <t>t15</t>
  </si>
  <si>
    <t>2*(0,58*2,03)</t>
  </si>
  <si>
    <t>t16</t>
  </si>
  <si>
    <t>t17</t>
  </si>
  <si>
    <t>9*(1,2*2,03)</t>
  </si>
  <si>
    <t>t18</t>
  </si>
  <si>
    <t>2*(1,6*2,8)</t>
  </si>
  <si>
    <t>t19</t>
  </si>
  <si>
    <t>H766</t>
  </si>
  <si>
    <t>59</t>
  </si>
  <si>
    <t>998766104R00</t>
  </si>
  <si>
    <t>Přesun hmot pro truhlářské konstr., výšky do 36 m</t>
  </si>
  <si>
    <t>t</t>
  </si>
  <si>
    <t>H766_</t>
  </si>
  <si>
    <t>H99</t>
  </si>
  <si>
    <t>Ostatní přesuny hmot</t>
  </si>
  <si>
    <t>999281112R00</t>
  </si>
  <si>
    <t>Přesun hmot pro opravy a údržbu do výšky 36 m</t>
  </si>
  <si>
    <t>H99_</t>
  </si>
  <si>
    <t>S</t>
  </si>
  <si>
    <t>Přesuny sutí</t>
  </si>
  <si>
    <t>979081111RT3</t>
  </si>
  <si>
    <t>Odvoz suti a vybour. hmot na skládku do 1 km</t>
  </si>
  <si>
    <t>S_</t>
  </si>
  <si>
    <t>kontejnerem 7 t</t>
  </si>
  <si>
    <t>979081121RT3</t>
  </si>
  <si>
    <t>Příplatek k odvozu za každý další 1 km</t>
  </si>
  <si>
    <t>63</t>
  </si>
  <si>
    <t>979990161R00</t>
  </si>
  <si>
    <t>Poplatek za uložení - dřevo, skupina odpadu 170201</t>
  </si>
  <si>
    <t>64</t>
  </si>
  <si>
    <t>979990162R00</t>
  </si>
  <si>
    <t>Poplatek za uložení suti - dřevo+sklo, skupina odpadu 170904</t>
  </si>
  <si>
    <t>Poznámka: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</si>
  <si>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</si>
  <si>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</si>
  <si>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</si>
  <si>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</si>
  <si>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</si>
  <si>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</si>
  <si>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</si>
  <si>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</si>
  <si>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</si>
  <si>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</si>
  <si>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</si>
  <si>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</si>
  <si>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</si>
  <si>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</si>
  <si>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</si>
  <si>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</si>
  <si>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</si>
  <si>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</si>
  <si>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</si>
  <si>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</si>
  <si>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</si>
  <si>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vyvzorkování barev</t>
  </si>
  <si>
    <t>Provozní vlivy</t>
  </si>
  <si>
    <t>"M"</t>
  </si>
  <si>
    <t>Dokumentace výrobní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</si>
  <si>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</si>
  <si>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</si>
  <si>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</si>
  <si>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</si>
  <si>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</si>
  <si>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</si>
  <si>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</si>
  <si>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</si>
  <si>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</si>
  <si>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</si>
  <si>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</si>
  <si>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</si>
  <si>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</si>
  <si>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</si>
  <si>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</si>
  <si>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</si>
  <si>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</si>
  <si>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</si>
  <si>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</si>
  <si>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</si>
  <si>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</si>
  <si>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</si>
  <si>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</si>
  <si>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</si>
  <si>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</si>
  <si>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</si>
  <si>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</si>
  <si>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</si>
  <si>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</si>
  <si>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</si>
  <si>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</si>
  <si>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</si>
  <si>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</si>
  <si>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Předání a převzetí staveniště</t>
  </si>
  <si>
    <t>Dočasná dopravní opatření</t>
  </si>
  <si>
    <t>Užívání veřejných ploch a prostranství</t>
  </si>
  <si>
    <t>plán BOZP</t>
  </si>
  <si>
    <t>Předání a převzetí díla</t>
  </si>
  <si>
    <t>Celkem ORN</t>
  </si>
  <si>
    <t>Dokumentace skutečného provedení dle čl. 2.5.2. SoD</t>
  </si>
  <si>
    <t>Zpracování provozní dokumentace dle čl. 2.5.7. SoD</t>
  </si>
  <si>
    <t xml:space="preserve">Výrobní dokumentace dle čl. 2.5.1 SoD </t>
  </si>
  <si>
    <t>Revize, zkoušky a měření dle čl. 2.5.4. SoD</t>
  </si>
  <si>
    <t>Koordinační činnost dle čl. 2.5.5. SoD</t>
  </si>
  <si>
    <t>Pojištění stavby a finanční záruky dle čl. 2.5.6. SoD</t>
  </si>
  <si>
    <t>Dokumentace skutečného provedení</t>
  </si>
  <si>
    <t xml:space="preserve">Zpracování provozní dokumentace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</si>
</sst>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/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/>
    <xf numFmtId="0" fontId="3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4" borderId="26" xfId="0" applyFont="1" applyFill="1" applyBorder="1" applyAlignment="1" applyProtection="1">
      <alignment horizontal="left" vertical="center"/>
      <protection locked="0"/>
    </xf>
    <xf numFmtId="4" fontId="2" fillId="2" borderId="26" xfId="0" applyNumberFormat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0" fillId="0" borderId="6" xfId="0" applyBorder="1"/>
    <xf numFmtId="4" fontId="3" fillId="0" borderId="0" xfId="0" applyNumberFormat="1" applyFont="1" applyAlignment="1">
      <alignment horizontal="right" vertical="center"/>
    </xf>
    <xf numFmtId="4" fontId="3" fillId="3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5" xfId="0" applyBorder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0" fillId="0" borderId="27" xfId="0" applyBorder="1"/>
    <xf numFmtId="0" fontId="0" fillId="0" borderId="28" xfId="0" applyBorder="1"/>
    <xf numFmtId="0" fontId="4" fillId="0" borderId="28" xfId="0" applyFont="1" applyBorder="1" applyAlignment="1">
      <alignment horizontal="left" vertical="center"/>
    </xf>
    <xf numFmtId="4" fontId="4" fillId="0" borderId="28" xfId="0" applyNumberFormat="1" applyFont="1" applyBorder="1" applyAlignment="1">
      <alignment horizontal="right" vertical="center"/>
    </xf>
    <xf numFmtId="0" fontId="0" fillId="3" borderId="28" xfId="0" applyFill="1" applyBorder="1" applyProtection="1">
      <protection locked="0"/>
    </xf>
    <xf numFmtId="0" fontId="0" fillId="0" borderId="9" xfId="0" applyBorder="1"/>
    <xf numFmtId="4" fontId="2" fillId="0" borderId="29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4" fontId="10" fillId="0" borderId="36" xfId="0" applyNumberFormat="1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0" fontId="9" fillId="0" borderId="39" xfId="0" applyFont="1" applyBorder="1" applyAlignment="1">
      <alignment horizontal="left" vertical="center"/>
    </xf>
    <xf numFmtId="4" fontId="10" fillId="0" borderId="43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4" fontId="10" fillId="0" borderId="34" xfId="0" applyNumberFormat="1" applyFont="1" applyBorder="1" applyAlignment="1">
      <alignment horizontal="right" vertical="center"/>
    </xf>
    <xf numFmtId="4" fontId="10" fillId="0" borderId="46" xfId="0" applyNumberFormat="1" applyFont="1" applyBorder="1" applyAlignment="1">
      <alignment horizontal="right" vertical="center"/>
    </xf>
    <xf numFmtId="4" fontId="9" fillId="2" borderId="33" xfId="0" applyNumberFormat="1" applyFont="1" applyFill="1" applyBorder="1" applyAlignment="1">
      <alignment horizontal="right" vertical="center"/>
    </xf>
    <xf numFmtId="4" fontId="9" fillId="2" borderId="38" xfId="0" applyNumberFormat="1" applyFont="1" applyFill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2" fillId="0" borderId="63" xfId="0" applyFont="1" applyBorder="1" applyAlignment="1">
      <alignment horizontal="right" vertical="center"/>
    </xf>
    <xf numFmtId="4" fontId="3" fillId="0" borderId="36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/>
    </xf>
    <xf numFmtId="4" fontId="3" fillId="0" borderId="67" xfId="0" applyNumberFormat="1" applyFont="1" applyBorder="1" applyAlignment="1">
      <alignment horizontal="right" vertical="center"/>
    </xf>
    <xf numFmtId="0" fontId="3" fillId="0" borderId="67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71" xfId="0" applyFont="1" applyBorder="1" applyAlignment="1">
      <alignment horizontal="right" vertical="center"/>
    </xf>
    <xf numFmtId="4" fontId="2" fillId="0" borderId="71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7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4" fontId="9" fillId="0" borderId="72" xfId="0" applyNumberFormat="1" applyFont="1" applyBorder="1" applyAlignment="1">
      <alignment horizontal="right" vertical="center"/>
    </xf>
    <xf numFmtId="0" fontId="9" fillId="0" borderId="69" xfId="0" applyFont="1" applyBorder="1" applyAlignment="1">
      <alignment horizontal="right" vertical="center"/>
    </xf>
    <xf numFmtId="0" fontId="9" fillId="0" borderId="70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73" xfId="0" applyFont="1" applyBorder="1" applyAlignment="1">
      <alignment vertical="center"/>
    </xf>
    <xf numFmtId="4" fontId="3" fillId="0" borderId="73" xfId="0" applyNumberFormat="1" applyFont="1" applyBorder="1" applyAlignment="1">
      <alignment horizontal="right" vertical="center"/>
    </xf>
    <xf numFmtId="0" fontId="3" fillId="0" borderId="4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74" xfId="0" applyFont="1" applyBorder="1" applyAlignment="1">
      <alignment vertical="center"/>
    </xf>
    <xf numFmtId="4" fontId="2" fillId="0" borderId="58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abSelected="1" topLeftCell="A7" workbookViewId="0">
      <selection activeCell="G32" sqref="G32:I32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14" t="s">
        <v>461</v>
      </c>
      <c r="B1" s="115"/>
      <c r="C1" s="115"/>
      <c r="D1" s="115"/>
      <c r="E1" s="115"/>
      <c r="F1" s="115"/>
      <c r="G1" s="115"/>
      <c r="H1" s="115"/>
      <c r="I1" s="115"/>
    </row>
    <row r="2" spans="1:9" x14ac:dyDescent="0.25">
      <c r="A2" s="116" t="s">
        <v>1</v>
      </c>
      <c r="B2" s="117"/>
      <c r="C2" s="111" t="str">
        <f>'Stavební rozpočet'!C2</f>
        <v>Česká Lípa - oprava a výměna oken a dveří na objektu UNION</v>
      </c>
      <c r="D2" s="112"/>
      <c r="E2" s="108" t="s">
        <v>5</v>
      </c>
      <c r="F2" s="108" t="str">
        <f>'Stavební rozpočet'!I2</f>
        <v> </v>
      </c>
      <c r="G2" s="117"/>
      <c r="H2" s="108" t="s">
        <v>462</v>
      </c>
      <c r="I2" s="119" t="s">
        <v>45</v>
      </c>
    </row>
    <row r="3" spans="1:9" ht="15" customHeight="1" x14ac:dyDescent="0.25">
      <c r="A3" s="118"/>
      <c r="B3" s="71"/>
      <c r="C3" s="113"/>
      <c r="D3" s="113"/>
      <c r="E3" s="71"/>
      <c r="F3" s="71"/>
      <c r="G3" s="71"/>
      <c r="H3" s="71"/>
      <c r="I3" s="120"/>
    </row>
    <row r="4" spans="1:9" x14ac:dyDescent="0.25">
      <c r="A4" s="109" t="s">
        <v>7</v>
      </c>
      <c r="B4" s="71"/>
      <c r="C4" s="70" t="str">
        <f>'Stavební rozpočet'!C4</f>
        <v xml:space="preserve"> </v>
      </c>
      <c r="D4" s="71"/>
      <c r="E4" s="70" t="s">
        <v>10</v>
      </c>
      <c r="F4" s="70" t="str">
        <f>'Stavební rozpočet'!I4</f>
        <v> </v>
      </c>
      <c r="G4" s="71"/>
      <c r="H4" s="70" t="s">
        <v>462</v>
      </c>
      <c r="I4" s="120" t="s">
        <v>45</v>
      </c>
    </row>
    <row r="5" spans="1:9" ht="15" customHeight="1" x14ac:dyDescent="0.25">
      <c r="A5" s="118"/>
      <c r="B5" s="71"/>
      <c r="C5" s="71"/>
      <c r="D5" s="71"/>
      <c r="E5" s="71"/>
      <c r="F5" s="71"/>
      <c r="G5" s="71"/>
      <c r="H5" s="71"/>
      <c r="I5" s="120"/>
    </row>
    <row r="6" spans="1:9" x14ac:dyDescent="0.25">
      <c r="A6" s="109" t="s">
        <v>11</v>
      </c>
      <c r="B6" s="71"/>
      <c r="C6" s="70" t="str">
        <f>'Stavební rozpočet'!C6</f>
        <v>Jindřicha z Lipé 113/24, Česká Lípa</v>
      </c>
      <c r="D6" s="71"/>
      <c r="E6" s="70" t="s">
        <v>14</v>
      </c>
      <c r="F6" s="70" t="str">
        <f>'Stavební rozpočet'!I6</f>
        <v> </v>
      </c>
      <c r="G6" s="71"/>
      <c r="H6" s="70" t="s">
        <v>462</v>
      </c>
      <c r="I6" s="120" t="s">
        <v>45</v>
      </c>
    </row>
    <row r="7" spans="1:9" ht="15" customHeight="1" x14ac:dyDescent="0.25">
      <c r="A7" s="118"/>
      <c r="B7" s="71"/>
      <c r="C7" s="71"/>
      <c r="D7" s="71"/>
      <c r="E7" s="71"/>
      <c r="F7" s="71"/>
      <c r="G7" s="71"/>
      <c r="H7" s="71"/>
      <c r="I7" s="120"/>
    </row>
    <row r="8" spans="1:9" x14ac:dyDescent="0.25">
      <c r="A8" s="109" t="s">
        <v>8</v>
      </c>
      <c r="B8" s="71"/>
      <c r="C8" s="70" t="str">
        <f>'Stavební rozpočet'!G4</f>
        <v>05.08.2024</v>
      </c>
      <c r="D8" s="71"/>
      <c r="E8" s="70" t="s">
        <v>13</v>
      </c>
      <c r="F8" s="70" t="str">
        <f>'Stavební rozpočet'!G6</f>
        <v xml:space="preserve"> </v>
      </c>
      <c r="G8" s="71"/>
      <c r="H8" s="71" t="s">
        <v>463</v>
      </c>
      <c r="I8" s="121">
        <v>64</v>
      </c>
    </row>
    <row r="9" spans="1:9" x14ac:dyDescent="0.25">
      <c r="A9" s="118"/>
      <c r="B9" s="71"/>
      <c r="C9" s="71"/>
      <c r="D9" s="71"/>
      <c r="E9" s="71"/>
      <c r="F9" s="71"/>
      <c r="G9" s="71"/>
      <c r="H9" s="71"/>
      <c r="I9" s="120"/>
    </row>
    <row r="10" spans="1:9" x14ac:dyDescent="0.25">
      <c r="A10" s="109" t="s">
        <v>15</v>
      </c>
      <c r="B10" s="71"/>
      <c r="C10" s="70" t="str">
        <f>'Stavební rozpočet'!C8</f>
        <v xml:space="preserve"> </v>
      </c>
      <c r="D10" s="71"/>
      <c r="E10" s="70" t="s">
        <v>17</v>
      </c>
      <c r="F10" s="70" t="str">
        <f>'Stavební rozpočet'!I8</f>
        <v> </v>
      </c>
      <c r="G10" s="71"/>
      <c r="H10" s="71" t="s">
        <v>464</v>
      </c>
      <c r="I10" s="102" t="str">
        <f>'Stavební rozpočet'!G8</f>
        <v>05.08.2024</v>
      </c>
    </row>
    <row r="11" spans="1:9" x14ac:dyDescent="0.25">
      <c r="A11" s="110"/>
      <c r="B11" s="107"/>
      <c r="C11" s="107"/>
      <c r="D11" s="107"/>
      <c r="E11" s="107"/>
      <c r="F11" s="107"/>
      <c r="G11" s="107"/>
      <c r="H11" s="107"/>
      <c r="I11" s="103"/>
    </row>
    <row r="12" spans="1:9" ht="23.25" x14ac:dyDescent="0.25">
      <c r="A12" s="104" t="s">
        <v>465</v>
      </c>
      <c r="B12" s="104"/>
      <c r="C12" s="104"/>
      <c r="D12" s="104"/>
      <c r="E12" s="104"/>
      <c r="F12" s="104"/>
      <c r="G12" s="104"/>
      <c r="H12" s="104"/>
      <c r="I12" s="104"/>
    </row>
    <row r="13" spans="1:9" ht="26.25" customHeight="1" x14ac:dyDescent="0.25">
      <c r="A13" s="45" t="s">
        <v>466</v>
      </c>
      <c r="B13" s="105" t="s">
        <v>467</v>
      </c>
      <c r="C13" s="106"/>
      <c r="D13" s="46" t="s">
        <v>468</v>
      </c>
      <c r="E13" s="105" t="s">
        <v>469</v>
      </c>
      <c r="F13" s="106"/>
      <c r="G13" s="46" t="s">
        <v>470</v>
      </c>
      <c r="H13" s="105" t="s">
        <v>471</v>
      </c>
      <c r="I13" s="106"/>
    </row>
    <row r="14" spans="1:9" ht="15.75" x14ac:dyDescent="0.25">
      <c r="A14" s="47" t="s">
        <v>472</v>
      </c>
      <c r="B14" s="48" t="s">
        <v>473</v>
      </c>
      <c r="C14" s="49">
        <f>SUM('Stavební rozpočet'!AB12:AB310)</f>
        <v>0</v>
      </c>
      <c r="D14" s="92" t="s">
        <v>474</v>
      </c>
      <c r="E14" s="93"/>
      <c r="F14" s="49">
        <f>VORN!I15</f>
        <v>0</v>
      </c>
      <c r="G14" s="92" t="s">
        <v>475</v>
      </c>
      <c r="H14" s="93"/>
      <c r="I14" s="50">
        <f>VORN!I25</f>
        <v>0</v>
      </c>
    </row>
    <row r="15" spans="1:9" ht="15.75" x14ac:dyDescent="0.25">
      <c r="A15" s="51" t="s">
        <v>45</v>
      </c>
      <c r="B15" s="48" t="s">
        <v>476</v>
      </c>
      <c r="C15" s="49">
        <f>SUM('Stavební rozpočet'!AC12:AC310)</f>
        <v>0</v>
      </c>
      <c r="D15" s="92" t="s">
        <v>477</v>
      </c>
      <c r="E15" s="93"/>
      <c r="F15" s="49">
        <f>VORN!I16</f>
        <v>0</v>
      </c>
      <c r="G15" s="92" t="s">
        <v>478</v>
      </c>
      <c r="H15" s="93"/>
      <c r="I15" s="50">
        <f>VORN!I26</f>
        <v>0</v>
      </c>
    </row>
    <row r="16" spans="1:9" ht="15.75" x14ac:dyDescent="0.25">
      <c r="A16" s="47" t="s">
        <v>479</v>
      </c>
      <c r="B16" s="48" t="s">
        <v>473</v>
      </c>
      <c r="C16" s="49">
        <f>SUM('Stavební rozpočet'!AD12:AD310)</f>
        <v>0</v>
      </c>
      <c r="D16" s="92" t="s">
        <v>480</v>
      </c>
      <c r="E16" s="93"/>
      <c r="F16" s="49">
        <f>VORN!I17</f>
        <v>0</v>
      </c>
      <c r="G16" s="92" t="s">
        <v>481</v>
      </c>
      <c r="H16" s="93"/>
      <c r="I16" s="50">
        <f>VORN!I27</f>
        <v>0</v>
      </c>
    </row>
    <row r="17" spans="1:9" ht="15.75" x14ac:dyDescent="0.25">
      <c r="A17" s="51" t="s">
        <v>45</v>
      </c>
      <c r="B17" s="48" t="s">
        <v>476</v>
      </c>
      <c r="C17" s="49">
        <f>SUM('Stavební rozpočet'!AE12:AE310)</f>
        <v>0</v>
      </c>
      <c r="D17" s="92" t="s">
        <v>482</v>
      </c>
      <c r="E17" s="93"/>
      <c r="F17" s="49">
        <f>VORN!I18</f>
        <v>0</v>
      </c>
      <c r="G17" s="92" t="s">
        <v>483</v>
      </c>
      <c r="H17" s="93"/>
      <c r="I17" s="50">
        <f>VORN!I28</f>
        <v>0</v>
      </c>
    </row>
    <row r="18" spans="1:9" ht="15.75" x14ac:dyDescent="0.25">
      <c r="A18" s="47" t="s">
        <v>484</v>
      </c>
      <c r="B18" s="48" t="s">
        <v>473</v>
      </c>
      <c r="C18" s="49">
        <f>SUM('Stavební rozpočet'!AF12:AF310)</f>
        <v>0</v>
      </c>
      <c r="D18" s="92" t="s">
        <v>485</v>
      </c>
      <c r="E18" s="93"/>
      <c r="F18" s="49">
        <f>VORN!I21</f>
        <v>0</v>
      </c>
      <c r="G18" s="92" t="s">
        <v>486</v>
      </c>
      <c r="H18" s="93"/>
      <c r="I18" s="50">
        <f>VORN!I29</f>
        <v>0</v>
      </c>
    </row>
    <row r="19" spans="1:9" ht="15.75" x14ac:dyDescent="0.25">
      <c r="A19" s="51" t="s">
        <v>45</v>
      </c>
      <c r="B19" s="48" t="s">
        <v>476</v>
      </c>
      <c r="C19" s="49">
        <f>SUM('Stavební rozpočet'!AG12:AG310)</f>
        <v>0</v>
      </c>
      <c r="D19" s="92" t="s">
        <v>531</v>
      </c>
      <c r="E19" s="93"/>
      <c r="F19" s="49">
        <f>VORN!F19</f>
        <v>0</v>
      </c>
      <c r="G19" s="92" t="s">
        <v>487</v>
      </c>
      <c r="H19" s="93"/>
      <c r="I19" s="50">
        <f>VORN!I30</f>
        <v>0</v>
      </c>
    </row>
    <row r="20" spans="1:9" ht="15.75" x14ac:dyDescent="0.25">
      <c r="A20" s="84" t="s">
        <v>488</v>
      </c>
      <c r="B20" s="85"/>
      <c r="C20" s="49">
        <f>SUM('Stavební rozpočet'!AH12:AH310)</f>
        <v>0</v>
      </c>
      <c r="D20" s="92" t="s">
        <v>532</v>
      </c>
      <c r="E20" s="93"/>
      <c r="F20" s="49">
        <f>VORN!F20</f>
        <v>0</v>
      </c>
      <c r="G20" s="92" t="s">
        <v>45</v>
      </c>
      <c r="H20" s="93"/>
      <c r="I20" s="50" t="s">
        <v>45</v>
      </c>
    </row>
    <row r="21" spans="1:9" ht="15.75" x14ac:dyDescent="0.25">
      <c r="A21" s="99" t="s">
        <v>489</v>
      </c>
      <c r="B21" s="100"/>
      <c r="C21" s="52">
        <f>SUM('Stavební rozpočet'!Z12:Z310)</f>
        <v>0</v>
      </c>
      <c r="D21" s="94" t="s">
        <v>45</v>
      </c>
      <c r="E21" s="95"/>
      <c r="F21" s="53" t="s">
        <v>45</v>
      </c>
      <c r="G21" s="94" t="s">
        <v>45</v>
      </c>
      <c r="H21" s="95"/>
      <c r="I21" s="53" t="s">
        <v>45</v>
      </c>
    </row>
    <row r="22" spans="1:9" ht="16.5" customHeight="1" x14ac:dyDescent="0.25">
      <c r="A22" s="101" t="s">
        <v>490</v>
      </c>
      <c r="B22" s="97"/>
      <c r="C22" s="54">
        <f>SUM(C14:C21)</f>
        <v>0</v>
      </c>
      <c r="D22" s="96" t="s">
        <v>491</v>
      </c>
      <c r="E22" s="97"/>
      <c r="F22" s="54">
        <f>SUM(F14:F21)</f>
        <v>0</v>
      </c>
      <c r="G22" s="96" t="s">
        <v>492</v>
      </c>
      <c r="H22" s="97"/>
      <c r="I22" s="54">
        <f>SUM(I14:I21)</f>
        <v>0</v>
      </c>
    </row>
    <row r="23" spans="1:9" ht="15.75" x14ac:dyDescent="0.25">
      <c r="D23" s="84" t="s">
        <v>493</v>
      </c>
      <c r="E23" s="85"/>
      <c r="F23" s="55">
        <v>0</v>
      </c>
      <c r="G23" s="98" t="s">
        <v>494</v>
      </c>
      <c r="H23" s="85"/>
      <c r="I23" s="49">
        <v>0</v>
      </c>
    </row>
    <row r="24" spans="1:9" ht="15.75" x14ac:dyDescent="0.25">
      <c r="G24" s="84" t="s">
        <v>495</v>
      </c>
      <c r="H24" s="85"/>
      <c r="I24" s="52">
        <f>vorn_sum</f>
        <v>0</v>
      </c>
    </row>
    <row r="25" spans="1:9" ht="15.75" x14ac:dyDescent="0.25">
      <c r="G25" s="84" t="s">
        <v>496</v>
      </c>
      <c r="H25" s="85"/>
      <c r="I25" s="54">
        <v>0</v>
      </c>
    </row>
    <row r="27" spans="1:9" ht="15.75" x14ac:dyDescent="0.25">
      <c r="A27" s="86" t="s">
        <v>497</v>
      </c>
      <c r="B27" s="87"/>
      <c r="C27" s="56">
        <f>SUM('Stavební rozpočet'!AJ12:AJ310)</f>
        <v>0</v>
      </c>
    </row>
    <row r="28" spans="1:9" ht="15.75" x14ac:dyDescent="0.25">
      <c r="A28" s="88" t="s">
        <v>498</v>
      </c>
      <c r="B28" s="89"/>
      <c r="C28" s="57">
        <f>SUM('Stavební rozpočet'!AK12:AK310)</f>
        <v>0</v>
      </c>
      <c r="D28" s="90" t="s">
        <v>499</v>
      </c>
      <c r="E28" s="87"/>
      <c r="F28" s="56">
        <f>ROUND(C28*(12/100),2)</f>
        <v>0</v>
      </c>
      <c r="G28" s="90" t="s">
        <v>500</v>
      </c>
      <c r="H28" s="87"/>
      <c r="I28" s="56">
        <f>SUM(C27:C29)</f>
        <v>0</v>
      </c>
    </row>
    <row r="29" spans="1:9" ht="15.75" x14ac:dyDescent="0.25">
      <c r="A29" s="88" t="s">
        <v>501</v>
      </c>
      <c r="B29" s="89"/>
      <c r="C29" s="57">
        <f>SUM('Stavební rozpočet'!AL12:AL310)+(F22+I22+F23+I23+I24+I25)</f>
        <v>0</v>
      </c>
      <c r="D29" s="91" t="s">
        <v>502</v>
      </c>
      <c r="E29" s="89"/>
      <c r="F29" s="57">
        <f>ROUND(C29*(21/100),2)</f>
        <v>0</v>
      </c>
      <c r="G29" s="91" t="s">
        <v>503</v>
      </c>
      <c r="H29" s="89"/>
      <c r="I29" s="57">
        <f>SUM(F28:F29)+I28</f>
        <v>0</v>
      </c>
    </row>
    <row r="31" spans="1:9" x14ac:dyDescent="0.25">
      <c r="A31" s="81" t="s">
        <v>504</v>
      </c>
      <c r="B31" s="73"/>
      <c r="C31" s="74"/>
      <c r="D31" s="72" t="s">
        <v>505</v>
      </c>
      <c r="E31" s="73"/>
      <c r="F31" s="74"/>
      <c r="G31" s="72" t="s">
        <v>506</v>
      </c>
      <c r="H31" s="73"/>
      <c r="I31" s="74"/>
    </row>
    <row r="32" spans="1:9" x14ac:dyDescent="0.25">
      <c r="A32" s="82" t="s">
        <v>45</v>
      </c>
      <c r="B32" s="76"/>
      <c r="C32" s="77"/>
      <c r="D32" s="75" t="s">
        <v>45</v>
      </c>
      <c r="E32" s="76"/>
      <c r="F32" s="77"/>
      <c r="G32" s="75" t="s">
        <v>45</v>
      </c>
      <c r="H32" s="76"/>
      <c r="I32" s="77"/>
    </row>
    <row r="33" spans="1:9" x14ac:dyDescent="0.25">
      <c r="A33" s="82" t="s">
        <v>45</v>
      </c>
      <c r="B33" s="76"/>
      <c r="C33" s="77"/>
      <c r="D33" s="75" t="s">
        <v>45</v>
      </c>
      <c r="E33" s="76"/>
      <c r="F33" s="77"/>
      <c r="G33" s="75" t="s">
        <v>45</v>
      </c>
      <c r="H33" s="76"/>
      <c r="I33" s="77"/>
    </row>
    <row r="34" spans="1:9" x14ac:dyDescent="0.25">
      <c r="A34" s="82" t="s">
        <v>45</v>
      </c>
      <c r="B34" s="76"/>
      <c r="C34" s="77"/>
      <c r="D34" s="75" t="s">
        <v>45</v>
      </c>
      <c r="E34" s="76"/>
      <c r="F34" s="77"/>
      <c r="G34" s="75" t="s">
        <v>45</v>
      </c>
      <c r="H34" s="76"/>
      <c r="I34" s="77"/>
    </row>
    <row r="35" spans="1:9" x14ac:dyDescent="0.25">
      <c r="A35" s="83" t="s">
        <v>507</v>
      </c>
      <c r="B35" s="79"/>
      <c r="C35" s="80"/>
      <c r="D35" s="78" t="s">
        <v>507</v>
      </c>
      <c r="E35" s="79"/>
      <c r="F35" s="80"/>
      <c r="G35" s="78" t="s">
        <v>507</v>
      </c>
      <c r="H35" s="79"/>
      <c r="I35" s="80"/>
    </row>
    <row r="36" spans="1:9" x14ac:dyDescent="0.25">
      <c r="A36" s="58" t="s">
        <v>460</v>
      </c>
    </row>
    <row r="37" spans="1:9" ht="12.75" customHeight="1" x14ac:dyDescent="0.25">
      <c r="A37" s="70" t="s">
        <v>45</v>
      </c>
      <c r="B37" s="71"/>
      <c r="C37" s="71"/>
      <c r="D37" s="71"/>
      <c r="E37" s="71"/>
      <c r="F37" s="71"/>
      <c r="G37" s="71"/>
      <c r="H37" s="71"/>
      <c r="I37" s="71"/>
    </row>
  </sheetData>
  <sheetProtection algorithmName="SHA-512" hashValue="pt7qgu8MIew5tf18ahsVidqZySM1M/b0M8zVyYKMhpS2djmt2uTSaWnDu6uBq5JSUzjcbqffpvxFFB3jE3SxYw==" saltValue="SM8d6ny17Q4LEpywK7Re8A==" spinCount="100000" sheet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7"/>
  <sheetViews>
    <sheetView topLeftCell="A22" workbookViewId="0">
      <selection activeCell="F47" sqref="F4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14" t="s">
        <v>508</v>
      </c>
      <c r="B1" s="115"/>
      <c r="C1" s="115"/>
      <c r="D1" s="115"/>
      <c r="E1" s="115"/>
      <c r="F1" s="115"/>
      <c r="G1" s="115"/>
      <c r="H1" s="115"/>
      <c r="I1" s="115"/>
    </row>
    <row r="2" spans="1:9" x14ac:dyDescent="0.25">
      <c r="A2" s="116" t="s">
        <v>1</v>
      </c>
      <c r="B2" s="117"/>
      <c r="C2" s="111" t="str">
        <f>'Stavební rozpočet'!C2</f>
        <v>Česká Lípa - oprava a výměna oken a dveří na objektu UNION</v>
      </c>
      <c r="D2" s="112"/>
      <c r="E2" s="108" t="s">
        <v>5</v>
      </c>
      <c r="F2" s="108" t="str">
        <f>'Stavební rozpočet'!I2</f>
        <v> </v>
      </c>
      <c r="G2" s="117"/>
      <c r="H2" s="108" t="s">
        <v>462</v>
      </c>
      <c r="I2" s="119" t="s">
        <v>45</v>
      </c>
    </row>
    <row r="3" spans="1:9" ht="15" customHeight="1" x14ac:dyDescent="0.25">
      <c r="A3" s="118"/>
      <c r="B3" s="71"/>
      <c r="C3" s="113"/>
      <c r="D3" s="113"/>
      <c r="E3" s="71"/>
      <c r="F3" s="71"/>
      <c r="G3" s="71"/>
      <c r="H3" s="71"/>
      <c r="I3" s="120"/>
    </row>
    <row r="4" spans="1:9" x14ac:dyDescent="0.25">
      <c r="A4" s="109" t="s">
        <v>7</v>
      </c>
      <c r="B4" s="71"/>
      <c r="C4" s="70" t="str">
        <f>'Stavební rozpočet'!C4</f>
        <v xml:space="preserve"> </v>
      </c>
      <c r="D4" s="71"/>
      <c r="E4" s="70" t="s">
        <v>10</v>
      </c>
      <c r="F4" s="70" t="str">
        <f>'Stavební rozpočet'!I4</f>
        <v> </v>
      </c>
      <c r="G4" s="71"/>
      <c r="H4" s="70" t="s">
        <v>462</v>
      </c>
      <c r="I4" s="120" t="s">
        <v>45</v>
      </c>
    </row>
    <row r="5" spans="1:9" ht="15" customHeight="1" x14ac:dyDescent="0.25">
      <c r="A5" s="118"/>
      <c r="B5" s="71"/>
      <c r="C5" s="71"/>
      <c r="D5" s="71"/>
      <c r="E5" s="71"/>
      <c r="F5" s="71"/>
      <c r="G5" s="71"/>
      <c r="H5" s="71"/>
      <c r="I5" s="120"/>
    </row>
    <row r="6" spans="1:9" x14ac:dyDescent="0.25">
      <c r="A6" s="109" t="s">
        <v>11</v>
      </c>
      <c r="B6" s="71"/>
      <c r="C6" s="70" t="str">
        <f>'Stavební rozpočet'!C6</f>
        <v>Jindřicha z Lipé 113/24, Česká Lípa</v>
      </c>
      <c r="D6" s="71"/>
      <c r="E6" s="70" t="s">
        <v>14</v>
      </c>
      <c r="F6" s="70" t="str">
        <f>'Stavební rozpočet'!I6</f>
        <v> </v>
      </c>
      <c r="G6" s="71"/>
      <c r="H6" s="70" t="s">
        <v>462</v>
      </c>
      <c r="I6" s="120" t="s">
        <v>45</v>
      </c>
    </row>
    <row r="7" spans="1:9" ht="15" customHeight="1" x14ac:dyDescent="0.25">
      <c r="A7" s="118"/>
      <c r="B7" s="71"/>
      <c r="C7" s="71"/>
      <c r="D7" s="71"/>
      <c r="E7" s="71"/>
      <c r="F7" s="71"/>
      <c r="G7" s="71"/>
      <c r="H7" s="71"/>
      <c r="I7" s="120"/>
    </row>
    <row r="8" spans="1:9" x14ac:dyDescent="0.25">
      <c r="A8" s="109" t="s">
        <v>8</v>
      </c>
      <c r="B8" s="71"/>
      <c r="C8" s="70" t="str">
        <f>'Stavební rozpočet'!G4</f>
        <v>05.08.2024</v>
      </c>
      <c r="D8" s="71"/>
      <c r="E8" s="70" t="s">
        <v>13</v>
      </c>
      <c r="F8" s="70" t="str">
        <f>'Stavební rozpočet'!G6</f>
        <v xml:space="preserve"> </v>
      </c>
      <c r="G8" s="71"/>
      <c r="H8" s="71" t="s">
        <v>463</v>
      </c>
      <c r="I8" s="121">
        <v>64</v>
      </c>
    </row>
    <row r="9" spans="1:9" x14ac:dyDescent="0.25">
      <c r="A9" s="118"/>
      <c r="B9" s="71"/>
      <c r="C9" s="71"/>
      <c r="D9" s="71"/>
      <c r="E9" s="71"/>
      <c r="F9" s="71"/>
      <c r="G9" s="71"/>
      <c r="H9" s="71"/>
      <c r="I9" s="120"/>
    </row>
    <row r="10" spans="1:9" x14ac:dyDescent="0.25">
      <c r="A10" s="109" t="s">
        <v>15</v>
      </c>
      <c r="B10" s="71"/>
      <c r="C10" s="70" t="str">
        <f>'Stavební rozpočet'!C8</f>
        <v xml:space="preserve"> </v>
      </c>
      <c r="D10" s="71"/>
      <c r="E10" s="70" t="s">
        <v>17</v>
      </c>
      <c r="F10" s="70" t="str">
        <f>'Stavební rozpočet'!I8</f>
        <v> </v>
      </c>
      <c r="G10" s="71"/>
      <c r="H10" s="71" t="s">
        <v>464</v>
      </c>
      <c r="I10" s="102" t="str">
        <f>'Stavební rozpočet'!G8</f>
        <v>05.08.2024</v>
      </c>
    </row>
    <row r="11" spans="1:9" x14ac:dyDescent="0.25">
      <c r="A11" s="110"/>
      <c r="B11" s="107"/>
      <c r="C11" s="107"/>
      <c r="D11" s="107"/>
      <c r="E11" s="107"/>
      <c r="F11" s="107"/>
      <c r="G11" s="107"/>
      <c r="H11" s="107"/>
      <c r="I11" s="103"/>
    </row>
    <row r="13" spans="1:9" ht="15.75" x14ac:dyDescent="0.25">
      <c r="A13" s="140" t="s">
        <v>509</v>
      </c>
      <c r="B13" s="140"/>
      <c r="C13" s="140"/>
      <c r="D13" s="140"/>
      <c r="E13" s="140"/>
    </row>
    <row r="14" spans="1:9" x14ac:dyDescent="0.25">
      <c r="A14" s="128" t="s">
        <v>510</v>
      </c>
      <c r="B14" s="129"/>
      <c r="C14" s="129"/>
      <c r="D14" s="129"/>
      <c r="E14" s="130"/>
      <c r="F14" s="59" t="s">
        <v>511</v>
      </c>
      <c r="G14" s="59" t="s">
        <v>512</v>
      </c>
      <c r="H14" s="59" t="s">
        <v>513</v>
      </c>
      <c r="I14" s="59" t="s">
        <v>511</v>
      </c>
    </row>
    <row r="15" spans="1:9" x14ac:dyDescent="0.25">
      <c r="A15" s="131" t="s">
        <v>474</v>
      </c>
      <c r="B15" s="132"/>
      <c r="C15" s="132"/>
      <c r="D15" s="132"/>
      <c r="E15" s="133"/>
      <c r="F15" s="60">
        <v>0</v>
      </c>
      <c r="G15" s="61" t="s">
        <v>45</v>
      </c>
      <c r="H15" s="61" t="s">
        <v>45</v>
      </c>
      <c r="I15" s="60">
        <f>F15</f>
        <v>0</v>
      </c>
    </row>
    <row r="16" spans="1:9" x14ac:dyDescent="0.25">
      <c r="A16" s="131" t="s">
        <v>477</v>
      </c>
      <c r="B16" s="132"/>
      <c r="C16" s="132"/>
      <c r="D16" s="132"/>
      <c r="E16" s="133"/>
      <c r="F16" s="60">
        <v>0</v>
      </c>
      <c r="G16" s="61" t="s">
        <v>45</v>
      </c>
      <c r="H16" s="61" t="s">
        <v>45</v>
      </c>
      <c r="I16" s="62">
        <f>F16</f>
        <v>0</v>
      </c>
    </row>
    <row r="17" spans="1:9" x14ac:dyDescent="0.25">
      <c r="A17" s="131" t="s">
        <v>480</v>
      </c>
      <c r="B17" s="132"/>
      <c r="C17" s="132"/>
      <c r="D17" s="132"/>
      <c r="E17" s="133"/>
      <c r="F17" s="60">
        <v>0</v>
      </c>
      <c r="G17" s="61" t="s">
        <v>45</v>
      </c>
      <c r="H17" s="67" t="s">
        <v>45</v>
      </c>
      <c r="I17" s="161">
        <f>F17</f>
        <v>0</v>
      </c>
    </row>
    <row r="18" spans="1:9" x14ac:dyDescent="0.25">
      <c r="A18" s="131" t="s">
        <v>482</v>
      </c>
      <c r="B18" s="132"/>
      <c r="C18" s="132"/>
      <c r="D18" s="132"/>
      <c r="E18" s="133"/>
      <c r="F18" s="62">
        <v>0</v>
      </c>
      <c r="G18" s="63" t="s">
        <v>45</v>
      </c>
      <c r="H18" s="69" t="s">
        <v>45</v>
      </c>
      <c r="I18" s="161">
        <f>F18</f>
        <v>0</v>
      </c>
    </row>
    <row r="19" spans="1:9" x14ac:dyDescent="0.25">
      <c r="A19" s="131" t="s">
        <v>525</v>
      </c>
      <c r="B19" s="132"/>
      <c r="C19" s="132"/>
      <c r="D19" s="132"/>
      <c r="E19" s="132"/>
      <c r="F19" s="161">
        <v>0</v>
      </c>
      <c r="G19" s="160"/>
      <c r="H19" s="165"/>
      <c r="I19" s="161">
        <f>F19</f>
        <v>0</v>
      </c>
    </row>
    <row r="20" spans="1:9" x14ac:dyDescent="0.25">
      <c r="A20" s="131" t="s">
        <v>526</v>
      </c>
      <c r="B20" s="132"/>
      <c r="C20" s="132"/>
      <c r="D20" s="132"/>
      <c r="E20" s="132"/>
      <c r="F20" s="161">
        <v>0</v>
      </c>
      <c r="G20" s="160"/>
      <c r="H20" s="165"/>
      <c r="I20" s="161">
        <f>F20</f>
        <v>0</v>
      </c>
    </row>
    <row r="21" spans="1:9" ht="15.75" thickBot="1" x14ac:dyDescent="0.3">
      <c r="A21" s="122" t="s">
        <v>527</v>
      </c>
      <c r="B21" s="123"/>
      <c r="C21" s="123"/>
      <c r="D21" s="123"/>
      <c r="E21" s="124"/>
      <c r="F21" s="62">
        <v>0</v>
      </c>
      <c r="G21" s="63" t="s">
        <v>45</v>
      </c>
      <c r="H21" s="69" t="s">
        <v>45</v>
      </c>
      <c r="I21" s="161">
        <f>F21</f>
        <v>0</v>
      </c>
    </row>
    <row r="22" spans="1:9" ht="15.75" thickBot="1" x14ac:dyDescent="0.3">
      <c r="A22" s="125" t="s">
        <v>514</v>
      </c>
      <c r="B22" s="126"/>
      <c r="C22" s="126"/>
      <c r="D22" s="126"/>
      <c r="E22" s="127"/>
      <c r="F22" s="64" t="s">
        <v>45</v>
      </c>
      <c r="G22" s="65" t="s">
        <v>45</v>
      </c>
      <c r="H22" s="65" t="s">
        <v>45</v>
      </c>
      <c r="I22" s="166">
        <f>SUM(I15:I21)</f>
        <v>0</v>
      </c>
    </row>
    <row r="23" spans="1:9" ht="15" customHeight="1" thickBot="1" x14ac:dyDescent="0.3"/>
    <row r="24" spans="1:9" x14ac:dyDescent="0.25">
      <c r="A24" s="128" t="s">
        <v>471</v>
      </c>
      <c r="B24" s="129"/>
      <c r="C24" s="129"/>
      <c r="D24" s="129"/>
      <c r="E24" s="130"/>
      <c r="F24" s="59" t="s">
        <v>511</v>
      </c>
      <c r="G24" s="59" t="s">
        <v>512</v>
      </c>
      <c r="H24" s="59" t="s">
        <v>513</v>
      </c>
      <c r="I24" s="59" t="s">
        <v>511</v>
      </c>
    </row>
    <row r="25" spans="1:9" x14ac:dyDescent="0.25">
      <c r="A25" s="131" t="s">
        <v>475</v>
      </c>
      <c r="B25" s="132"/>
      <c r="C25" s="132"/>
      <c r="D25" s="132"/>
      <c r="E25" s="133"/>
      <c r="F25" s="60">
        <v>0</v>
      </c>
      <c r="G25" s="60"/>
      <c r="H25" s="60"/>
      <c r="I25" s="60">
        <f t="shared" ref="I25:I30" si="0">F25</f>
        <v>0</v>
      </c>
    </row>
    <row r="26" spans="1:9" x14ac:dyDescent="0.25">
      <c r="A26" s="131" t="s">
        <v>478</v>
      </c>
      <c r="B26" s="132"/>
      <c r="C26" s="132"/>
      <c r="D26" s="132"/>
      <c r="E26" s="133"/>
      <c r="F26" s="60">
        <v>0</v>
      </c>
      <c r="G26" s="61" t="s">
        <v>45</v>
      </c>
      <c r="H26" s="61" t="s">
        <v>45</v>
      </c>
      <c r="I26" s="60">
        <f t="shared" si="0"/>
        <v>0</v>
      </c>
    </row>
    <row r="27" spans="1:9" x14ac:dyDescent="0.25">
      <c r="A27" s="131" t="s">
        <v>481</v>
      </c>
      <c r="B27" s="132"/>
      <c r="C27" s="132"/>
      <c r="D27" s="132"/>
      <c r="E27" s="133"/>
      <c r="F27" s="60">
        <v>0</v>
      </c>
      <c r="G27" s="61" t="s">
        <v>45</v>
      </c>
      <c r="H27" s="61" t="s">
        <v>45</v>
      </c>
      <c r="I27" s="60">
        <f t="shared" si="0"/>
        <v>0</v>
      </c>
    </row>
    <row r="28" spans="1:9" x14ac:dyDescent="0.25">
      <c r="A28" s="131" t="s">
        <v>483</v>
      </c>
      <c r="B28" s="132"/>
      <c r="C28" s="132"/>
      <c r="D28" s="132"/>
      <c r="E28" s="133"/>
      <c r="F28" s="60">
        <v>0</v>
      </c>
      <c r="G28" s="61" t="s">
        <v>45</v>
      </c>
      <c r="H28" s="61" t="s">
        <v>45</v>
      </c>
      <c r="I28" s="60">
        <f t="shared" si="0"/>
        <v>0</v>
      </c>
    </row>
    <row r="29" spans="1:9" x14ac:dyDescent="0.25">
      <c r="A29" s="131" t="s">
        <v>486</v>
      </c>
      <c r="B29" s="132"/>
      <c r="C29" s="132"/>
      <c r="D29" s="132"/>
      <c r="E29" s="133"/>
      <c r="F29" s="60">
        <v>0</v>
      </c>
      <c r="G29" s="61" t="s">
        <v>45</v>
      </c>
      <c r="H29" s="61" t="s">
        <v>45</v>
      </c>
      <c r="I29" s="60">
        <f t="shared" si="0"/>
        <v>0</v>
      </c>
    </row>
    <row r="30" spans="1:9" x14ac:dyDescent="0.25">
      <c r="A30" s="122" t="s">
        <v>487</v>
      </c>
      <c r="B30" s="123"/>
      <c r="C30" s="123"/>
      <c r="D30" s="123"/>
      <c r="E30" s="124"/>
      <c r="F30" s="62">
        <v>0</v>
      </c>
      <c r="G30" s="63" t="s">
        <v>45</v>
      </c>
      <c r="H30" s="63" t="s">
        <v>45</v>
      </c>
      <c r="I30" s="62">
        <f t="shared" si="0"/>
        <v>0</v>
      </c>
    </row>
    <row r="31" spans="1:9" x14ac:dyDescent="0.25">
      <c r="A31" s="125" t="s">
        <v>515</v>
      </c>
      <c r="B31" s="126"/>
      <c r="C31" s="126"/>
      <c r="D31" s="126"/>
      <c r="E31" s="127"/>
      <c r="F31" s="64" t="s">
        <v>45</v>
      </c>
      <c r="G31" s="65" t="s">
        <v>45</v>
      </c>
      <c r="H31" s="65" t="s">
        <v>45</v>
      </c>
      <c r="I31" s="66">
        <f>SUM(I25:I30)</f>
        <v>0</v>
      </c>
    </row>
    <row r="33" spans="1:9" ht="15.75" x14ac:dyDescent="0.25">
      <c r="A33" s="134" t="s">
        <v>516</v>
      </c>
      <c r="B33" s="135"/>
      <c r="C33" s="135"/>
      <c r="D33" s="135"/>
      <c r="E33" s="136"/>
      <c r="F33" s="137">
        <f>I22+I31</f>
        <v>0</v>
      </c>
      <c r="G33" s="138"/>
      <c r="H33" s="138"/>
      <c r="I33" s="139"/>
    </row>
    <row r="37" spans="1:9" ht="15.75" x14ac:dyDescent="0.25">
      <c r="A37" s="140" t="s">
        <v>517</v>
      </c>
      <c r="B37" s="140"/>
      <c r="C37" s="140"/>
      <c r="D37" s="140"/>
      <c r="E37" s="140"/>
    </row>
    <row r="38" spans="1:9" x14ac:dyDescent="0.25">
      <c r="A38" s="128" t="s">
        <v>518</v>
      </c>
      <c r="B38" s="129"/>
      <c r="C38" s="129"/>
      <c r="D38" s="129"/>
      <c r="E38" s="130"/>
      <c r="F38" s="59" t="s">
        <v>511</v>
      </c>
      <c r="G38" s="59" t="s">
        <v>512</v>
      </c>
      <c r="H38" s="59" t="s">
        <v>513</v>
      </c>
      <c r="I38" s="59" t="s">
        <v>511</v>
      </c>
    </row>
    <row r="39" spans="1:9" x14ac:dyDescent="0.25">
      <c r="A39" s="131" t="s">
        <v>519</v>
      </c>
      <c r="B39" s="132"/>
      <c r="C39" s="132"/>
      <c r="D39" s="132"/>
      <c r="E39" s="133"/>
      <c r="F39" s="60">
        <v>0</v>
      </c>
      <c r="G39" s="61" t="s">
        <v>45</v>
      </c>
      <c r="H39" s="61" t="s">
        <v>45</v>
      </c>
      <c r="I39" s="60">
        <f>F39</f>
        <v>0</v>
      </c>
    </row>
    <row r="40" spans="1:9" x14ac:dyDescent="0.25">
      <c r="A40" s="162" t="s">
        <v>528</v>
      </c>
      <c r="B40" s="163"/>
      <c r="C40" s="163"/>
      <c r="D40" s="163"/>
      <c r="E40" s="164"/>
      <c r="F40" s="60">
        <v>0</v>
      </c>
      <c r="G40" s="68"/>
      <c r="H40" s="68"/>
      <c r="I40" s="60">
        <f t="shared" ref="I40:I42" si="1">F40</f>
        <v>0</v>
      </c>
    </row>
    <row r="41" spans="1:9" x14ac:dyDescent="0.25">
      <c r="A41" s="162" t="s">
        <v>529</v>
      </c>
      <c r="B41" s="163"/>
      <c r="C41" s="163"/>
      <c r="D41" s="163"/>
      <c r="E41" s="164"/>
      <c r="F41" s="60">
        <v>0</v>
      </c>
      <c r="G41" s="68"/>
      <c r="H41" s="68"/>
      <c r="I41" s="60">
        <f t="shared" si="1"/>
        <v>0</v>
      </c>
    </row>
    <row r="42" spans="1:9" x14ac:dyDescent="0.25">
      <c r="A42" s="162" t="s">
        <v>530</v>
      </c>
      <c r="B42" s="163"/>
      <c r="C42" s="163"/>
      <c r="D42" s="163"/>
      <c r="E42" s="164"/>
      <c r="F42" s="60">
        <v>0</v>
      </c>
      <c r="G42" s="68"/>
      <c r="H42" s="68"/>
      <c r="I42" s="60">
        <f t="shared" si="1"/>
        <v>0</v>
      </c>
    </row>
    <row r="43" spans="1:9" x14ac:dyDescent="0.25">
      <c r="A43" s="131" t="s">
        <v>520</v>
      </c>
      <c r="B43" s="132"/>
      <c r="C43" s="132"/>
      <c r="D43" s="132"/>
      <c r="E43" s="133"/>
      <c r="F43" s="60">
        <v>0</v>
      </c>
      <c r="G43" s="61" t="s">
        <v>45</v>
      </c>
      <c r="H43" s="61" t="s">
        <v>45</v>
      </c>
      <c r="I43" s="60">
        <f>F43</f>
        <v>0</v>
      </c>
    </row>
    <row r="44" spans="1:9" x14ac:dyDescent="0.25">
      <c r="A44" s="131" t="s">
        <v>521</v>
      </c>
      <c r="B44" s="132"/>
      <c r="C44" s="132"/>
      <c r="D44" s="132"/>
      <c r="E44" s="133"/>
      <c r="F44" s="60">
        <v>0</v>
      </c>
      <c r="G44" s="61" t="s">
        <v>45</v>
      </c>
      <c r="H44" s="61" t="s">
        <v>45</v>
      </c>
      <c r="I44" s="60">
        <f>F44</f>
        <v>0</v>
      </c>
    </row>
    <row r="45" spans="1:9" x14ac:dyDescent="0.25">
      <c r="A45" s="131" t="s">
        <v>522</v>
      </c>
      <c r="B45" s="132"/>
      <c r="C45" s="132"/>
      <c r="D45" s="132"/>
      <c r="E45" s="133"/>
      <c r="F45" s="60">
        <v>0</v>
      </c>
      <c r="G45" s="61" t="s">
        <v>45</v>
      </c>
      <c r="H45" s="61" t="s">
        <v>45</v>
      </c>
      <c r="I45" s="60">
        <f>F45</f>
        <v>0</v>
      </c>
    </row>
    <row r="46" spans="1:9" x14ac:dyDescent="0.25">
      <c r="A46" s="122" t="s">
        <v>523</v>
      </c>
      <c r="B46" s="123"/>
      <c r="C46" s="123"/>
      <c r="D46" s="123"/>
      <c r="E46" s="124"/>
      <c r="F46" s="62">
        <v>0</v>
      </c>
      <c r="G46" s="63" t="s">
        <v>45</v>
      </c>
      <c r="H46" s="63" t="s">
        <v>45</v>
      </c>
      <c r="I46" s="62">
        <f>F46</f>
        <v>0</v>
      </c>
    </row>
    <row r="47" spans="1:9" x14ac:dyDescent="0.25">
      <c r="A47" s="125" t="s">
        <v>524</v>
      </c>
      <c r="B47" s="126"/>
      <c r="C47" s="126"/>
      <c r="D47" s="126"/>
      <c r="E47" s="127"/>
      <c r="F47" s="64" t="s">
        <v>45</v>
      </c>
      <c r="G47" s="65" t="s">
        <v>45</v>
      </c>
      <c r="H47" s="65" t="s">
        <v>45</v>
      </c>
      <c r="I47" s="66">
        <f>SUM(I39:I46)</f>
        <v>0</v>
      </c>
    </row>
  </sheetData>
  <sheetProtection algorithmName="SHA-512" hashValue="wN4R7JsgW7xIBZPzy8oGoPN+IbzNQtksAeK3WfZVH3QgL8QqWlyER2egthI/ntbKXeWXvRHX8amjPdo+ptn6Bg==" saltValue="y5mEUd7DqfQOoCAvg2PeNw==" spinCount="100000" sheet="1"/>
  <protectedRanges>
    <protectedRange sqref="F39:F46 F25:F30 F15:F21" name="Oblast1"/>
  </protectedRanges>
  <mergeCells count="62">
    <mergeCell ref="A40:E40"/>
    <mergeCell ref="A41:E41"/>
    <mergeCell ref="A42:E42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1:E21"/>
    <mergeCell ref="A22:E22"/>
    <mergeCell ref="A24:E24"/>
    <mergeCell ref="A19:E19"/>
    <mergeCell ref="A20:E20"/>
    <mergeCell ref="A25:E25"/>
    <mergeCell ref="A26:E26"/>
    <mergeCell ref="A27:E27"/>
    <mergeCell ref="A28:E28"/>
    <mergeCell ref="A29:E29"/>
    <mergeCell ref="A30:E30"/>
    <mergeCell ref="A31:E31"/>
    <mergeCell ref="A33:E33"/>
    <mergeCell ref="F33:I33"/>
    <mergeCell ref="A37:E37"/>
    <mergeCell ref="A46:E46"/>
    <mergeCell ref="A47:E47"/>
    <mergeCell ref="A38:E38"/>
    <mergeCell ref="A39:E39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13"/>
  <sheetViews>
    <sheetView workbookViewId="0">
      <pane ySplit="11" topLeftCell="A12" activePane="bottomLeft" state="frozen"/>
      <selection pane="bottomLeft" activeCell="F12" sqref="F12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33.140625" customWidth="1"/>
    <col min="4" max="4" width="35.7109375" customWidth="1"/>
    <col min="5" max="5" width="5.85546875" customWidth="1"/>
    <col min="6" max="6" width="12.85546875" customWidth="1"/>
    <col min="7" max="7" width="12" customWidth="1"/>
    <col min="8" max="8" width="15.7109375" customWidth="1"/>
    <col min="9" max="9" width="13.42578125" customWidth="1"/>
    <col min="25" max="75" width="12.140625" hidden="1"/>
  </cols>
  <sheetData>
    <row r="1" spans="1:75" ht="54.75" customHeight="1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5" x14ac:dyDescent="0.25">
      <c r="A2" s="116" t="s">
        <v>1</v>
      </c>
      <c r="B2" s="117"/>
      <c r="C2" s="111" t="s">
        <v>2</v>
      </c>
      <c r="D2" s="112"/>
      <c r="E2" s="117" t="s">
        <v>3</v>
      </c>
      <c r="F2" s="117"/>
      <c r="G2" s="158" t="s">
        <v>4</v>
      </c>
      <c r="H2" s="108" t="s">
        <v>5</v>
      </c>
      <c r="I2" s="117" t="s">
        <v>6</v>
      </c>
      <c r="J2" s="119"/>
    </row>
    <row r="3" spans="1:75" x14ac:dyDescent="0.25">
      <c r="A3" s="118"/>
      <c r="B3" s="71"/>
      <c r="C3" s="113"/>
      <c r="D3" s="113"/>
      <c r="E3" s="71"/>
      <c r="F3" s="71"/>
      <c r="G3" s="151"/>
      <c r="H3" s="71"/>
      <c r="I3" s="71"/>
      <c r="J3" s="120"/>
    </row>
    <row r="4" spans="1:75" x14ac:dyDescent="0.25">
      <c r="A4" s="109" t="s">
        <v>7</v>
      </c>
      <c r="B4" s="71"/>
      <c r="C4" s="70" t="s">
        <v>4</v>
      </c>
      <c r="D4" s="71"/>
      <c r="E4" s="71" t="s">
        <v>8</v>
      </c>
      <c r="F4" s="71"/>
      <c r="G4" s="151" t="s">
        <v>9</v>
      </c>
      <c r="H4" s="70" t="s">
        <v>10</v>
      </c>
      <c r="I4" s="71" t="s">
        <v>6</v>
      </c>
      <c r="J4" s="120"/>
    </row>
    <row r="5" spans="1:75" x14ac:dyDescent="0.25">
      <c r="A5" s="118"/>
      <c r="B5" s="71"/>
      <c r="C5" s="71"/>
      <c r="D5" s="71"/>
      <c r="E5" s="71"/>
      <c r="F5" s="71"/>
      <c r="G5" s="151"/>
      <c r="H5" s="71"/>
      <c r="I5" s="71"/>
      <c r="J5" s="120"/>
    </row>
    <row r="6" spans="1:75" x14ac:dyDescent="0.25">
      <c r="A6" s="109" t="s">
        <v>11</v>
      </c>
      <c r="B6" s="71"/>
      <c r="C6" s="70" t="s">
        <v>12</v>
      </c>
      <c r="D6" s="71"/>
      <c r="E6" s="71" t="s">
        <v>13</v>
      </c>
      <c r="F6" s="71"/>
      <c r="G6" s="151" t="s">
        <v>4</v>
      </c>
      <c r="H6" s="70" t="s">
        <v>14</v>
      </c>
      <c r="I6" s="151" t="s">
        <v>6</v>
      </c>
      <c r="J6" s="152"/>
    </row>
    <row r="7" spans="1:75" x14ac:dyDescent="0.25">
      <c r="A7" s="118"/>
      <c r="B7" s="71"/>
      <c r="C7" s="71"/>
      <c r="D7" s="71"/>
      <c r="E7" s="71"/>
      <c r="F7" s="71"/>
      <c r="G7" s="151"/>
      <c r="H7" s="71"/>
      <c r="I7" s="151"/>
      <c r="J7" s="152"/>
    </row>
    <row r="8" spans="1:75" x14ac:dyDescent="0.25">
      <c r="A8" s="109" t="s">
        <v>15</v>
      </c>
      <c r="B8" s="71"/>
      <c r="C8" s="70" t="s">
        <v>4</v>
      </c>
      <c r="D8" s="71"/>
      <c r="E8" s="71" t="s">
        <v>16</v>
      </c>
      <c r="F8" s="71"/>
      <c r="G8" s="151" t="s">
        <v>9</v>
      </c>
      <c r="H8" s="70" t="s">
        <v>17</v>
      </c>
      <c r="I8" s="151" t="s">
        <v>6</v>
      </c>
      <c r="J8" s="152"/>
    </row>
    <row r="9" spans="1:75" x14ac:dyDescent="0.25">
      <c r="A9" s="159"/>
      <c r="B9" s="157"/>
      <c r="C9" s="157"/>
      <c r="D9" s="157"/>
      <c r="E9" s="157"/>
      <c r="F9" s="157"/>
      <c r="G9" s="153"/>
      <c r="H9" s="157"/>
      <c r="I9" s="153"/>
      <c r="J9" s="154"/>
    </row>
    <row r="10" spans="1:75" x14ac:dyDescent="0.25">
      <c r="A10" s="4" t="s">
        <v>18</v>
      </c>
      <c r="B10" s="5" t="s">
        <v>19</v>
      </c>
      <c r="C10" s="155" t="s">
        <v>20</v>
      </c>
      <c r="D10" s="156"/>
      <c r="E10" s="5" t="s">
        <v>21</v>
      </c>
      <c r="F10" s="6" t="s">
        <v>22</v>
      </c>
      <c r="G10" s="7" t="s">
        <v>23</v>
      </c>
      <c r="H10" s="8" t="s">
        <v>24</v>
      </c>
      <c r="I10" s="9" t="s">
        <v>25</v>
      </c>
      <c r="J10" s="10"/>
      <c r="BK10" s="11" t="s">
        <v>26</v>
      </c>
      <c r="BL10" s="12" t="s">
        <v>27</v>
      </c>
      <c r="BW10" s="12" t="s">
        <v>28</v>
      </c>
    </row>
    <row r="11" spans="1:75" x14ac:dyDescent="0.25">
      <c r="A11" s="13" t="s">
        <v>4</v>
      </c>
      <c r="B11" s="14" t="s">
        <v>4</v>
      </c>
      <c r="C11" s="147" t="s">
        <v>29</v>
      </c>
      <c r="D11" s="148"/>
      <c r="E11" s="14" t="s">
        <v>4</v>
      </c>
      <c r="F11" s="14" t="s">
        <v>4</v>
      </c>
      <c r="G11" s="15" t="s">
        <v>30</v>
      </c>
      <c r="H11" s="16" t="s">
        <v>31</v>
      </c>
      <c r="I11" s="17" t="s">
        <v>32</v>
      </c>
      <c r="J11" s="18"/>
      <c r="Z11" s="11" t="s">
        <v>33</v>
      </c>
      <c r="AA11" s="11" t="s">
        <v>34</v>
      </c>
      <c r="AB11" s="11" t="s">
        <v>35</v>
      </c>
      <c r="AC11" s="11" t="s">
        <v>36</v>
      </c>
      <c r="AD11" s="11" t="s">
        <v>37</v>
      </c>
      <c r="AE11" s="11" t="s">
        <v>38</v>
      </c>
      <c r="AF11" s="11" t="s">
        <v>39</v>
      </c>
      <c r="AG11" s="11" t="s">
        <v>40</v>
      </c>
      <c r="AH11" s="11" t="s">
        <v>41</v>
      </c>
      <c r="BH11" s="11" t="s">
        <v>42</v>
      </c>
      <c r="BI11" s="11" t="s">
        <v>43</v>
      </c>
      <c r="BJ11" s="11" t="s">
        <v>44</v>
      </c>
    </row>
    <row r="12" spans="1:75" x14ac:dyDescent="0.25">
      <c r="A12" s="19" t="s">
        <v>45</v>
      </c>
      <c r="B12" s="20" t="s">
        <v>46</v>
      </c>
      <c r="C12" s="149" t="s">
        <v>47</v>
      </c>
      <c r="D12" s="150"/>
      <c r="E12" s="21" t="s">
        <v>4</v>
      </c>
      <c r="F12" s="21" t="s">
        <v>4</v>
      </c>
      <c r="G12" s="22" t="s">
        <v>4</v>
      </c>
      <c r="H12" s="23">
        <f>SUM(H13:H13)</f>
        <v>0</v>
      </c>
      <c r="I12" s="24" t="s">
        <v>45</v>
      </c>
      <c r="J12" s="25"/>
      <c r="AI12" s="11" t="s">
        <v>45</v>
      </c>
      <c r="AS12" s="1">
        <f>SUM(AJ13:AJ13)</f>
        <v>0</v>
      </c>
      <c r="AT12" s="1">
        <f>SUM(AK13:AK13)</f>
        <v>0</v>
      </c>
      <c r="AU12" s="1">
        <f>SUM(AL13:AL13)</f>
        <v>0</v>
      </c>
    </row>
    <row r="13" spans="1:75" ht="13.5" customHeight="1" x14ac:dyDescent="0.25">
      <c r="A13" s="2" t="s">
        <v>48</v>
      </c>
      <c r="B13" s="3" t="s">
        <v>49</v>
      </c>
      <c r="C13" s="70" t="s">
        <v>50</v>
      </c>
      <c r="D13" s="71"/>
      <c r="E13" s="3" t="s">
        <v>51</v>
      </c>
      <c r="F13" s="26">
        <v>100</v>
      </c>
      <c r="G13" s="27">
        <v>0</v>
      </c>
      <c r="H13" s="26">
        <f>F13*G13</f>
        <v>0</v>
      </c>
      <c r="I13" s="28" t="s">
        <v>52</v>
      </c>
      <c r="J13" s="25"/>
      <c r="Z13" s="26">
        <f>IF(AQ13="5",BJ13,0)</f>
        <v>0</v>
      </c>
      <c r="AB13" s="26">
        <f>IF(AQ13="1",BH13,0)</f>
        <v>0</v>
      </c>
      <c r="AC13" s="26">
        <f>IF(AQ13="1",BI13,0)</f>
        <v>0</v>
      </c>
      <c r="AD13" s="26">
        <f>IF(AQ13="7",BH13,0)</f>
        <v>0</v>
      </c>
      <c r="AE13" s="26">
        <f>IF(AQ13="7",BI13,0)</f>
        <v>0</v>
      </c>
      <c r="AF13" s="26">
        <f>IF(AQ13="2",BH13,0)</f>
        <v>0</v>
      </c>
      <c r="AG13" s="26">
        <f>IF(AQ13="2",BI13,0)</f>
        <v>0</v>
      </c>
      <c r="AH13" s="26">
        <f>IF(AQ13="0",BJ13,0)</f>
        <v>0</v>
      </c>
      <c r="AI13" s="11" t="s">
        <v>45</v>
      </c>
      <c r="AJ13" s="26">
        <f>IF(AN13=0,H13,0)</f>
        <v>0</v>
      </c>
      <c r="AK13" s="26">
        <f>IF(AN13=12,H13,0)</f>
        <v>0</v>
      </c>
      <c r="AL13" s="26">
        <f>IF(AN13=21,H13,0)</f>
        <v>0</v>
      </c>
      <c r="AN13" s="26">
        <v>21</v>
      </c>
      <c r="AO13" s="26">
        <f>G13*0.131226054</f>
        <v>0</v>
      </c>
      <c r="AP13" s="26">
        <f>G13*(1-0.131226054)</f>
        <v>0</v>
      </c>
      <c r="AQ13" s="28" t="s">
        <v>48</v>
      </c>
      <c r="AV13" s="26">
        <f>AW13+AX13</f>
        <v>0</v>
      </c>
      <c r="AW13" s="26">
        <f>F13*AO13</f>
        <v>0</v>
      </c>
      <c r="AX13" s="26">
        <f>F13*AP13</f>
        <v>0</v>
      </c>
      <c r="AY13" s="28" t="s">
        <v>53</v>
      </c>
      <c r="AZ13" s="28" t="s">
        <v>54</v>
      </c>
      <c r="BA13" s="11" t="s">
        <v>55</v>
      </c>
      <c r="BC13" s="26">
        <f>AW13+AX13</f>
        <v>0</v>
      </c>
      <c r="BD13" s="26">
        <f>G13/(100-BE13)*100</f>
        <v>0</v>
      </c>
      <c r="BE13" s="26">
        <v>0</v>
      </c>
      <c r="BF13" s="26">
        <f>13</f>
        <v>13</v>
      </c>
      <c r="BH13" s="26">
        <f>F13*AO13</f>
        <v>0</v>
      </c>
      <c r="BI13" s="26">
        <f>F13*AP13</f>
        <v>0</v>
      </c>
      <c r="BJ13" s="26">
        <f>F13*G13</f>
        <v>0</v>
      </c>
      <c r="BK13" s="26"/>
      <c r="BL13" s="26">
        <v>61</v>
      </c>
      <c r="BW13" s="26">
        <v>21</v>
      </c>
    </row>
    <row r="14" spans="1:75" ht="27" customHeight="1" x14ac:dyDescent="0.25">
      <c r="A14" s="29"/>
      <c r="B14" s="30" t="s">
        <v>56</v>
      </c>
      <c r="C14" s="143" t="s">
        <v>57</v>
      </c>
      <c r="D14" s="144"/>
      <c r="E14" s="144"/>
      <c r="F14" s="144"/>
      <c r="G14" s="145"/>
      <c r="H14" s="144"/>
      <c r="I14" s="144"/>
      <c r="J14" s="146"/>
    </row>
    <row r="15" spans="1:75" x14ac:dyDescent="0.25">
      <c r="A15" s="29"/>
      <c r="C15" s="31" t="s">
        <v>58</v>
      </c>
      <c r="D15" s="31" t="s">
        <v>45</v>
      </c>
      <c r="F15" s="32">
        <v>100</v>
      </c>
      <c r="J15" s="25"/>
    </row>
    <row r="16" spans="1:75" x14ac:dyDescent="0.25">
      <c r="A16" s="33" t="s">
        <v>45</v>
      </c>
      <c r="B16" s="34" t="s">
        <v>59</v>
      </c>
      <c r="C16" s="141" t="s">
        <v>60</v>
      </c>
      <c r="D16" s="142"/>
      <c r="E16" s="35" t="s">
        <v>4</v>
      </c>
      <c r="F16" s="35" t="s">
        <v>4</v>
      </c>
      <c r="G16" s="36" t="s">
        <v>4</v>
      </c>
      <c r="H16" s="1">
        <f>SUM(H17:H36)</f>
        <v>0</v>
      </c>
      <c r="I16" s="11" t="s">
        <v>45</v>
      </c>
      <c r="J16" s="25"/>
      <c r="AI16" s="11" t="s">
        <v>45</v>
      </c>
      <c r="AS16" s="1">
        <f>SUM(AJ17:AJ36)</f>
        <v>0</v>
      </c>
      <c r="AT16" s="1">
        <f>SUM(AK17:AK36)</f>
        <v>0</v>
      </c>
      <c r="AU16" s="1">
        <f>SUM(AL17:AL36)</f>
        <v>0</v>
      </c>
    </row>
    <row r="17" spans="1:75" ht="13.5" customHeight="1" x14ac:dyDescent="0.25">
      <c r="A17" s="2" t="s">
        <v>61</v>
      </c>
      <c r="B17" s="3" t="s">
        <v>62</v>
      </c>
      <c r="C17" s="70" t="s">
        <v>63</v>
      </c>
      <c r="D17" s="71"/>
      <c r="E17" s="3" t="s">
        <v>51</v>
      </c>
      <c r="F17" s="26">
        <v>60</v>
      </c>
      <c r="G17" s="27">
        <v>0</v>
      </c>
      <c r="H17" s="26">
        <f>F17*G17</f>
        <v>0</v>
      </c>
      <c r="I17" s="28" t="s">
        <v>52</v>
      </c>
      <c r="J17" s="25"/>
      <c r="Z17" s="26">
        <f>IF(AQ17="5",BJ17,0)</f>
        <v>0</v>
      </c>
      <c r="AB17" s="26">
        <f>IF(AQ17="1",BH17,0)</f>
        <v>0</v>
      </c>
      <c r="AC17" s="26">
        <f>IF(AQ17="1",BI17,0)</f>
        <v>0</v>
      </c>
      <c r="AD17" s="26">
        <f>IF(AQ17="7",BH17,0)</f>
        <v>0</v>
      </c>
      <c r="AE17" s="26">
        <f>IF(AQ17="7",BI17,0)</f>
        <v>0</v>
      </c>
      <c r="AF17" s="26">
        <f>IF(AQ17="2",BH17,0)</f>
        <v>0</v>
      </c>
      <c r="AG17" s="26">
        <f>IF(AQ17="2",BI17,0)</f>
        <v>0</v>
      </c>
      <c r="AH17" s="26">
        <f>IF(AQ17="0",BJ17,0)</f>
        <v>0</v>
      </c>
      <c r="AI17" s="11" t="s">
        <v>45</v>
      </c>
      <c r="AJ17" s="26">
        <f>IF(AN17=0,H17,0)</f>
        <v>0</v>
      </c>
      <c r="AK17" s="26">
        <f>IF(AN17=12,H17,0)</f>
        <v>0</v>
      </c>
      <c r="AL17" s="26">
        <f>IF(AN17=21,H17,0)</f>
        <v>0</v>
      </c>
      <c r="AN17" s="26">
        <v>21</v>
      </c>
      <c r="AO17" s="26">
        <f>G17*0.088688445</f>
        <v>0</v>
      </c>
      <c r="AP17" s="26">
        <f>G17*(1-0.088688445)</f>
        <v>0</v>
      </c>
      <c r="AQ17" s="28" t="s">
        <v>48</v>
      </c>
      <c r="AV17" s="26">
        <f>AW17+AX17</f>
        <v>0</v>
      </c>
      <c r="AW17" s="26">
        <f>F17*AO17</f>
        <v>0</v>
      </c>
      <c r="AX17" s="26">
        <f>F17*AP17</f>
        <v>0</v>
      </c>
      <c r="AY17" s="28" t="s">
        <v>64</v>
      </c>
      <c r="AZ17" s="28" t="s">
        <v>54</v>
      </c>
      <c r="BA17" s="11" t="s">
        <v>55</v>
      </c>
      <c r="BC17" s="26">
        <f>AW17+AX17</f>
        <v>0</v>
      </c>
      <c r="BD17" s="26">
        <f>G17/(100-BE17)*100</f>
        <v>0</v>
      </c>
      <c r="BE17" s="26">
        <v>0</v>
      </c>
      <c r="BF17" s="26">
        <f>17</f>
        <v>17</v>
      </c>
      <c r="BH17" s="26">
        <f>F17*AO17</f>
        <v>0</v>
      </c>
      <c r="BI17" s="26">
        <f>F17*AP17</f>
        <v>0</v>
      </c>
      <c r="BJ17" s="26">
        <f>F17*G17</f>
        <v>0</v>
      </c>
      <c r="BK17" s="26"/>
      <c r="BL17" s="26">
        <v>62</v>
      </c>
      <c r="BW17" s="26">
        <v>21</v>
      </c>
    </row>
    <row r="18" spans="1:75" x14ac:dyDescent="0.25">
      <c r="A18" s="29"/>
      <c r="C18" s="31" t="s">
        <v>65</v>
      </c>
      <c r="D18" s="31" t="s">
        <v>66</v>
      </c>
      <c r="F18" s="32">
        <v>2.2639999999999998</v>
      </c>
      <c r="J18" s="25"/>
    </row>
    <row r="19" spans="1:75" x14ac:dyDescent="0.25">
      <c r="A19" s="29"/>
      <c r="C19" s="31" t="s">
        <v>67</v>
      </c>
      <c r="D19" s="31" t="s">
        <v>45</v>
      </c>
      <c r="F19" s="32">
        <v>1.1579999999999999</v>
      </c>
      <c r="J19" s="25"/>
    </row>
    <row r="20" spans="1:75" x14ac:dyDescent="0.25">
      <c r="A20" s="29"/>
      <c r="C20" s="31" t="s">
        <v>68</v>
      </c>
      <c r="D20" s="31" t="s">
        <v>45</v>
      </c>
      <c r="F20" s="32">
        <v>4.5759999999999996</v>
      </c>
      <c r="J20" s="25"/>
    </row>
    <row r="21" spans="1:75" x14ac:dyDescent="0.25">
      <c r="A21" s="29"/>
      <c r="C21" s="31" t="s">
        <v>69</v>
      </c>
      <c r="D21" s="31" t="s">
        <v>45</v>
      </c>
      <c r="F21" s="32">
        <v>1.748</v>
      </c>
      <c r="J21" s="25"/>
    </row>
    <row r="22" spans="1:75" x14ac:dyDescent="0.25">
      <c r="A22" s="29"/>
      <c r="C22" s="31" t="s">
        <v>70</v>
      </c>
      <c r="D22" s="31" t="s">
        <v>45</v>
      </c>
      <c r="F22" s="32">
        <v>6.03</v>
      </c>
      <c r="J22" s="25"/>
    </row>
    <row r="23" spans="1:75" x14ac:dyDescent="0.25">
      <c r="A23" s="29"/>
      <c r="C23" s="31" t="s">
        <v>71</v>
      </c>
      <c r="D23" s="31" t="s">
        <v>45</v>
      </c>
      <c r="F23" s="32">
        <v>1.6539999999999999</v>
      </c>
      <c r="J23" s="25"/>
    </row>
    <row r="24" spans="1:75" x14ac:dyDescent="0.25">
      <c r="A24" s="29"/>
      <c r="C24" s="31" t="s">
        <v>72</v>
      </c>
      <c r="D24" s="31" t="s">
        <v>45</v>
      </c>
      <c r="F24" s="32">
        <v>1.64</v>
      </c>
      <c r="J24" s="25"/>
    </row>
    <row r="25" spans="1:75" x14ac:dyDescent="0.25">
      <c r="A25" s="29"/>
      <c r="C25" s="31" t="s">
        <v>73</v>
      </c>
      <c r="D25" s="31" t="s">
        <v>45</v>
      </c>
      <c r="F25" s="32">
        <v>1.8640000000000001</v>
      </c>
      <c r="J25" s="25"/>
    </row>
    <row r="26" spans="1:75" x14ac:dyDescent="0.25">
      <c r="A26" s="29"/>
      <c r="C26" s="31" t="s">
        <v>74</v>
      </c>
      <c r="D26" s="31" t="s">
        <v>45</v>
      </c>
      <c r="F26" s="32">
        <v>0.95599999999999996</v>
      </c>
      <c r="J26" s="25"/>
    </row>
    <row r="27" spans="1:75" x14ac:dyDescent="0.25">
      <c r="A27" s="29"/>
      <c r="C27" s="31" t="s">
        <v>75</v>
      </c>
      <c r="D27" s="31" t="s">
        <v>45</v>
      </c>
      <c r="F27" s="32">
        <v>3.7759999999999998</v>
      </c>
      <c r="J27" s="25"/>
    </row>
    <row r="28" spans="1:75" x14ac:dyDescent="0.25">
      <c r="A28" s="29"/>
      <c r="C28" s="31" t="s">
        <v>76</v>
      </c>
      <c r="D28" s="31" t="s">
        <v>45</v>
      </c>
      <c r="F28" s="32">
        <v>2.3199999999999998</v>
      </c>
      <c r="J28" s="25"/>
    </row>
    <row r="29" spans="1:75" x14ac:dyDescent="0.25">
      <c r="A29" s="29"/>
      <c r="C29" s="31" t="s">
        <v>77</v>
      </c>
      <c r="D29" s="31" t="s">
        <v>45</v>
      </c>
      <c r="F29" s="32">
        <v>8.4320000000000004</v>
      </c>
      <c r="J29" s="25"/>
    </row>
    <row r="30" spans="1:75" x14ac:dyDescent="0.25">
      <c r="A30" s="29"/>
      <c r="C30" s="31" t="s">
        <v>78</v>
      </c>
      <c r="D30" s="31" t="s">
        <v>45</v>
      </c>
      <c r="F30" s="32">
        <v>1.3919999999999999</v>
      </c>
      <c r="J30" s="25"/>
    </row>
    <row r="31" spans="1:75" x14ac:dyDescent="0.25">
      <c r="A31" s="29"/>
      <c r="C31" s="31" t="s">
        <v>79</v>
      </c>
      <c r="D31" s="31" t="s">
        <v>45</v>
      </c>
      <c r="F31" s="32">
        <v>1.8560000000000001</v>
      </c>
      <c r="J31" s="25"/>
    </row>
    <row r="32" spans="1:75" x14ac:dyDescent="0.25">
      <c r="A32" s="29"/>
      <c r="C32" s="31" t="s">
        <v>80</v>
      </c>
      <c r="D32" s="31" t="s">
        <v>45</v>
      </c>
      <c r="F32" s="32">
        <v>0.95199999999999996</v>
      </c>
      <c r="J32" s="25"/>
    </row>
    <row r="33" spans="1:75" x14ac:dyDescent="0.25">
      <c r="A33" s="29"/>
      <c r="C33" s="31" t="s">
        <v>81</v>
      </c>
      <c r="D33" s="31" t="s">
        <v>45</v>
      </c>
      <c r="F33" s="32">
        <v>9.468</v>
      </c>
      <c r="J33" s="25"/>
    </row>
    <row r="34" spans="1:75" x14ac:dyDescent="0.25">
      <c r="A34" s="29"/>
      <c r="C34" s="31" t="s">
        <v>82</v>
      </c>
      <c r="D34" s="31" t="s">
        <v>45</v>
      </c>
      <c r="F34" s="32">
        <v>2.88</v>
      </c>
      <c r="J34" s="25"/>
    </row>
    <row r="35" spans="1:75" x14ac:dyDescent="0.25">
      <c r="A35" s="29"/>
      <c r="C35" s="31" t="s">
        <v>83</v>
      </c>
      <c r="D35" s="31" t="s">
        <v>84</v>
      </c>
      <c r="F35" s="32">
        <v>7.0339999999999998</v>
      </c>
      <c r="J35" s="25"/>
    </row>
    <row r="36" spans="1:75" ht="13.5" customHeight="1" x14ac:dyDescent="0.25">
      <c r="A36" s="2" t="s">
        <v>85</v>
      </c>
      <c r="B36" s="3" t="s">
        <v>86</v>
      </c>
      <c r="C36" s="70" t="s">
        <v>87</v>
      </c>
      <c r="D36" s="71"/>
      <c r="E36" s="3" t="s">
        <v>88</v>
      </c>
      <c r="F36" s="26">
        <v>65.55</v>
      </c>
      <c r="G36" s="27">
        <v>0</v>
      </c>
      <c r="H36" s="26">
        <f>F36*G36</f>
        <v>0</v>
      </c>
      <c r="I36" s="28" t="s">
        <v>52</v>
      </c>
      <c r="J36" s="25"/>
      <c r="Z36" s="26">
        <f>IF(AQ36="5",BJ36,0)</f>
        <v>0</v>
      </c>
      <c r="AB36" s="26">
        <f>IF(AQ36="1",BH36,0)</f>
        <v>0</v>
      </c>
      <c r="AC36" s="26">
        <f>IF(AQ36="1",BI36,0)</f>
        <v>0</v>
      </c>
      <c r="AD36" s="26">
        <f>IF(AQ36="7",BH36,0)</f>
        <v>0</v>
      </c>
      <c r="AE36" s="26">
        <f>IF(AQ36="7",BI36,0)</f>
        <v>0</v>
      </c>
      <c r="AF36" s="26">
        <f>IF(AQ36="2",BH36,0)</f>
        <v>0</v>
      </c>
      <c r="AG36" s="26">
        <f>IF(AQ36="2",BI36,0)</f>
        <v>0</v>
      </c>
      <c r="AH36" s="26">
        <f>IF(AQ36="0",BJ36,0)</f>
        <v>0</v>
      </c>
      <c r="AI36" s="11" t="s">
        <v>45</v>
      </c>
      <c r="AJ36" s="26">
        <f>IF(AN36=0,H36,0)</f>
        <v>0</v>
      </c>
      <c r="AK36" s="26">
        <f>IF(AN36=12,H36,0)</f>
        <v>0</v>
      </c>
      <c r="AL36" s="26">
        <f>IF(AN36=21,H36,0)</f>
        <v>0</v>
      </c>
      <c r="AN36" s="26">
        <v>21</v>
      </c>
      <c r="AO36" s="26">
        <f>G36*0.71745283</f>
        <v>0</v>
      </c>
      <c r="AP36" s="26">
        <f>G36*(1-0.71745283)</f>
        <v>0</v>
      </c>
      <c r="AQ36" s="28" t="s">
        <v>48</v>
      </c>
      <c r="AV36" s="26">
        <f>AW36+AX36</f>
        <v>0</v>
      </c>
      <c r="AW36" s="26">
        <f>F36*AO36</f>
        <v>0</v>
      </c>
      <c r="AX36" s="26">
        <f>F36*AP36</f>
        <v>0</v>
      </c>
      <c r="AY36" s="28" t="s">
        <v>64</v>
      </c>
      <c r="AZ36" s="28" t="s">
        <v>54</v>
      </c>
      <c r="BA36" s="11" t="s">
        <v>55</v>
      </c>
      <c r="BC36" s="26">
        <f>AW36+AX36</f>
        <v>0</v>
      </c>
      <c r="BD36" s="26">
        <f>G36/(100-BE36)*100</f>
        <v>0</v>
      </c>
      <c r="BE36" s="26">
        <v>0</v>
      </c>
      <c r="BF36" s="26">
        <f>36</f>
        <v>36</v>
      </c>
      <c r="BH36" s="26">
        <f>F36*AO36</f>
        <v>0</v>
      </c>
      <c r="BI36" s="26">
        <f>F36*AP36</f>
        <v>0</v>
      </c>
      <c r="BJ36" s="26">
        <f>F36*G36</f>
        <v>0</v>
      </c>
      <c r="BK36" s="26"/>
      <c r="BL36" s="26">
        <v>62</v>
      </c>
      <c r="BW36" s="26">
        <v>21</v>
      </c>
    </row>
    <row r="37" spans="1:75" ht="13.5" customHeight="1" x14ac:dyDescent="0.25">
      <c r="A37" s="29"/>
      <c r="B37" s="30" t="s">
        <v>56</v>
      </c>
      <c r="C37" s="143" t="s">
        <v>89</v>
      </c>
      <c r="D37" s="144"/>
      <c r="E37" s="144"/>
      <c r="F37" s="144"/>
      <c r="G37" s="145"/>
      <c r="H37" s="144"/>
      <c r="I37" s="144"/>
      <c r="J37" s="146"/>
    </row>
    <row r="38" spans="1:75" x14ac:dyDescent="0.25">
      <c r="A38" s="29"/>
      <c r="C38" s="31" t="s">
        <v>90</v>
      </c>
      <c r="D38" s="31" t="s">
        <v>45</v>
      </c>
      <c r="F38" s="32">
        <v>7.7</v>
      </c>
      <c r="J38" s="25"/>
    </row>
    <row r="39" spans="1:75" x14ac:dyDescent="0.25">
      <c r="A39" s="29"/>
      <c r="C39" s="31" t="s">
        <v>91</v>
      </c>
      <c r="D39" s="31" t="s">
        <v>45</v>
      </c>
      <c r="F39" s="32">
        <v>1.1200000000000001</v>
      </c>
      <c r="J39" s="25"/>
    </row>
    <row r="40" spans="1:75" x14ac:dyDescent="0.25">
      <c r="A40" s="29"/>
      <c r="C40" s="31" t="s">
        <v>92</v>
      </c>
      <c r="D40" s="31" t="s">
        <v>45</v>
      </c>
      <c r="F40" s="32">
        <v>0.69</v>
      </c>
      <c r="J40" s="25"/>
    </row>
    <row r="41" spans="1:75" x14ac:dyDescent="0.25">
      <c r="A41" s="29"/>
      <c r="C41" s="31" t="s">
        <v>93</v>
      </c>
      <c r="D41" s="31" t="s">
        <v>45</v>
      </c>
      <c r="F41" s="32">
        <v>2.48</v>
      </c>
      <c r="J41" s="25"/>
    </row>
    <row r="42" spans="1:75" x14ac:dyDescent="0.25">
      <c r="A42" s="29"/>
      <c r="C42" s="31" t="s">
        <v>94</v>
      </c>
      <c r="D42" s="31" t="s">
        <v>45</v>
      </c>
      <c r="F42" s="32">
        <v>3.64</v>
      </c>
      <c r="J42" s="25"/>
    </row>
    <row r="43" spans="1:75" x14ac:dyDescent="0.25">
      <c r="A43" s="29"/>
      <c r="C43" s="31" t="s">
        <v>95</v>
      </c>
      <c r="D43" s="31" t="s">
        <v>45</v>
      </c>
      <c r="F43" s="32">
        <v>9.4499999999999993</v>
      </c>
      <c r="J43" s="25"/>
    </row>
    <row r="44" spans="1:75" x14ac:dyDescent="0.25">
      <c r="A44" s="29"/>
      <c r="C44" s="31" t="s">
        <v>96</v>
      </c>
      <c r="D44" s="31" t="s">
        <v>45</v>
      </c>
      <c r="F44" s="32">
        <v>3.15</v>
      </c>
      <c r="J44" s="25"/>
    </row>
    <row r="45" spans="1:75" x14ac:dyDescent="0.25">
      <c r="A45" s="29"/>
      <c r="C45" s="31" t="s">
        <v>97</v>
      </c>
      <c r="D45" s="31" t="s">
        <v>45</v>
      </c>
      <c r="F45" s="32">
        <v>1.1599999999999999</v>
      </c>
      <c r="J45" s="25"/>
    </row>
    <row r="46" spans="1:75" x14ac:dyDescent="0.25">
      <c r="A46" s="29"/>
      <c r="C46" s="31" t="s">
        <v>98</v>
      </c>
      <c r="D46" s="31" t="s">
        <v>45</v>
      </c>
      <c r="F46" s="32">
        <v>0.7</v>
      </c>
      <c r="J46" s="25"/>
    </row>
    <row r="47" spans="1:75" x14ac:dyDescent="0.25">
      <c r="A47" s="29"/>
      <c r="C47" s="31" t="s">
        <v>99</v>
      </c>
      <c r="D47" s="31" t="s">
        <v>45</v>
      </c>
      <c r="F47" s="32">
        <v>2.56</v>
      </c>
      <c r="J47" s="25"/>
    </row>
    <row r="48" spans="1:75" x14ac:dyDescent="0.25">
      <c r="A48" s="29"/>
      <c r="C48" s="31" t="s">
        <v>100</v>
      </c>
      <c r="D48" s="31" t="s">
        <v>45</v>
      </c>
      <c r="F48" s="32">
        <v>3.44</v>
      </c>
      <c r="J48" s="25"/>
    </row>
    <row r="49" spans="1:75" x14ac:dyDescent="0.25">
      <c r="A49" s="29"/>
      <c r="C49" s="31" t="s">
        <v>101</v>
      </c>
      <c r="D49" s="31" t="s">
        <v>45</v>
      </c>
      <c r="F49" s="32">
        <v>9.6</v>
      </c>
      <c r="J49" s="25"/>
    </row>
    <row r="50" spans="1:75" x14ac:dyDescent="0.25">
      <c r="A50" s="29"/>
      <c r="C50" s="31" t="s">
        <v>97</v>
      </c>
      <c r="D50" s="31" t="s">
        <v>45</v>
      </c>
      <c r="F50" s="32">
        <v>1.1599999999999999</v>
      </c>
      <c r="J50" s="25"/>
    </row>
    <row r="51" spans="1:75" x14ac:dyDescent="0.25">
      <c r="A51" s="29"/>
      <c r="C51" s="31" t="s">
        <v>98</v>
      </c>
      <c r="D51" s="31" t="s">
        <v>45</v>
      </c>
      <c r="F51" s="32">
        <v>0.7</v>
      </c>
      <c r="J51" s="25"/>
    </row>
    <row r="52" spans="1:75" x14ac:dyDescent="0.25">
      <c r="A52" s="29"/>
      <c r="C52" s="31" t="s">
        <v>102</v>
      </c>
      <c r="D52" s="31" t="s">
        <v>45</v>
      </c>
      <c r="F52" s="32">
        <v>10.8</v>
      </c>
      <c r="J52" s="25"/>
    </row>
    <row r="53" spans="1:75" x14ac:dyDescent="0.25">
      <c r="A53" s="29"/>
      <c r="C53" s="31" t="s">
        <v>103</v>
      </c>
      <c r="D53" s="31" t="s">
        <v>45</v>
      </c>
      <c r="F53" s="32">
        <v>3.2</v>
      </c>
      <c r="J53" s="25"/>
    </row>
    <row r="54" spans="1:75" x14ac:dyDescent="0.25">
      <c r="A54" s="29"/>
      <c r="C54" s="31" t="s">
        <v>104</v>
      </c>
      <c r="D54" s="31" t="s">
        <v>45</v>
      </c>
      <c r="F54" s="32">
        <v>4</v>
      </c>
      <c r="J54" s="25"/>
    </row>
    <row r="55" spans="1:75" x14ac:dyDescent="0.25">
      <c r="A55" s="33" t="s">
        <v>45</v>
      </c>
      <c r="B55" s="34" t="s">
        <v>105</v>
      </c>
      <c r="C55" s="141" t="s">
        <v>106</v>
      </c>
      <c r="D55" s="142"/>
      <c r="E55" s="35" t="s">
        <v>4</v>
      </c>
      <c r="F55" s="35" t="s">
        <v>4</v>
      </c>
      <c r="G55" s="36" t="s">
        <v>4</v>
      </c>
      <c r="H55" s="1">
        <f>SUM(H56:H159)</f>
        <v>0</v>
      </c>
      <c r="I55" s="11" t="s">
        <v>45</v>
      </c>
      <c r="J55" s="25"/>
      <c r="AI55" s="11" t="s">
        <v>45</v>
      </c>
      <c r="AS55" s="1">
        <f>SUM(AJ56:AJ159)</f>
        <v>0</v>
      </c>
      <c r="AT55" s="1">
        <f>SUM(AK56:AK159)</f>
        <v>0</v>
      </c>
      <c r="AU55" s="1">
        <f>SUM(AL56:AL159)</f>
        <v>0</v>
      </c>
    </row>
    <row r="56" spans="1:75" ht="13.5" customHeight="1" x14ac:dyDescent="0.25">
      <c r="A56" s="2" t="s">
        <v>107</v>
      </c>
      <c r="B56" s="3" t="s">
        <v>108</v>
      </c>
      <c r="C56" s="70" t="s">
        <v>109</v>
      </c>
      <c r="D56" s="71"/>
      <c r="E56" s="3" t="s">
        <v>110</v>
      </c>
      <c r="F56" s="26">
        <v>1</v>
      </c>
      <c r="G56" s="27">
        <v>0</v>
      </c>
      <c r="H56" s="26">
        <f>F56*G56</f>
        <v>0</v>
      </c>
      <c r="I56" s="28" t="s">
        <v>52</v>
      </c>
      <c r="J56" s="25"/>
      <c r="Z56" s="26">
        <f>IF(AQ56="5",BJ56,0)</f>
        <v>0</v>
      </c>
      <c r="AB56" s="26">
        <f>IF(AQ56="1",BH56,0)</f>
        <v>0</v>
      </c>
      <c r="AC56" s="26">
        <f>IF(AQ56="1",BI56,0)</f>
        <v>0</v>
      </c>
      <c r="AD56" s="26">
        <f>IF(AQ56="7",BH56,0)</f>
        <v>0</v>
      </c>
      <c r="AE56" s="26">
        <f>IF(AQ56="7",BI56,0)</f>
        <v>0</v>
      </c>
      <c r="AF56" s="26">
        <f>IF(AQ56="2",BH56,0)</f>
        <v>0</v>
      </c>
      <c r="AG56" s="26">
        <f>IF(AQ56="2",BI56,0)</f>
        <v>0</v>
      </c>
      <c r="AH56" s="26">
        <f>IF(AQ56="0",BJ56,0)</f>
        <v>0</v>
      </c>
      <c r="AI56" s="11" t="s">
        <v>45</v>
      </c>
      <c r="AJ56" s="26">
        <f>IF(AN56=0,H56,0)</f>
        <v>0</v>
      </c>
      <c r="AK56" s="26">
        <f>IF(AN56=12,H56,0)</f>
        <v>0</v>
      </c>
      <c r="AL56" s="26">
        <f>IF(AN56=21,H56,0)</f>
        <v>0</v>
      </c>
      <c r="AN56" s="26">
        <v>21</v>
      </c>
      <c r="AO56" s="26">
        <f>G56*0</f>
        <v>0</v>
      </c>
      <c r="AP56" s="26">
        <f>G56*(1-0)</f>
        <v>0</v>
      </c>
      <c r="AQ56" s="28" t="s">
        <v>111</v>
      </c>
      <c r="AV56" s="26">
        <f>AW56+AX56</f>
        <v>0</v>
      </c>
      <c r="AW56" s="26">
        <f>F56*AO56</f>
        <v>0</v>
      </c>
      <c r="AX56" s="26">
        <f>F56*AP56</f>
        <v>0</v>
      </c>
      <c r="AY56" s="28" t="s">
        <v>112</v>
      </c>
      <c r="AZ56" s="28" t="s">
        <v>113</v>
      </c>
      <c r="BA56" s="11" t="s">
        <v>55</v>
      </c>
      <c r="BC56" s="26">
        <f>AW56+AX56</f>
        <v>0</v>
      </c>
      <c r="BD56" s="26">
        <f>G56/(100-BE56)*100</f>
        <v>0</v>
      </c>
      <c r="BE56" s="26">
        <v>0</v>
      </c>
      <c r="BF56" s="26">
        <f>56</f>
        <v>56</v>
      </c>
      <c r="BH56" s="26">
        <f>F56*AO56</f>
        <v>0</v>
      </c>
      <c r="BI56" s="26">
        <f>F56*AP56</f>
        <v>0</v>
      </c>
      <c r="BJ56" s="26">
        <f>F56*G56</f>
        <v>0</v>
      </c>
      <c r="BK56" s="26"/>
      <c r="BL56" s="26">
        <v>766</v>
      </c>
      <c r="BW56" s="26">
        <v>21</v>
      </c>
    </row>
    <row r="57" spans="1:75" ht="13.5" customHeight="1" x14ac:dyDescent="0.25">
      <c r="A57" s="29"/>
      <c r="B57" s="30" t="s">
        <v>56</v>
      </c>
      <c r="C57" s="143" t="s">
        <v>114</v>
      </c>
      <c r="D57" s="144"/>
      <c r="E57" s="144"/>
      <c r="F57" s="144"/>
      <c r="G57" s="145"/>
      <c r="H57" s="144"/>
      <c r="I57" s="144"/>
      <c r="J57" s="146"/>
    </row>
    <row r="58" spans="1:75" x14ac:dyDescent="0.25">
      <c r="A58" s="29"/>
      <c r="C58" s="31" t="s">
        <v>48</v>
      </c>
      <c r="D58" s="31" t="s">
        <v>115</v>
      </c>
      <c r="F58" s="32">
        <v>1</v>
      </c>
      <c r="J58" s="25"/>
    </row>
    <row r="59" spans="1:75" ht="13.5" customHeight="1" x14ac:dyDescent="0.25">
      <c r="A59" s="2" t="s">
        <v>116</v>
      </c>
      <c r="B59" s="3" t="s">
        <v>117</v>
      </c>
      <c r="C59" s="70" t="s">
        <v>118</v>
      </c>
      <c r="D59" s="71"/>
      <c r="E59" s="3" t="s">
        <v>119</v>
      </c>
      <c r="F59" s="26">
        <v>1</v>
      </c>
      <c r="G59" s="27">
        <v>0</v>
      </c>
      <c r="H59" s="26">
        <f>F59*G59</f>
        <v>0</v>
      </c>
      <c r="I59" s="28" t="s">
        <v>52</v>
      </c>
      <c r="J59" s="25"/>
      <c r="Z59" s="26">
        <f>IF(AQ59="5",BJ59,0)</f>
        <v>0</v>
      </c>
      <c r="AB59" s="26">
        <f>IF(AQ59="1",BH59,0)</f>
        <v>0</v>
      </c>
      <c r="AC59" s="26">
        <f>IF(AQ59="1",BI59,0)</f>
        <v>0</v>
      </c>
      <c r="AD59" s="26">
        <f>IF(AQ59="7",BH59,0)</f>
        <v>0</v>
      </c>
      <c r="AE59" s="26">
        <f>IF(AQ59="7",BI59,0)</f>
        <v>0</v>
      </c>
      <c r="AF59" s="26">
        <f>IF(AQ59="2",BH59,0)</f>
        <v>0</v>
      </c>
      <c r="AG59" s="26">
        <f>IF(AQ59="2",BI59,0)</f>
        <v>0</v>
      </c>
      <c r="AH59" s="26">
        <f>IF(AQ59="0",BJ59,0)</f>
        <v>0</v>
      </c>
      <c r="AI59" s="11" t="s">
        <v>45</v>
      </c>
      <c r="AJ59" s="26">
        <f>IF(AN59=0,H59,0)</f>
        <v>0</v>
      </c>
      <c r="AK59" s="26">
        <f>IF(AN59=12,H59,0)</f>
        <v>0</v>
      </c>
      <c r="AL59" s="26">
        <f>IF(AN59=21,H59,0)</f>
        <v>0</v>
      </c>
      <c r="AN59" s="26">
        <v>21</v>
      </c>
      <c r="AO59" s="26">
        <f>G59*0</f>
        <v>0</v>
      </c>
      <c r="AP59" s="26">
        <f>G59*(1-0)</f>
        <v>0</v>
      </c>
      <c r="AQ59" s="28" t="s">
        <v>111</v>
      </c>
      <c r="AV59" s="26">
        <f>AW59+AX59</f>
        <v>0</v>
      </c>
      <c r="AW59" s="26">
        <f>F59*AO59</f>
        <v>0</v>
      </c>
      <c r="AX59" s="26">
        <f>F59*AP59</f>
        <v>0</v>
      </c>
      <c r="AY59" s="28" t="s">
        <v>112</v>
      </c>
      <c r="AZ59" s="28" t="s">
        <v>113</v>
      </c>
      <c r="BA59" s="11" t="s">
        <v>55</v>
      </c>
      <c r="BC59" s="26">
        <f>AW59+AX59</f>
        <v>0</v>
      </c>
      <c r="BD59" s="26">
        <f>G59/(100-BE59)*100</f>
        <v>0</v>
      </c>
      <c r="BE59" s="26">
        <v>0</v>
      </c>
      <c r="BF59" s="26">
        <f>59</f>
        <v>59</v>
      </c>
      <c r="BH59" s="26">
        <f>F59*AO59</f>
        <v>0</v>
      </c>
      <c r="BI59" s="26">
        <f>F59*AP59</f>
        <v>0</v>
      </c>
      <c r="BJ59" s="26">
        <f>F59*G59</f>
        <v>0</v>
      </c>
      <c r="BK59" s="26"/>
      <c r="BL59" s="26">
        <v>766</v>
      </c>
      <c r="BW59" s="26">
        <v>21</v>
      </c>
    </row>
    <row r="60" spans="1:75" x14ac:dyDescent="0.25">
      <c r="A60" s="29"/>
      <c r="C60" s="31" t="s">
        <v>48</v>
      </c>
      <c r="D60" s="31" t="s">
        <v>120</v>
      </c>
      <c r="F60" s="32">
        <v>1</v>
      </c>
      <c r="J60" s="25"/>
    </row>
    <row r="61" spans="1:75" ht="13.5" customHeight="1" x14ac:dyDescent="0.25">
      <c r="A61" s="2" t="s">
        <v>121</v>
      </c>
      <c r="B61" s="3" t="s">
        <v>122</v>
      </c>
      <c r="C61" s="70" t="s">
        <v>123</v>
      </c>
      <c r="D61" s="71"/>
      <c r="E61" s="3" t="s">
        <v>51</v>
      </c>
      <c r="F61" s="26">
        <v>16.170000000000002</v>
      </c>
      <c r="G61" s="27">
        <v>0</v>
      </c>
      <c r="H61" s="26">
        <f>F61*G61</f>
        <v>0</v>
      </c>
      <c r="I61" s="28" t="s">
        <v>52</v>
      </c>
      <c r="J61" s="25"/>
      <c r="Z61" s="26">
        <f>IF(AQ61="5",BJ61,0)</f>
        <v>0</v>
      </c>
      <c r="AB61" s="26">
        <f>IF(AQ61="1",BH61,0)</f>
        <v>0</v>
      </c>
      <c r="AC61" s="26">
        <f>IF(AQ61="1",BI61,0)</f>
        <v>0</v>
      </c>
      <c r="AD61" s="26">
        <f>IF(AQ61="7",BH61,0)</f>
        <v>0</v>
      </c>
      <c r="AE61" s="26">
        <f>IF(AQ61="7",BI61,0)</f>
        <v>0</v>
      </c>
      <c r="AF61" s="26">
        <f>IF(AQ61="2",BH61,0)</f>
        <v>0</v>
      </c>
      <c r="AG61" s="26">
        <f>IF(AQ61="2",BI61,0)</f>
        <v>0</v>
      </c>
      <c r="AH61" s="26">
        <f>IF(AQ61="0",BJ61,0)</f>
        <v>0</v>
      </c>
      <c r="AI61" s="11" t="s">
        <v>45</v>
      </c>
      <c r="AJ61" s="26">
        <f>IF(AN61=0,H61,0)</f>
        <v>0</v>
      </c>
      <c r="AK61" s="26">
        <f>IF(AN61=12,H61,0)</f>
        <v>0</v>
      </c>
      <c r="AL61" s="26">
        <f>IF(AN61=21,H61,0)</f>
        <v>0</v>
      </c>
      <c r="AN61" s="26">
        <v>21</v>
      </c>
      <c r="AO61" s="26">
        <f>G61*0</f>
        <v>0</v>
      </c>
      <c r="AP61" s="26">
        <f>G61*(1-0)</f>
        <v>0</v>
      </c>
      <c r="AQ61" s="28" t="s">
        <v>111</v>
      </c>
      <c r="AV61" s="26">
        <f>AW61+AX61</f>
        <v>0</v>
      </c>
      <c r="AW61" s="26">
        <f>F61*AO61</f>
        <v>0</v>
      </c>
      <c r="AX61" s="26">
        <f>F61*AP61</f>
        <v>0</v>
      </c>
      <c r="AY61" s="28" t="s">
        <v>112</v>
      </c>
      <c r="AZ61" s="28" t="s">
        <v>113</v>
      </c>
      <c r="BA61" s="11" t="s">
        <v>55</v>
      </c>
      <c r="BC61" s="26">
        <f>AW61+AX61</f>
        <v>0</v>
      </c>
      <c r="BD61" s="26">
        <f>G61/(100-BE61)*100</f>
        <v>0</v>
      </c>
      <c r="BE61" s="26">
        <v>0</v>
      </c>
      <c r="BF61" s="26">
        <f>61</f>
        <v>61</v>
      </c>
      <c r="BH61" s="26">
        <f>F61*AO61</f>
        <v>0</v>
      </c>
      <c r="BI61" s="26">
        <f>F61*AP61</f>
        <v>0</v>
      </c>
      <c r="BJ61" s="26">
        <f>F61*G61</f>
        <v>0</v>
      </c>
      <c r="BK61" s="26"/>
      <c r="BL61" s="26">
        <v>766</v>
      </c>
      <c r="BW61" s="26">
        <v>21</v>
      </c>
    </row>
    <row r="62" spans="1:75" ht="13.5" customHeight="1" x14ac:dyDescent="0.25">
      <c r="A62" s="29"/>
      <c r="B62" s="30" t="s">
        <v>56</v>
      </c>
      <c r="C62" s="143" t="s">
        <v>124</v>
      </c>
      <c r="D62" s="144"/>
      <c r="E62" s="144"/>
      <c r="F62" s="144"/>
      <c r="G62" s="145"/>
      <c r="H62" s="144"/>
      <c r="I62" s="144"/>
      <c r="J62" s="146"/>
    </row>
    <row r="63" spans="1:75" x14ac:dyDescent="0.25">
      <c r="A63" s="29"/>
      <c r="C63" s="31" t="s">
        <v>125</v>
      </c>
      <c r="D63" s="31" t="s">
        <v>45</v>
      </c>
      <c r="F63" s="32">
        <v>16.170000000000002</v>
      </c>
      <c r="J63" s="25"/>
    </row>
    <row r="64" spans="1:75" ht="13.5" customHeight="1" x14ac:dyDescent="0.25">
      <c r="A64" s="2" t="s">
        <v>111</v>
      </c>
      <c r="B64" s="3" t="s">
        <v>126</v>
      </c>
      <c r="C64" s="70" t="s">
        <v>127</v>
      </c>
      <c r="D64" s="71"/>
      <c r="E64" s="3" t="s">
        <v>51</v>
      </c>
      <c r="F64" s="26">
        <v>1.4279999999999999</v>
      </c>
      <c r="G64" s="27">
        <v>0</v>
      </c>
      <c r="H64" s="26">
        <f>F64*G64</f>
        <v>0</v>
      </c>
      <c r="I64" s="28" t="s">
        <v>52</v>
      </c>
      <c r="J64" s="25"/>
      <c r="Z64" s="26">
        <f>IF(AQ64="5",BJ64,0)</f>
        <v>0</v>
      </c>
      <c r="AB64" s="26">
        <f>IF(AQ64="1",BH64,0)</f>
        <v>0</v>
      </c>
      <c r="AC64" s="26">
        <f>IF(AQ64="1",BI64,0)</f>
        <v>0</v>
      </c>
      <c r="AD64" s="26">
        <f>IF(AQ64="7",BH64,0)</f>
        <v>0</v>
      </c>
      <c r="AE64" s="26">
        <f>IF(AQ64="7",BI64,0)</f>
        <v>0</v>
      </c>
      <c r="AF64" s="26">
        <f>IF(AQ64="2",BH64,0)</f>
        <v>0</v>
      </c>
      <c r="AG64" s="26">
        <f>IF(AQ64="2",BI64,0)</f>
        <v>0</v>
      </c>
      <c r="AH64" s="26">
        <f>IF(AQ64="0",BJ64,0)</f>
        <v>0</v>
      </c>
      <c r="AI64" s="11" t="s">
        <v>45</v>
      </c>
      <c r="AJ64" s="26">
        <f>IF(AN64=0,H64,0)</f>
        <v>0</v>
      </c>
      <c r="AK64" s="26">
        <f>IF(AN64=12,H64,0)</f>
        <v>0</v>
      </c>
      <c r="AL64" s="26">
        <f>IF(AN64=21,H64,0)</f>
        <v>0</v>
      </c>
      <c r="AN64" s="26">
        <v>21</v>
      </c>
      <c r="AO64" s="26">
        <f>G64*0</f>
        <v>0</v>
      </c>
      <c r="AP64" s="26">
        <f>G64*(1-0)</f>
        <v>0</v>
      </c>
      <c r="AQ64" s="28" t="s">
        <v>111</v>
      </c>
      <c r="AV64" s="26">
        <f>AW64+AX64</f>
        <v>0</v>
      </c>
      <c r="AW64" s="26">
        <f>F64*AO64</f>
        <v>0</v>
      </c>
      <c r="AX64" s="26">
        <f>F64*AP64</f>
        <v>0</v>
      </c>
      <c r="AY64" s="28" t="s">
        <v>112</v>
      </c>
      <c r="AZ64" s="28" t="s">
        <v>113</v>
      </c>
      <c r="BA64" s="11" t="s">
        <v>55</v>
      </c>
      <c r="BC64" s="26">
        <f>AW64+AX64</f>
        <v>0</v>
      </c>
      <c r="BD64" s="26">
        <f>G64/(100-BE64)*100</f>
        <v>0</v>
      </c>
      <c r="BE64" s="26">
        <v>0</v>
      </c>
      <c r="BF64" s="26">
        <f>64</f>
        <v>64</v>
      </c>
      <c r="BH64" s="26">
        <f>F64*AO64</f>
        <v>0</v>
      </c>
      <c r="BI64" s="26">
        <f>F64*AP64</f>
        <v>0</v>
      </c>
      <c r="BJ64" s="26">
        <f>F64*G64</f>
        <v>0</v>
      </c>
      <c r="BK64" s="26"/>
      <c r="BL64" s="26">
        <v>766</v>
      </c>
      <c r="BW64" s="26">
        <v>21</v>
      </c>
    </row>
    <row r="65" spans="1:75" ht="13.5" customHeight="1" x14ac:dyDescent="0.25">
      <c r="A65" s="29"/>
      <c r="B65" s="30" t="s">
        <v>56</v>
      </c>
      <c r="C65" s="143" t="s">
        <v>128</v>
      </c>
      <c r="D65" s="144"/>
      <c r="E65" s="144"/>
      <c r="F65" s="144"/>
      <c r="G65" s="145"/>
      <c r="H65" s="144"/>
      <c r="I65" s="144"/>
      <c r="J65" s="146"/>
    </row>
    <row r="66" spans="1:75" x14ac:dyDescent="0.25">
      <c r="A66" s="29"/>
      <c r="C66" s="31" t="s">
        <v>129</v>
      </c>
      <c r="D66" s="31" t="s">
        <v>45</v>
      </c>
      <c r="F66" s="32">
        <v>1.4279999999999999</v>
      </c>
      <c r="J66" s="25"/>
    </row>
    <row r="67" spans="1:75" ht="13.5" customHeight="1" x14ac:dyDescent="0.25">
      <c r="A67" s="2" t="s">
        <v>130</v>
      </c>
      <c r="B67" s="3" t="s">
        <v>131</v>
      </c>
      <c r="C67" s="70" t="s">
        <v>132</v>
      </c>
      <c r="D67" s="71"/>
      <c r="E67" s="3" t="s">
        <v>51</v>
      </c>
      <c r="F67" s="26">
        <v>1.4279999999999999</v>
      </c>
      <c r="G67" s="27">
        <v>0</v>
      </c>
      <c r="H67" s="26">
        <f>F67*G67</f>
        <v>0</v>
      </c>
      <c r="I67" s="28" t="s">
        <v>133</v>
      </c>
      <c r="J67" s="25"/>
      <c r="Z67" s="26">
        <f>IF(AQ67="5",BJ67,0)</f>
        <v>0</v>
      </c>
      <c r="AB67" s="26">
        <f>IF(AQ67="1",BH67,0)</f>
        <v>0</v>
      </c>
      <c r="AC67" s="26">
        <f>IF(AQ67="1",BI67,0)</f>
        <v>0</v>
      </c>
      <c r="AD67" s="26">
        <f>IF(AQ67="7",BH67,0)</f>
        <v>0</v>
      </c>
      <c r="AE67" s="26">
        <f>IF(AQ67="7",BI67,0)</f>
        <v>0</v>
      </c>
      <c r="AF67" s="26">
        <f>IF(AQ67="2",BH67,0)</f>
        <v>0</v>
      </c>
      <c r="AG67" s="26">
        <f>IF(AQ67="2",BI67,0)</f>
        <v>0</v>
      </c>
      <c r="AH67" s="26">
        <f>IF(AQ67="0",BJ67,0)</f>
        <v>0</v>
      </c>
      <c r="AI67" s="11" t="s">
        <v>45</v>
      </c>
      <c r="AJ67" s="26">
        <f>IF(AN67=0,H67,0)</f>
        <v>0</v>
      </c>
      <c r="AK67" s="26">
        <f>IF(AN67=12,H67,0)</f>
        <v>0</v>
      </c>
      <c r="AL67" s="26">
        <f>IF(AN67=21,H67,0)</f>
        <v>0</v>
      </c>
      <c r="AN67" s="26">
        <v>21</v>
      </c>
      <c r="AO67" s="26">
        <f>G67*0</f>
        <v>0</v>
      </c>
      <c r="AP67" s="26">
        <f>G67*(1-0)</f>
        <v>0</v>
      </c>
      <c r="AQ67" s="28" t="s">
        <v>111</v>
      </c>
      <c r="AV67" s="26">
        <f>AW67+AX67</f>
        <v>0</v>
      </c>
      <c r="AW67" s="26">
        <f>F67*AO67</f>
        <v>0</v>
      </c>
      <c r="AX67" s="26">
        <f>F67*AP67</f>
        <v>0</v>
      </c>
      <c r="AY67" s="28" t="s">
        <v>112</v>
      </c>
      <c r="AZ67" s="28" t="s">
        <v>113</v>
      </c>
      <c r="BA67" s="11" t="s">
        <v>55</v>
      </c>
      <c r="BC67" s="26">
        <f>AW67+AX67</f>
        <v>0</v>
      </c>
      <c r="BD67" s="26">
        <f>G67/(100-BE67)*100</f>
        <v>0</v>
      </c>
      <c r="BE67" s="26">
        <v>0</v>
      </c>
      <c r="BF67" s="26">
        <f>67</f>
        <v>67</v>
      </c>
      <c r="BH67" s="26">
        <f>F67*AO67</f>
        <v>0</v>
      </c>
      <c r="BI67" s="26">
        <f>F67*AP67</f>
        <v>0</v>
      </c>
      <c r="BJ67" s="26">
        <f>F67*G67</f>
        <v>0</v>
      </c>
      <c r="BK67" s="26"/>
      <c r="BL67" s="26">
        <v>766</v>
      </c>
      <c r="BW67" s="26">
        <v>21</v>
      </c>
    </row>
    <row r="68" spans="1:75" ht="13.5" customHeight="1" x14ac:dyDescent="0.25">
      <c r="A68" s="29"/>
      <c r="B68" s="30" t="s">
        <v>56</v>
      </c>
      <c r="C68" s="143" t="s">
        <v>128</v>
      </c>
      <c r="D68" s="144"/>
      <c r="E68" s="144"/>
      <c r="F68" s="144"/>
      <c r="G68" s="145"/>
      <c r="H68" s="144"/>
      <c r="I68" s="144"/>
      <c r="J68" s="146"/>
    </row>
    <row r="69" spans="1:75" x14ac:dyDescent="0.25">
      <c r="A69" s="29"/>
      <c r="C69" s="31" t="s">
        <v>129</v>
      </c>
      <c r="D69" s="31" t="s">
        <v>45</v>
      </c>
      <c r="F69" s="32">
        <v>1.4279999999999999</v>
      </c>
      <c r="J69" s="25"/>
    </row>
    <row r="70" spans="1:75" ht="13.5" customHeight="1" x14ac:dyDescent="0.25">
      <c r="A70" s="2" t="s">
        <v>134</v>
      </c>
      <c r="B70" s="3" t="s">
        <v>135</v>
      </c>
      <c r="C70" s="70" t="s">
        <v>136</v>
      </c>
      <c r="D70" s="71"/>
      <c r="E70" s="3" t="s">
        <v>51</v>
      </c>
      <c r="F70" s="26">
        <v>1.7595000000000001</v>
      </c>
      <c r="G70" s="27">
        <v>0</v>
      </c>
      <c r="H70" s="26">
        <f>F70*G70</f>
        <v>0</v>
      </c>
      <c r="I70" s="28" t="s">
        <v>133</v>
      </c>
      <c r="J70" s="25"/>
      <c r="Z70" s="26">
        <f>IF(AQ70="5",BJ70,0)</f>
        <v>0</v>
      </c>
      <c r="AB70" s="26">
        <f>IF(AQ70="1",BH70,0)</f>
        <v>0</v>
      </c>
      <c r="AC70" s="26">
        <f>IF(AQ70="1",BI70,0)</f>
        <v>0</v>
      </c>
      <c r="AD70" s="26">
        <f>IF(AQ70="7",BH70,0)</f>
        <v>0</v>
      </c>
      <c r="AE70" s="26">
        <f>IF(AQ70="7",BI70,0)</f>
        <v>0</v>
      </c>
      <c r="AF70" s="26">
        <f>IF(AQ70="2",BH70,0)</f>
        <v>0</v>
      </c>
      <c r="AG70" s="26">
        <f>IF(AQ70="2",BI70,0)</f>
        <v>0</v>
      </c>
      <c r="AH70" s="26">
        <f>IF(AQ70="0",BJ70,0)</f>
        <v>0</v>
      </c>
      <c r="AI70" s="11" t="s">
        <v>45</v>
      </c>
      <c r="AJ70" s="26">
        <f>IF(AN70=0,H70,0)</f>
        <v>0</v>
      </c>
      <c r="AK70" s="26">
        <f>IF(AN70=12,H70,0)</f>
        <v>0</v>
      </c>
      <c r="AL70" s="26">
        <f>IF(AN70=21,H70,0)</f>
        <v>0</v>
      </c>
      <c r="AN70" s="26">
        <v>21</v>
      </c>
      <c r="AO70" s="26">
        <f>G70*0</f>
        <v>0</v>
      </c>
      <c r="AP70" s="26">
        <f>G70*(1-0)</f>
        <v>0</v>
      </c>
      <c r="AQ70" s="28" t="s">
        <v>111</v>
      </c>
      <c r="AV70" s="26">
        <f>AW70+AX70</f>
        <v>0</v>
      </c>
      <c r="AW70" s="26">
        <f>F70*AO70</f>
        <v>0</v>
      </c>
      <c r="AX70" s="26">
        <f>F70*AP70</f>
        <v>0</v>
      </c>
      <c r="AY70" s="28" t="s">
        <v>112</v>
      </c>
      <c r="AZ70" s="28" t="s">
        <v>113</v>
      </c>
      <c r="BA70" s="11" t="s">
        <v>55</v>
      </c>
      <c r="BC70" s="26">
        <f>AW70+AX70</f>
        <v>0</v>
      </c>
      <c r="BD70" s="26">
        <f>G70/(100-BE70)*100</f>
        <v>0</v>
      </c>
      <c r="BE70" s="26">
        <v>0</v>
      </c>
      <c r="BF70" s="26">
        <f>70</f>
        <v>70</v>
      </c>
      <c r="BH70" s="26">
        <f>F70*AO70</f>
        <v>0</v>
      </c>
      <c r="BI70" s="26">
        <f>F70*AP70</f>
        <v>0</v>
      </c>
      <c r="BJ70" s="26">
        <f>F70*G70</f>
        <v>0</v>
      </c>
      <c r="BK70" s="26"/>
      <c r="BL70" s="26">
        <v>766</v>
      </c>
      <c r="BW70" s="26">
        <v>21</v>
      </c>
    </row>
    <row r="71" spans="1:75" ht="13.5" customHeight="1" x14ac:dyDescent="0.25">
      <c r="A71" s="29"/>
      <c r="B71" s="30" t="s">
        <v>56</v>
      </c>
      <c r="C71" s="143" t="s">
        <v>128</v>
      </c>
      <c r="D71" s="144"/>
      <c r="E71" s="144"/>
      <c r="F71" s="144"/>
      <c r="G71" s="145"/>
      <c r="H71" s="144"/>
      <c r="I71" s="144"/>
      <c r="J71" s="146"/>
    </row>
    <row r="72" spans="1:75" x14ac:dyDescent="0.25">
      <c r="A72" s="29"/>
      <c r="C72" s="31" t="s">
        <v>137</v>
      </c>
      <c r="D72" s="31" t="s">
        <v>45</v>
      </c>
      <c r="F72" s="32">
        <v>1.7595000000000001</v>
      </c>
      <c r="J72" s="25"/>
    </row>
    <row r="73" spans="1:75" ht="13.5" customHeight="1" x14ac:dyDescent="0.25">
      <c r="A73" s="2" t="s">
        <v>138</v>
      </c>
      <c r="B73" s="3" t="s">
        <v>139</v>
      </c>
      <c r="C73" s="70" t="s">
        <v>140</v>
      </c>
      <c r="D73" s="71"/>
      <c r="E73" s="3" t="s">
        <v>51</v>
      </c>
      <c r="F73" s="26">
        <v>1.581</v>
      </c>
      <c r="G73" s="27">
        <v>0</v>
      </c>
      <c r="H73" s="26">
        <f>F73*G73</f>
        <v>0</v>
      </c>
      <c r="I73" s="28" t="s">
        <v>133</v>
      </c>
      <c r="J73" s="25"/>
      <c r="Z73" s="26">
        <f>IF(AQ73="5",BJ73,0)</f>
        <v>0</v>
      </c>
      <c r="AB73" s="26">
        <f>IF(AQ73="1",BH73,0)</f>
        <v>0</v>
      </c>
      <c r="AC73" s="26">
        <f>IF(AQ73="1",BI73,0)</f>
        <v>0</v>
      </c>
      <c r="AD73" s="26">
        <f>IF(AQ73="7",BH73,0)</f>
        <v>0</v>
      </c>
      <c r="AE73" s="26">
        <f>IF(AQ73="7",BI73,0)</f>
        <v>0</v>
      </c>
      <c r="AF73" s="26">
        <f>IF(AQ73="2",BH73,0)</f>
        <v>0</v>
      </c>
      <c r="AG73" s="26">
        <f>IF(AQ73="2",BI73,0)</f>
        <v>0</v>
      </c>
      <c r="AH73" s="26">
        <f>IF(AQ73="0",BJ73,0)</f>
        <v>0</v>
      </c>
      <c r="AI73" s="11" t="s">
        <v>45</v>
      </c>
      <c r="AJ73" s="26">
        <f>IF(AN73=0,H73,0)</f>
        <v>0</v>
      </c>
      <c r="AK73" s="26">
        <f>IF(AN73=12,H73,0)</f>
        <v>0</v>
      </c>
      <c r="AL73" s="26">
        <f>IF(AN73=21,H73,0)</f>
        <v>0</v>
      </c>
      <c r="AN73" s="26">
        <v>21</v>
      </c>
      <c r="AO73" s="26">
        <f>G73*0</f>
        <v>0</v>
      </c>
      <c r="AP73" s="26">
        <f>G73*(1-0)</f>
        <v>0</v>
      </c>
      <c r="AQ73" s="28" t="s">
        <v>111</v>
      </c>
      <c r="AV73" s="26">
        <f>AW73+AX73</f>
        <v>0</v>
      </c>
      <c r="AW73" s="26">
        <f>F73*AO73</f>
        <v>0</v>
      </c>
      <c r="AX73" s="26">
        <f>F73*AP73</f>
        <v>0</v>
      </c>
      <c r="AY73" s="28" t="s">
        <v>112</v>
      </c>
      <c r="AZ73" s="28" t="s">
        <v>113</v>
      </c>
      <c r="BA73" s="11" t="s">
        <v>55</v>
      </c>
      <c r="BC73" s="26">
        <f>AW73+AX73</f>
        <v>0</v>
      </c>
      <c r="BD73" s="26">
        <f>G73/(100-BE73)*100</f>
        <v>0</v>
      </c>
      <c r="BE73" s="26">
        <v>0</v>
      </c>
      <c r="BF73" s="26">
        <f>73</f>
        <v>73</v>
      </c>
      <c r="BH73" s="26">
        <f>F73*AO73</f>
        <v>0</v>
      </c>
      <c r="BI73" s="26">
        <f>F73*AP73</f>
        <v>0</v>
      </c>
      <c r="BJ73" s="26">
        <f>F73*G73</f>
        <v>0</v>
      </c>
      <c r="BK73" s="26"/>
      <c r="BL73" s="26">
        <v>766</v>
      </c>
      <c r="BW73" s="26">
        <v>21</v>
      </c>
    </row>
    <row r="74" spans="1:75" ht="13.5" customHeight="1" x14ac:dyDescent="0.25">
      <c r="A74" s="29"/>
      <c r="B74" s="30" t="s">
        <v>56</v>
      </c>
      <c r="C74" s="143" t="s">
        <v>128</v>
      </c>
      <c r="D74" s="144"/>
      <c r="E74" s="144"/>
      <c r="F74" s="144"/>
      <c r="G74" s="145"/>
      <c r="H74" s="144"/>
      <c r="I74" s="144"/>
      <c r="J74" s="146"/>
    </row>
    <row r="75" spans="1:75" x14ac:dyDescent="0.25">
      <c r="A75" s="29"/>
      <c r="C75" s="31" t="s">
        <v>141</v>
      </c>
      <c r="D75" s="31" t="s">
        <v>45</v>
      </c>
      <c r="F75" s="32">
        <v>1.581</v>
      </c>
      <c r="J75" s="25"/>
    </row>
    <row r="76" spans="1:75" ht="13.5" customHeight="1" x14ac:dyDescent="0.25">
      <c r="A76" s="2" t="s">
        <v>142</v>
      </c>
      <c r="B76" s="3" t="s">
        <v>143</v>
      </c>
      <c r="C76" s="70" t="s">
        <v>144</v>
      </c>
      <c r="D76" s="71"/>
      <c r="E76" s="3" t="s">
        <v>51</v>
      </c>
      <c r="F76" s="26">
        <v>1.581</v>
      </c>
      <c r="G76" s="27">
        <v>0</v>
      </c>
      <c r="H76" s="26">
        <f>F76*G76</f>
        <v>0</v>
      </c>
      <c r="I76" s="28" t="s">
        <v>133</v>
      </c>
      <c r="J76" s="25"/>
      <c r="Z76" s="26">
        <f>IF(AQ76="5",BJ76,0)</f>
        <v>0</v>
      </c>
      <c r="AB76" s="26">
        <f>IF(AQ76="1",BH76,0)</f>
        <v>0</v>
      </c>
      <c r="AC76" s="26">
        <f>IF(AQ76="1",BI76,0)</f>
        <v>0</v>
      </c>
      <c r="AD76" s="26">
        <f>IF(AQ76="7",BH76,0)</f>
        <v>0</v>
      </c>
      <c r="AE76" s="26">
        <f>IF(AQ76="7",BI76,0)</f>
        <v>0</v>
      </c>
      <c r="AF76" s="26">
        <f>IF(AQ76="2",BH76,0)</f>
        <v>0</v>
      </c>
      <c r="AG76" s="26">
        <f>IF(AQ76="2",BI76,0)</f>
        <v>0</v>
      </c>
      <c r="AH76" s="26">
        <f>IF(AQ76="0",BJ76,0)</f>
        <v>0</v>
      </c>
      <c r="AI76" s="11" t="s">
        <v>45</v>
      </c>
      <c r="AJ76" s="26">
        <f>IF(AN76=0,H76,0)</f>
        <v>0</v>
      </c>
      <c r="AK76" s="26">
        <f>IF(AN76=12,H76,0)</f>
        <v>0</v>
      </c>
      <c r="AL76" s="26">
        <f>IF(AN76=21,H76,0)</f>
        <v>0</v>
      </c>
      <c r="AN76" s="26">
        <v>21</v>
      </c>
      <c r="AO76" s="26">
        <f>G76*0</f>
        <v>0</v>
      </c>
      <c r="AP76" s="26">
        <f>G76*(1-0)</f>
        <v>0</v>
      </c>
      <c r="AQ76" s="28" t="s">
        <v>111</v>
      </c>
      <c r="AV76" s="26">
        <f>AW76+AX76</f>
        <v>0</v>
      </c>
      <c r="AW76" s="26">
        <f>F76*AO76</f>
        <v>0</v>
      </c>
      <c r="AX76" s="26">
        <f>F76*AP76</f>
        <v>0</v>
      </c>
      <c r="AY76" s="28" t="s">
        <v>112</v>
      </c>
      <c r="AZ76" s="28" t="s">
        <v>113</v>
      </c>
      <c r="BA76" s="11" t="s">
        <v>55</v>
      </c>
      <c r="BC76" s="26">
        <f>AW76+AX76</f>
        <v>0</v>
      </c>
      <c r="BD76" s="26">
        <f>G76/(100-BE76)*100</f>
        <v>0</v>
      </c>
      <c r="BE76" s="26">
        <v>0</v>
      </c>
      <c r="BF76" s="26">
        <f>76</f>
        <v>76</v>
      </c>
      <c r="BH76" s="26">
        <f>F76*AO76</f>
        <v>0</v>
      </c>
      <c r="BI76" s="26">
        <f>F76*AP76</f>
        <v>0</v>
      </c>
      <c r="BJ76" s="26">
        <f>F76*G76</f>
        <v>0</v>
      </c>
      <c r="BK76" s="26"/>
      <c r="BL76" s="26">
        <v>766</v>
      </c>
      <c r="BW76" s="26">
        <v>21</v>
      </c>
    </row>
    <row r="77" spans="1:75" ht="13.5" customHeight="1" x14ac:dyDescent="0.25">
      <c r="A77" s="29"/>
      <c r="B77" s="30" t="s">
        <v>56</v>
      </c>
      <c r="C77" s="143" t="s">
        <v>128</v>
      </c>
      <c r="D77" s="144"/>
      <c r="E77" s="144"/>
      <c r="F77" s="144"/>
      <c r="G77" s="145"/>
      <c r="H77" s="144"/>
      <c r="I77" s="144"/>
      <c r="J77" s="146"/>
    </row>
    <row r="78" spans="1:75" x14ac:dyDescent="0.25">
      <c r="A78" s="29"/>
      <c r="C78" s="31" t="s">
        <v>141</v>
      </c>
      <c r="D78" s="31" t="s">
        <v>45</v>
      </c>
      <c r="F78" s="32">
        <v>1.581</v>
      </c>
      <c r="J78" s="25"/>
    </row>
    <row r="79" spans="1:75" ht="13.5" customHeight="1" x14ac:dyDescent="0.25">
      <c r="A79" s="2" t="s">
        <v>145</v>
      </c>
      <c r="B79" s="3" t="s">
        <v>146</v>
      </c>
      <c r="C79" s="70" t="s">
        <v>147</v>
      </c>
      <c r="D79" s="71"/>
      <c r="E79" s="3" t="s">
        <v>51</v>
      </c>
      <c r="F79" s="26">
        <v>1.581</v>
      </c>
      <c r="G79" s="27">
        <v>0</v>
      </c>
      <c r="H79" s="26">
        <f>F79*G79</f>
        <v>0</v>
      </c>
      <c r="I79" s="28" t="s">
        <v>133</v>
      </c>
      <c r="J79" s="25"/>
      <c r="Z79" s="26">
        <f>IF(AQ79="5",BJ79,0)</f>
        <v>0</v>
      </c>
      <c r="AB79" s="26">
        <f>IF(AQ79="1",BH79,0)</f>
        <v>0</v>
      </c>
      <c r="AC79" s="26">
        <f>IF(AQ79="1",BI79,0)</f>
        <v>0</v>
      </c>
      <c r="AD79" s="26">
        <f>IF(AQ79="7",BH79,0)</f>
        <v>0</v>
      </c>
      <c r="AE79" s="26">
        <f>IF(AQ79="7",BI79,0)</f>
        <v>0</v>
      </c>
      <c r="AF79" s="26">
        <f>IF(AQ79="2",BH79,0)</f>
        <v>0</v>
      </c>
      <c r="AG79" s="26">
        <f>IF(AQ79="2",BI79,0)</f>
        <v>0</v>
      </c>
      <c r="AH79" s="26">
        <f>IF(AQ79="0",BJ79,0)</f>
        <v>0</v>
      </c>
      <c r="AI79" s="11" t="s">
        <v>45</v>
      </c>
      <c r="AJ79" s="26">
        <f>IF(AN79=0,H79,0)</f>
        <v>0</v>
      </c>
      <c r="AK79" s="26">
        <f>IF(AN79=12,H79,0)</f>
        <v>0</v>
      </c>
      <c r="AL79" s="26">
        <f>IF(AN79=21,H79,0)</f>
        <v>0</v>
      </c>
      <c r="AN79" s="26">
        <v>21</v>
      </c>
      <c r="AO79" s="26">
        <f>G79*0</f>
        <v>0</v>
      </c>
      <c r="AP79" s="26">
        <f>G79*(1-0)</f>
        <v>0</v>
      </c>
      <c r="AQ79" s="28" t="s">
        <v>111</v>
      </c>
      <c r="AV79" s="26">
        <f>AW79+AX79</f>
        <v>0</v>
      </c>
      <c r="AW79" s="26">
        <f>F79*AO79</f>
        <v>0</v>
      </c>
      <c r="AX79" s="26">
        <f>F79*AP79</f>
        <v>0</v>
      </c>
      <c r="AY79" s="28" t="s">
        <v>112</v>
      </c>
      <c r="AZ79" s="28" t="s">
        <v>113</v>
      </c>
      <c r="BA79" s="11" t="s">
        <v>55</v>
      </c>
      <c r="BC79" s="26">
        <f>AW79+AX79</f>
        <v>0</v>
      </c>
      <c r="BD79" s="26">
        <f>G79/(100-BE79)*100</f>
        <v>0</v>
      </c>
      <c r="BE79" s="26">
        <v>0</v>
      </c>
      <c r="BF79" s="26">
        <f>79</f>
        <v>79</v>
      </c>
      <c r="BH79" s="26">
        <f>F79*AO79</f>
        <v>0</v>
      </c>
      <c r="BI79" s="26">
        <f>F79*AP79</f>
        <v>0</v>
      </c>
      <c r="BJ79" s="26">
        <f>F79*G79</f>
        <v>0</v>
      </c>
      <c r="BK79" s="26"/>
      <c r="BL79" s="26">
        <v>766</v>
      </c>
      <c r="BW79" s="26">
        <v>21</v>
      </c>
    </row>
    <row r="80" spans="1:75" ht="13.5" customHeight="1" x14ac:dyDescent="0.25">
      <c r="A80" s="29"/>
      <c r="B80" s="30" t="s">
        <v>56</v>
      </c>
      <c r="C80" s="143" t="s">
        <v>128</v>
      </c>
      <c r="D80" s="144"/>
      <c r="E80" s="144"/>
      <c r="F80" s="144"/>
      <c r="G80" s="145"/>
      <c r="H80" s="144"/>
      <c r="I80" s="144"/>
      <c r="J80" s="146"/>
    </row>
    <row r="81" spans="1:75" x14ac:dyDescent="0.25">
      <c r="A81" s="29"/>
      <c r="C81" s="31" t="s">
        <v>141</v>
      </c>
      <c r="D81" s="31" t="s">
        <v>45</v>
      </c>
      <c r="F81" s="32">
        <v>1.581</v>
      </c>
      <c r="J81" s="25"/>
    </row>
    <row r="82" spans="1:75" ht="13.5" customHeight="1" x14ac:dyDescent="0.25">
      <c r="A82" s="2" t="s">
        <v>148</v>
      </c>
      <c r="B82" s="3" t="s">
        <v>149</v>
      </c>
      <c r="C82" s="70" t="s">
        <v>150</v>
      </c>
      <c r="D82" s="71"/>
      <c r="E82" s="3" t="s">
        <v>51</v>
      </c>
      <c r="F82" s="26">
        <v>1.581</v>
      </c>
      <c r="G82" s="27">
        <v>0</v>
      </c>
      <c r="H82" s="26">
        <f>F82*G82</f>
        <v>0</v>
      </c>
      <c r="I82" s="28" t="s">
        <v>133</v>
      </c>
      <c r="J82" s="25"/>
      <c r="Z82" s="26">
        <f>IF(AQ82="5",BJ82,0)</f>
        <v>0</v>
      </c>
      <c r="AB82" s="26">
        <f>IF(AQ82="1",BH82,0)</f>
        <v>0</v>
      </c>
      <c r="AC82" s="26">
        <f>IF(AQ82="1",BI82,0)</f>
        <v>0</v>
      </c>
      <c r="AD82" s="26">
        <f>IF(AQ82="7",BH82,0)</f>
        <v>0</v>
      </c>
      <c r="AE82" s="26">
        <f>IF(AQ82="7",BI82,0)</f>
        <v>0</v>
      </c>
      <c r="AF82" s="26">
        <f>IF(AQ82="2",BH82,0)</f>
        <v>0</v>
      </c>
      <c r="AG82" s="26">
        <f>IF(AQ82="2",BI82,0)</f>
        <v>0</v>
      </c>
      <c r="AH82" s="26">
        <f>IF(AQ82="0",BJ82,0)</f>
        <v>0</v>
      </c>
      <c r="AI82" s="11" t="s">
        <v>45</v>
      </c>
      <c r="AJ82" s="26">
        <f>IF(AN82=0,H82,0)</f>
        <v>0</v>
      </c>
      <c r="AK82" s="26">
        <f>IF(AN82=12,H82,0)</f>
        <v>0</v>
      </c>
      <c r="AL82" s="26">
        <f>IF(AN82=21,H82,0)</f>
        <v>0</v>
      </c>
      <c r="AN82" s="26">
        <v>21</v>
      </c>
      <c r="AO82" s="26">
        <f>G82*0</f>
        <v>0</v>
      </c>
      <c r="AP82" s="26">
        <f>G82*(1-0)</f>
        <v>0</v>
      </c>
      <c r="AQ82" s="28" t="s">
        <v>111</v>
      </c>
      <c r="AV82" s="26">
        <f>AW82+AX82</f>
        <v>0</v>
      </c>
      <c r="AW82" s="26">
        <f>F82*AO82</f>
        <v>0</v>
      </c>
      <c r="AX82" s="26">
        <f>F82*AP82</f>
        <v>0</v>
      </c>
      <c r="AY82" s="28" t="s">
        <v>112</v>
      </c>
      <c r="AZ82" s="28" t="s">
        <v>113</v>
      </c>
      <c r="BA82" s="11" t="s">
        <v>55</v>
      </c>
      <c r="BC82" s="26">
        <f>AW82+AX82</f>
        <v>0</v>
      </c>
      <c r="BD82" s="26">
        <f>G82/(100-BE82)*100</f>
        <v>0</v>
      </c>
      <c r="BE82" s="26">
        <v>0</v>
      </c>
      <c r="BF82" s="26">
        <f>82</f>
        <v>82</v>
      </c>
      <c r="BH82" s="26">
        <f>F82*AO82</f>
        <v>0</v>
      </c>
      <c r="BI82" s="26">
        <f>F82*AP82</f>
        <v>0</v>
      </c>
      <c r="BJ82" s="26">
        <f>F82*G82</f>
        <v>0</v>
      </c>
      <c r="BK82" s="26"/>
      <c r="BL82" s="26">
        <v>766</v>
      </c>
      <c r="BW82" s="26">
        <v>21</v>
      </c>
    </row>
    <row r="83" spans="1:75" ht="13.5" customHeight="1" x14ac:dyDescent="0.25">
      <c r="A83" s="29"/>
      <c r="B83" s="30" t="s">
        <v>56</v>
      </c>
      <c r="C83" s="143" t="s">
        <v>128</v>
      </c>
      <c r="D83" s="144"/>
      <c r="E83" s="144"/>
      <c r="F83" s="144"/>
      <c r="G83" s="145"/>
      <c r="H83" s="144"/>
      <c r="I83" s="144"/>
      <c r="J83" s="146"/>
    </row>
    <row r="84" spans="1:75" x14ac:dyDescent="0.25">
      <c r="A84" s="29"/>
      <c r="C84" s="31" t="s">
        <v>141</v>
      </c>
      <c r="D84" s="31" t="s">
        <v>45</v>
      </c>
      <c r="F84" s="32">
        <v>1.581</v>
      </c>
      <c r="J84" s="25"/>
    </row>
    <row r="85" spans="1:75" ht="13.5" customHeight="1" x14ac:dyDescent="0.25">
      <c r="A85" s="2" t="s">
        <v>151</v>
      </c>
      <c r="B85" s="3" t="s">
        <v>152</v>
      </c>
      <c r="C85" s="70" t="s">
        <v>153</v>
      </c>
      <c r="D85" s="71"/>
      <c r="E85" s="3" t="s">
        <v>51</v>
      </c>
      <c r="F85" s="26">
        <v>4.641</v>
      </c>
      <c r="G85" s="27">
        <v>0</v>
      </c>
      <c r="H85" s="26">
        <f>F85*G85</f>
        <v>0</v>
      </c>
      <c r="I85" s="28" t="s">
        <v>133</v>
      </c>
      <c r="J85" s="25"/>
      <c r="Z85" s="26">
        <f>IF(AQ85="5",BJ85,0)</f>
        <v>0</v>
      </c>
      <c r="AB85" s="26">
        <f>IF(AQ85="1",BH85,0)</f>
        <v>0</v>
      </c>
      <c r="AC85" s="26">
        <f>IF(AQ85="1",BI85,0)</f>
        <v>0</v>
      </c>
      <c r="AD85" s="26">
        <f>IF(AQ85="7",BH85,0)</f>
        <v>0</v>
      </c>
      <c r="AE85" s="26">
        <f>IF(AQ85="7",BI85,0)</f>
        <v>0</v>
      </c>
      <c r="AF85" s="26">
        <f>IF(AQ85="2",BH85,0)</f>
        <v>0</v>
      </c>
      <c r="AG85" s="26">
        <f>IF(AQ85="2",BI85,0)</f>
        <v>0</v>
      </c>
      <c r="AH85" s="26">
        <f>IF(AQ85="0",BJ85,0)</f>
        <v>0</v>
      </c>
      <c r="AI85" s="11" t="s">
        <v>45</v>
      </c>
      <c r="AJ85" s="26">
        <f>IF(AN85=0,H85,0)</f>
        <v>0</v>
      </c>
      <c r="AK85" s="26">
        <f>IF(AN85=12,H85,0)</f>
        <v>0</v>
      </c>
      <c r="AL85" s="26">
        <f>IF(AN85=21,H85,0)</f>
        <v>0</v>
      </c>
      <c r="AN85" s="26">
        <v>21</v>
      </c>
      <c r="AO85" s="26">
        <f>G85*0</f>
        <v>0</v>
      </c>
      <c r="AP85" s="26">
        <f>G85*(1-0)</f>
        <v>0</v>
      </c>
      <c r="AQ85" s="28" t="s">
        <v>111</v>
      </c>
      <c r="AV85" s="26">
        <f>AW85+AX85</f>
        <v>0</v>
      </c>
      <c r="AW85" s="26">
        <f>F85*AO85</f>
        <v>0</v>
      </c>
      <c r="AX85" s="26">
        <f>F85*AP85</f>
        <v>0</v>
      </c>
      <c r="AY85" s="28" t="s">
        <v>112</v>
      </c>
      <c r="AZ85" s="28" t="s">
        <v>113</v>
      </c>
      <c r="BA85" s="11" t="s">
        <v>55</v>
      </c>
      <c r="BC85" s="26">
        <f>AW85+AX85</f>
        <v>0</v>
      </c>
      <c r="BD85" s="26">
        <f>G85/(100-BE85)*100</f>
        <v>0</v>
      </c>
      <c r="BE85" s="26">
        <v>0</v>
      </c>
      <c r="BF85" s="26">
        <f>85</f>
        <v>85</v>
      </c>
      <c r="BH85" s="26">
        <f>F85*AO85</f>
        <v>0</v>
      </c>
      <c r="BI85" s="26">
        <f>F85*AP85</f>
        <v>0</v>
      </c>
      <c r="BJ85" s="26">
        <f>F85*G85</f>
        <v>0</v>
      </c>
      <c r="BK85" s="26"/>
      <c r="BL85" s="26">
        <v>766</v>
      </c>
      <c r="BW85" s="26">
        <v>21</v>
      </c>
    </row>
    <row r="86" spans="1:75" ht="13.5" customHeight="1" x14ac:dyDescent="0.25">
      <c r="A86" s="29"/>
      <c r="B86" s="30" t="s">
        <v>56</v>
      </c>
      <c r="C86" s="143" t="s">
        <v>128</v>
      </c>
      <c r="D86" s="144"/>
      <c r="E86" s="144"/>
      <c r="F86" s="144"/>
      <c r="G86" s="145"/>
      <c r="H86" s="144"/>
      <c r="I86" s="144"/>
      <c r="J86" s="146"/>
    </row>
    <row r="87" spans="1:75" x14ac:dyDescent="0.25">
      <c r="A87" s="29"/>
      <c r="C87" s="31" t="s">
        <v>154</v>
      </c>
      <c r="D87" s="31" t="s">
        <v>45</v>
      </c>
      <c r="F87" s="32">
        <v>4.641</v>
      </c>
      <c r="J87" s="25"/>
    </row>
    <row r="88" spans="1:75" ht="13.5" customHeight="1" x14ac:dyDescent="0.25">
      <c r="A88" s="2" t="s">
        <v>155</v>
      </c>
      <c r="B88" s="3" t="s">
        <v>156</v>
      </c>
      <c r="C88" s="70" t="s">
        <v>157</v>
      </c>
      <c r="D88" s="71"/>
      <c r="E88" s="3" t="s">
        <v>51</v>
      </c>
      <c r="F88" s="26">
        <v>4.641</v>
      </c>
      <c r="G88" s="27">
        <v>0</v>
      </c>
      <c r="H88" s="26">
        <f>F88*G88</f>
        <v>0</v>
      </c>
      <c r="I88" s="28" t="s">
        <v>133</v>
      </c>
      <c r="J88" s="25"/>
      <c r="Z88" s="26">
        <f>IF(AQ88="5",BJ88,0)</f>
        <v>0</v>
      </c>
      <c r="AB88" s="26">
        <f>IF(AQ88="1",BH88,0)</f>
        <v>0</v>
      </c>
      <c r="AC88" s="26">
        <f>IF(AQ88="1",BI88,0)</f>
        <v>0</v>
      </c>
      <c r="AD88" s="26">
        <f>IF(AQ88="7",BH88,0)</f>
        <v>0</v>
      </c>
      <c r="AE88" s="26">
        <f>IF(AQ88="7",BI88,0)</f>
        <v>0</v>
      </c>
      <c r="AF88" s="26">
        <f>IF(AQ88="2",BH88,0)</f>
        <v>0</v>
      </c>
      <c r="AG88" s="26">
        <f>IF(AQ88="2",BI88,0)</f>
        <v>0</v>
      </c>
      <c r="AH88" s="26">
        <f>IF(AQ88="0",BJ88,0)</f>
        <v>0</v>
      </c>
      <c r="AI88" s="11" t="s">
        <v>45</v>
      </c>
      <c r="AJ88" s="26">
        <f>IF(AN88=0,H88,0)</f>
        <v>0</v>
      </c>
      <c r="AK88" s="26">
        <f>IF(AN88=12,H88,0)</f>
        <v>0</v>
      </c>
      <c r="AL88" s="26">
        <f>IF(AN88=21,H88,0)</f>
        <v>0</v>
      </c>
      <c r="AN88" s="26">
        <v>21</v>
      </c>
      <c r="AO88" s="26">
        <f>G88*0</f>
        <v>0</v>
      </c>
      <c r="AP88" s="26">
        <f>G88*(1-0)</f>
        <v>0</v>
      </c>
      <c r="AQ88" s="28" t="s">
        <v>111</v>
      </c>
      <c r="AV88" s="26">
        <f>AW88+AX88</f>
        <v>0</v>
      </c>
      <c r="AW88" s="26">
        <f>F88*AO88</f>
        <v>0</v>
      </c>
      <c r="AX88" s="26">
        <f>F88*AP88</f>
        <v>0</v>
      </c>
      <c r="AY88" s="28" t="s">
        <v>112</v>
      </c>
      <c r="AZ88" s="28" t="s">
        <v>113</v>
      </c>
      <c r="BA88" s="11" t="s">
        <v>55</v>
      </c>
      <c r="BC88" s="26">
        <f>AW88+AX88</f>
        <v>0</v>
      </c>
      <c r="BD88" s="26">
        <f>G88/(100-BE88)*100</f>
        <v>0</v>
      </c>
      <c r="BE88" s="26">
        <v>0</v>
      </c>
      <c r="BF88" s="26">
        <f>88</f>
        <v>88</v>
      </c>
      <c r="BH88" s="26">
        <f>F88*AO88</f>
        <v>0</v>
      </c>
      <c r="BI88" s="26">
        <f>F88*AP88</f>
        <v>0</v>
      </c>
      <c r="BJ88" s="26">
        <f>F88*G88</f>
        <v>0</v>
      </c>
      <c r="BK88" s="26"/>
      <c r="BL88" s="26">
        <v>766</v>
      </c>
      <c r="BW88" s="26">
        <v>21</v>
      </c>
    </row>
    <row r="89" spans="1:75" ht="13.5" customHeight="1" x14ac:dyDescent="0.25">
      <c r="A89" s="29"/>
      <c r="B89" s="30" t="s">
        <v>56</v>
      </c>
      <c r="C89" s="143" t="s">
        <v>128</v>
      </c>
      <c r="D89" s="144"/>
      <c r="E89" s="144"/>
      <c r="F89" s="144"/>
      <c r="G89" s="145"/>
      <c r="H89" s="144"/>
      <c r="I89" s="144"/>
      <c r="J89" s="146"/>
    </row>
    <row r="90" spans="1:75" x14ac:dyDescent="0.25">
      <c r="A90" s="29"/>
      <c r="C90" s="31" t="s">
        <v>154</v>
      </c>
      <c r="D90" s="31" t="s">
        <v>45</v>
      </c>
      <c r="F90" s="32">
        <v>4.641</v>
      </c>
      <c r="J90" s="25"/>
    </row>
    <row r="91" spans="1:75" ht="13.5" customHeight="1" x14ac:dyDescent="0.25">
      <c r="A91" s="2" t="s">
        <v>158</v>
      </c>
      <c r="B91" s="3" t="s">
        <v>159</v>
      </c>
      <c r="C91" s="70" t="s">
        <v>160</v>
      </c>
      <c r="D91" s="71"/>
      <c r="E91" s="3" t="s">
        <v>51</v>
      </c>
      <c r="F91" s="26">
        <v>10.8675</v>
      </c>
      <c r="G91" s="27">
        <v>0</v>
      </c>
      <c r="H91" s="26">
        <f>F91*G91</f>
        <v>0</v>
      </c>
      <c r="I91" s="28" t="s">
        <v>133</v>
      </c>
      <c r="J91" s="25"/>
      <c r="Z91" s="26">
        <f>IF(AQ91="5",BJ91,0)</f>
        <v>0</v>
      </c>
      <c r="AB91" s="26">
        <f>IF(AQ91="1",BH91,0)</f>
        <v>0</v>
      </c>
      <c r="AC91" s="26">
        <f>IF(AQ91="1",BI91,0)</f>
        <v>0</v>
      </c>
      <c r="AD91" s="26">
        <f>IF(AQ91="7",BH91,0)</f>
        <v>0</v>
      </c>
      <c r="AE91" s="26">
        <f>IF(AQ91="7",BI91,0)</f>
        <v>0</v>
      </c>
      <c r="AF91" s="26">
        <f>IF(AQ91="2",BH91,0)</f>
        <v>0</v>
      </c>
      <c r="AG91" s="26">
        <f>IF(AQ91="2",BI91,0)</f>
        <v>0</v>
      </c>
      <c r="AH91" s="26">
        <f>IF(AQ91="0",BJ91,0)</f>
        <v>0</v>
      </c>
      <c r="AI91" s="11" t="s">
        <v>45</v>
      </c>
      <c r="AJ91" s="26">
        <f>IF(AN91=0,H91,0)</f>
        <v>0</v>
      </c>
      <c r="AK91" s="26">
        <f>IF(AN91=12,H91,0)</f>
        <v>0</v>
      </c>
      <c r="AL91" s="26">
        <f>IF(AN91=21,H91,0)</f>
        <v>0</v>
      </c>
      <c r="AN91" s="26">
        <v>21</v>
      </c>
      <c r="AO91" s="26">
        <f>G91*0</f>
        <v>0</v>
      </c>
      <c r="AP91" s="26">
        <f>G91*(1-0)</f>
        <v>0</v>
      </c>
      <c r="AQ91" s="28" t="s">
        <v>111</v>
      </c>
      <c r="AV91" s="26">
        <f>AW91+AX91</f>
        <v>0</v>
      </c>
      <c r="AW91" s="26">
        <f>F91*AO91</f>
        <v>0</v>
      </c>
      <c r="AX91" s="26">
        <f>F91*AP91</f>
        <v>0</v>
      </c>
      <c r="AY91" s="28" t="s">
        <v>112</v>
      </c>
      <c r="AZ91" s="28" t="s">
        <v>113</v>
      </c>
      <c r="BA91" s="11" t="s">
        <v>55</v>
      </c>
      <c r="BC91" s="26">
        <f>AW91+AX91</f>
        <v>0</v>
      </c>
      <c r="BD91" s="26">
        <f>G91/(100-BE91)*100</f>
        <v>0</v>
      </c>
      <c r="BE91" s="26">
        <v>0</v>
      </c>
      <c r="BF91" s="26">
        <f>91</f>
        <v>91</v>
      </c>
      <c r="BH91" s="26">
        <f>F91*AO91</f>
        <v>0</v>
      </c>
      <c r="BI91" s="26">
        <f>F91*AP91</f>
        <v>0</v>
      </c>
      <c r="BJ91" s="26">
        <f>F91*G91</f>
        <v>0</v>
      </c>
      <c r="BK91" s="26"/>
      <c r="BL91" s="26">
        <v>766</v>
      </c>
      <c r="BW91" s="26">
        <v>21</v>
      </c>
    </row>
    <row r="92" spans="1:75" ht="13.5" customHeight="1" x14ac:dyDescent="0.25">
      <c r="A92" s="29"/>
      <c r="B92" s="30" t="s">
        <v>56</v>
      </c>
      <c r="C92" s="143" t="s">
        <v>128</v>
      </c>
      <c r="D92" s="144"/>
      <c r="E92" s="144"/>
      <c r="F92" s="144"/>
      <c r="G92" s="145"/>
      <c r="H92" s="144"/>
      <c r="I92" s="144"/>
      <c r="J92" s="146"/>
    </row>
    <row r="93" spans="1:75" x14ac:dyDescent="0.25">
      <c r="A93" s="29"/>
      <c r="C93" s="31" t="s">
        <v>161</v>
      </c>
      <c r="D93" s="31" t="s">
        <v>45</v>
      </c>
      <c r="F93" s="32">
        <v>10.8675</v>
      </c>
      <c r="J93" s="25"/>
    </row>
    <row r="94" spans="1:75" ht="13.5" customHeight="1" x14ac:dyDescent="0.25">
      <c r="A94" s="2" t="s">
        <v>162</v>
      </c>
      <c r="B94" s="3" t="s">
        <v>163</v>
      </c>
      <c r="C94" s="70" t="s">
        <v>164</v>
      </c>
      <c r="D94" s="71"/>
      <c r="E94" s="3" t="s">
        <v>51</v>
      </c>
      <c r="F94" s="26">
        <v>21.734999999999999</v>
      </c>
      <c r="G94" s="27">
        <v>0</v>
      </c>
      <c r="H94" s="26">
        <f>F94*G94</f>
        <v>0</v>
      </c>
      <c r="I94" s="28" t="s">
        <v>133</v>
      </c>
      <c r="J94" s="25"/>
      <c r="Z94" s="26">
        <f>IF(AQ94="5",BJ94,0)</f>
        <v>0</v>
      </c>
      <c r="AB94" s="26">
        <f>IF(AQ94="1",BH94,0)</f>
        <v>0</v>
      </c>
      <c r="AC94" s="26">
        <f>IF(AQ94="1",BI94,0)</f>
        <v>0</v>
      </c>
      <c r="AD94" s="26">
        <f>IF(AQ94="7",BH94,0)</f>
        <v>0</v>
      </c>
      <c r="AE94" s="26">
        <f>IF(AQ94="7",BI94,0)</f>
        <v>0</v>
      </c>
      <c r="AF94" s="26">
        <f>IF(AQ94="2",BH94,0)</f>
        <v>0</v>
      </c>
      <c r="AG94" s="26">
        <f>IF(AQ94="2",BI94,0)</f>
        <v>0</v>
      </c>
      <c r="AH94" s="26">
        <f>IF(AQ94="0",BJ94,0)</f>
        <v>0</v>
      </c>
      <c r="AI94" s="11" t="s">
        <v>45</v>
      </c>
      <c r="AJ94" s="26">
        <f>IF(AN94=0,H94,0)</f>
        <v>0</v>
      </c>
      <c r="AK94" s="26">
        <f>IF(AN94=12,H94,0)</f>
        <v>0</v>
      </c>
      <c r="AL94" s="26">
        <f>IF(AN94=21,H94,0)</f>
        <v>0</v>
      </c>
      <c r="AN94" s="26">
        <v>21</v>
      </c>
      <c r="AO94" s="26">
        <f>G94*0</f>
        <v>0</v>
      </c>
      <c r="AP94" s="26">
        <f>G94*(1-0)</f>
        <v>0</v>
      </c>
      <c r="AQ94" s="28" t="s">
        <v>111</v>
      </c>
      <c r="AV94" s="26">
        <f>AW94+AX94</f>
        <v>0</v>
      </c>
      <c r="AW94" s="26">
        <f>F94*AO94</f>
        <v>0</v>
      </c>
      <c r="AX94" s="26">
        <f>F94*AP94</f>
        <v>0</v>
      </c>
      <c r="AY94" s="28" t="s">
        <v>112</v>
      </c>
      <c r="AZ94" s="28" t="s">
        <v>113</v>
      </c>
      <c r="BA94" s="11" t="s">
        <v>55</v>
      </c>
      <c r="BC94" s="26">
        <f>AW94+AX94</f>
        <v>0</v>
      </c>
      <c r="BD94" s="26">
        <f>G94/(100-BE94)*100</f>
        <v>0</v>
      </c>
      <c r="BE94" s="26">
        <v>0</v>
      </c>
      <c r="BF94" s="26">
        <f>94</f>
        <v>94</v>
      </c>
      <c r="BH94" s="26">
        <f>F94*AO94</f>
        <v>0</v>
      </c>
      <c r="BI94" s="26">
        <f>F94*AP94</f>
        <v>0</v>
      </c>
      <c r="BJ94" s="26">
        <f>F94*G94</f>
        <v>0</v>
      </c>
      <c r="BK94" s="26"/>
      <c r="BL94" s="26">
        <v>766</v>
      </c>
      <c r="BW94" s="26">
        <v>21</v>
      </c>
    </row>
    <row r="95" spans="1:75" ht="13.5" customHeight="1" x14ac:dyDescent="0.25">
      <c r="A95" s="29"/>
      <c r="B95" s="30" t="s">
        <v>56</v>
      </c>
      <c r="C95" s="143" t="s">
        <v>128</v>
      </c>
      <c r="D95" s="144"/>
      <c r="E95" s="144"/>
      <c r="F95" s="144"/>
      <c r="G95" s="145"/>
      <c r="H95" s="144"/>
      <c r="I95" s="144"/>
      <c r="J95" s="146"/>
    </row>
    <row r="96" spans="1:75" x14ac:dyDescent="0.25">
      <c r="A96" s="29"/>
      <c r="C96" s="31" t="s">
        <v>161</v>
      </c>
      <c r="D96" s="31" t="s">
        <v>45</v>
      </c>
      <c r="F96" s="32">
        <v>10.8675</v>
      </c>
      <c r="J96" s="25"/>
    </row>
    <row r="97" spans="1:75" x14ac:dyDescent="0.25">
      <c r="A97" s="29"/>
      <c r="C97" s="31" t="s">
        <v>161</v>
      </c>
      <c r="D97" s="31" t="s">
        <v>45</v>
      </c>
      <c r="F97" s="32">
        <v>10.8675</v>
      </c>
      <c r="J97" s="25"/>
    </row>
    <row r="98" spans="1:75" ht="13.5" customHeight="1" x14ac:dyDescent="0.25">
      <c r="A98" s="2" t="s">
        <v>165</v>
      </c>
      <c r="B98" s="3" t="s">
        <v>166</v>
      </c>
      <c r="C98" s="70" t="s">
        <v>167</v>
      </c>
      <c r="D98" s="71"/>
      <c r="E98" s="3" t="s">
        <v>51</v>
      </c>
      <c r="F98" s="26">
        <v>8.0640000000000001</v>
      </c>
      <c r="G98" s="27">
        <v>0</v>
      </c>
      <c r="H98" s="26">
        <f>F98*G98</f>
        <v>0</v>
      </c>
      <c r="I98" s="28" t="s">
        <v>133</v>
      </c>
      <c r="J98" s="25"/>
      <c r="Z98" s="26">
        <f>IF(AQ98="5",BJ98,0)</f>
        <v>0</v>
      </c>
      <c r="AB98" s="26">
        <f>IF(AQ98="1",BH98,0)</f>
        <v>0</v>
      </c>
      <c r="AC98" s="26">
        <f>IF(AQ98="1",BI98,0)</f>
        <v>0</v>
      </c>
      <c r="AD98" s="26">
        <f>IF(AQ98="7",BH98,0)</f>
        <v>0</v>
      </c>
      <c r="AE98" s="26">
        <f>IF(AQ98="7",BI98,0)</f>
        <v>0</v>
      </c>
      <c r="AF98" s="26">
        <f>IF(AQ98="2",BH98,0)</f>
        <v>0</v>
      </c>
      <c r="AG98" s="26">
        <f>IF(AQ98="2",BI98,0)</f>
        <v>0</v>
      </c>
      <c r="AH98" s="26">
        <f>IF(AQ98="0",BJ98,0)</f>
        <v>0</v>
      </c>
      <c r="AI98" s="11" t="s">
        <v>45</v>
      </c>
      <c r="AJ98" s="26">
        <f>IF(AN98=0,H98,0)</f>
        <v>0</v>
      </c>
      <c r="AK98" s="26">
        <f>IF(AN98=12,H98,0)</f>
        <v>0</v>
      </c>
      <c r="AL98" s="26">
        <f>IF(AN98=21,H98,0)</f>
        <v>0</v>
      </c>
      <c r="AN98" s="26">
        <v>21</v>
      </c>
      <c r="AO98" s="26">
        <f>G98*0</f>
        <v>0</v>
      </c>
      <c r="AP98" s="26">
        <f>G98*(1-0)</f>
        <v>0</v>
      </c>
      <c r="AQ98" s="28" t="s">
        <v>111</v>
      </c>
      <c r="AV98" s="26">
        <f>AW98+AX98</f>
        <v>0</v>
      </c>
      <c r="AW98" s="26">
        <f>F98*AO98</f>
        <v>0</v>
      </c>
      <c r="AX98" s="26">
        <f>F98*AP98</f>
        <v>0</v>
      </c>
      <c r="AY98" s="28" t="s">
        <v>112</v>
      </c>
      <c r="AZ98" s="28" t="s">
        <v>113</v>
      </c>
      <c r="BA98" s="11" t="s">
        <v>55</v>
      </c>
      <c r="BC98" s="26">
        <f>AW98+AX98</f>
        <v>0</v>
      </c>
      <c r="BD98" s="26">
        <f>G98/(100-BE98)*100</f>
        <v>0</v>
      </c>
      <c r="BE98" s="26">
        <v>0</v>
      </c>
      <c r="BF98" s="26">
        <f>98</f>
        <v>98</v>
      </c>
      <c r="BH98" s="26">
        <f>F98*AO98</f>
        <v>0</v>
      </c>
      <c r="BI98" s="26">
        <f>F98*AP98</f>
        <v>0</v>
      </c>
      <c r="BJ98" s="26">
        <f>F98*G98</f>
        <v>0</v>
      </c>
      <c r="BK98" s="26"/>
      <c r="BL98" s="26">
        <v>766</v>
      </c>
      <c r="BW98" s="26">
        <v>21</v>
      </c>
    </row>
    <row r="99" spans="1:75" ht="13.5" customHeight="1" x14ac:dyDescent="0.25">
      <c r="A99" s="29"/>
      <c r="B99" s="30" t="s">
        <v>56</v>
      </c>
      <c r="C99" s="143" t="s">
        <v>128</v>
      </c>
      <c r="D99" s="144"/>
      <c r="E99" s="144"/>
      <c r="F99" s="144"/>
      <c r="G99" s="145"/>
      <c r="H99" s="144"/>
      <c r="I99" s="144"/>
      <c r="J99" s="146"/>
    </row>
    <row r="100" spans="1:75" x14ac:dyDescent="0.25">
      <c r="A100" s="29"/>
      <c r="C100" s="31" t="s">
        <v>168</v>
      </c>
      <c r="D100" s="31" t="s">
        <v>45</v>
      </c>
      <c r="F100" s="32">
        <v>8.0640000000000001</v>
      </c>
      <c r="J100" s="25"/>
    </row>
    <row r="101" spans="1:75" ht="13.5" customHeight="1" x14ac:dyDescent="0.25">
      <c r="A101" s="2" t="s">
        <v>169</v>
      </c>
      <c r="B101" s="3" t="s">
        <v>170</v>
      </c>
      <c r="C101" s="70" t="s">
        <v>171</v>
      </c>
      <c r="D101" s="71"/>
      <c r="E101" s="3" t="s">
        <v>51</v>
      </c>
      <c r="F101" s="26">
        <v>4.2</v>
      </c>
      <c r="G101" s="27">
        <v>0</v>
      </c>
      <c r="H101" s="26">
        <f>F101*G101</f>
        <v>0</v>
      </c>
      <c r="I101" s="28" t="s">
        <v>133</v>
      </c>
      <c r="J101" s="25"/>
      <c r="Z101" s="26">
        <f>IF(AQ101="5",BJ101,0)</f>
        <v>0</v>
      </c>
      <c r="AB101" s="26">
        <f>IF(AQ101="1",BH101,0)</f>
        <v>0</v>
      </c>
      <c r="AC101" s="26">
        <f>IF(AQ101="1",BI101,0)</f>
        <v>0</v>
      </c>
      <c r="AD101" s="26">
        <f>IF(AQ101="7",BH101,0)</f>
        <v>0</v>
      </c>
      <c r="AE101" s="26">
        <f>IF(AQ101="7",BI101,0)</f>
        <v>0</v>
      </c>
      <c r="AF101" s="26">
        <f>IF(AQ101="2",BH101,0)</f>
        <v>0</v>
      </c>
      <c r="AG101" s="26">
        <f>IF(AQ101="2",BI101,0)</f>
        <v>0</v>
      </c>
      <c r="AH101" s="26">
        <f>IF(AQ101="0",BJ101,0)</f>
        <v>0</v>
      </c>
      <c r="AI101" s="11" t="s">
        <v>45</v>
      </c>
      <c r="AJ101" s="26">
        <f>IF(AN101=0,H101,0)</f>
        <v>0</v>
      </c>
      <c r="AK101" s="26">
        <f>IF(AN101=12,H101,0)</f>
        <v>0</v>
      </c>
      <c r="AL101" s="26">
        <f>IF(AN101=21,H101,0)</f>
        <v>0</v>
      </c>
      <c r="AN101" s="26">
        <v>21</v>
      </c>
      <c r="AO101" s="26">
        <f>G101*0</f>
        <v>0</v>
      </c>
      <c r="AP101" s="26">
        <f>G101*(1-0)</f>
        <v>0</v>
      </c>
      <c r="AQ101" s="28" t="s">
        <v>111</v>
      </c>
      <c r="AV101" s="26">
        <f>AW101+AX101</f>
        <v>0</v>
      </c>
      <c r="AW101" s="26">
        <f>F101*AO101</f>
        <v>0</v>
      </c>
      <c r="AX101" s="26">
        <f>F101*AP101</f>
        <v>0</v>
      </c>
      <c r="AY101" s="28" t="s">
        <v>112</v>
      </c>
      <c r="AZ101" s="28" t="s">
        <v>113</v>
      </c>
      <c r="BA101" s="11" t="s">
        <v>55</v>
      </c>
      <c r="BC101" s="26">
        <f>AW101+AX101</f>
        <v>0</v>
      </c>
      <c r="BD101" s="26">
        <f>G101/(100-BE101)*100</f>
        <v>0</v>
      </c>
      <c r="BE101" s="26">
        <v>0</v>
      </c>
      <c r="BF101" s="26">
        <f>101</f>
        <v>101</v>
      </c>
      <c r="BH101" s="26">
        <f>F101*AO101</f>
        <v>0</v>
      </c>
      <c r="BI101" s="26">
        <f>F101*AP101</f>
        <v>0</v>
      </c>
      <c r="BJ101" s="26">
        <f>F101*G101</f>
        <v>0</v>
      </c>
      <c r="BK101" s="26"/>
      <c r="BL101" s="26">
        <v>766</v>
      </c>
      <c r="BW101" s="26">
        <v>21</v>
      </c>
    </row>
    <row r="102" spans="1:75" ht="13.5" customHeight="1" x14ac:dyDescent="0.25">
      <c r="A102" s="29"/>
      <c r="B102" s="30" t="s">
        <v>56</v>
      </c>
      <c r="C102" s="143" t="s">
        <v>128</v>
      </c>
      <c r="D102" s="144"/>
      <c r="E102" s="144"/>
      <c r="F102" s="144"/>
      <c r="G102" s="145"/>
      <c r="H102" s="144"/>
      <c r="I102" s="144"/>
      <c r="J102" s="146"/>
    </row>
    <row r="103" spans="1:75" x14ac:dyDescent="0.25">
      <c r="A103" s="29"/>
      <c r="C103" s="31" t="s">
        <v>172</v>
      </c>
      <c r="D103" s="31" t="s">
        <v>45</v>
      </c>
      <c r="F103" s="32">
        <v>4.2</v>
      </c>
      <c r="J103" s="25"/>
    </row>
    <row r="104" spans="1:75" ht="13.5" customHeight="1" x14ac:dyDescent="0.25">
      <c r="A104" s="2" t="s">
        <v>173</v>
      </c>
      <c r="B104" s="3" t="s">
        <v>174</v>
      </c>
      <c r="C104" s="70" t="s">
        <v>175</v>
      </c>
      <c r="D104" s="71"/>
      <c r="E104" s="3" t="s">
        <v>51</v>
      </c>
      <c r="F104" s="26">
        <v>2.3664000000000001</v>
      </c>
      <c r="G104" s="27">
        <v>0</v>
      </c>
      <c r="H104" s="26">
        <f>F104*G104</f>
        <v>0</v>
      </c>
      <c r="I104" s="28" t="s">
        <v>133</v>
      </c>
      <c r="J104" s="25"/>
      <c r="Z104" s="26">
        <f>IF(AQ104="5",BJ104,0)</f>
        <v>0</v>
      </c>
      <c r="AB104" s="26">
        <f>IF(AQ104="1",BH104,0)</f>
        <v>0</v>
      </c>
      <c r="AC104" s="26">
        <f>IF(AQ104="1",BI104,0)</f>
        <v>0</v>
      </c>
      <c r="AD104" s="26">
        <f>IF(AQ104="7",BH104,0)</f>
        <v>0</v>
      </c>
      <c r="AE104" s="26">
        <f>IF(AQ104="7",BI104,0)</f>
        <v>0</v>
      </c>
      <c r="AF104" s="26">
        <f>IF(AQ104="2",BH104,0)</f>
        <v>0</v>
      </c>
      <c r="AG104" s="26">
        <f>IF(AQ104="2",BI104,0)</f>
        <v>0</v>
      </c>
      <c r="AH104" s="26">
        <f>IF(AQ104="0",BJ104,0)</f>
        <v>0</v>
      </c>
      <c r="AI104" s="11" t="s">
        <v>45</v>
      </c>
      <c r="AJ104" s="26">
        <f>IF(AN104=0,H104,0)</f>
        <v>0</v>
      </c>
      <c r="AK104" s="26">
        <f>IF(AN104=12,H104,0)</f>
        <v>0</v>
      </c>
      <c r="AL104" s="26">
        <f>IF(AN104=21,H104,0)</f>
        <v>0</v>
      </c>
      <c r="AN104" s="26">
        <v>21</v>
      </c>
      <c r="AO104" s="26">
        <f>G104*0</f>
        <v>0</v>
      </c>
      <c r="AP104" s="26">
        <f>G104*(1-0)</f>
        <v>0</v>
      </c>
      <c r="AQ104" s="28" t="s">
        <v>111</v>
      </c>
      <c r="AV104" s="26">
        <f>AW104+AX104</f>
        <v>0</v>
      </c>
      <c r="AW104" s="26">
        <f>F104*AO104</f>
        <v>0</v>
      </c>
      <c r="AX104" s="26">
        <f>F104*AP104</f>
        <v>0</v>
      </c>
      <c r="AY104" s="28" t="s">
        <v>112</v>
      </c>
      <c r="AZ104" s="28" t="s">
        <v>113</v>
      </c>
      <c r="BA104" s="11" t="s">
        <v>55</v>
      </c>
      <c r="BC104" s="26">
        <f>AW104+AX104</f>
        <v>0</v>
      </c>
      <c r="BD104" s="26">
        <f>G104/(100-BE104)*100</f>
        <v>0</v>
      </c>
      <c r="BE104" s="26">
        <v>0</v>
      </c>
      <c r="BF104" s="26">
        <f>104</f>
        <v>104</v>
      </c>
      <c r="BH104" s="26">
        <f>F104*AO104</f>
        <v>0</v>
      </c>
      <c r="BI104" s="26">
        <f>F104*AP104</f>
        <v>0</v>
      </c>
      <c r="BJ104" s="26">
        <f>F104*G104</f>
        <v>0</v>
      </c>
      <c r="BK104" s="26"/>
      <c r="BL104" s="26">
        <v>766</v>
      </c>
      <c r="BW104" s="26">
        <v>21</v>
      </c>
    </row>
    <row r="105" spans="1:75" ht="13.5" customHeight="1" x14ac:dyDescent="0.25">
      <c r="A105" s="29"/>
      <c r="B105" s="30" t="s">
        <v>56</v>
      </c>
      <c r="C105" s="143" t="s">
        <v>128</v>
      </c>
      <c r="D105" s="144"/>
      <c r="E105" s="144"/>
      <c r="F105" s="144"/>
      <c r="G105" s="145"/>
      <c r="H105" s="144"/>
      <c r="I105" s="144"/>
      <c r="J105" s="146"/>
    </row>
    <row r="106" spans="1:75" x14ac:dyDescent="0.25">
      <c r="A106" s="29"/>
      <c r="C106" s="31" t="s">
        <v>176</v>
      </c>
      <c r="D106" s="31" t="s">
        <v>45</v>
      </c>
      <c r="F106" s="32">
        <v>1.1832</v>
      </c>
      <c r="J106" s="25"/>
    </row>
    <row r="107" spans="1:75" x14ac:dyDescent="0.25">
      <c r="A107" s="29"/>
      <c r="C107" s="31" t="s">
        <v>176</v>
      </c>
      <c r="D107" s="31" t="s">
        <v>45</v>
      </c>
      <c r="F107" s="32">
        <v>1.1832</v>
      </c>
      <c r="J107" s="25"/>
    </row>
    <row r="108" spans="1:75" ht="13.5" customHeight="1" x14ac:dyDescent="0.25">
      <c r="A108" s="2" t="s">
        <v>177</v>
      </c>
      <c r="B108" s="3" t="s">
        <v>178</v>
      </c>
      <c r="C108" s="70" t="s">
        <v>179</v>
      </c>
      <c r="D108" s="71"/>
      <c r="E108" s="3" t="s">
        <v>51</v>
      </c>
      <c r="F108" s="26">
        <v>1.4279999999999999</v>
      </c>
      <c r="G108" s="27">
        <v>0</v>
      </c>
      <c r="H108" s="26">
        <f>F108*G108</f>
        <v>0</v>
      </c>
      <c r="I108" s="28" t="s">
        <v>133</v>
      </c>
      <c r="J108" s="25"/>
      <c r="Z108" s="26">
        <f>IF(AQ108="5",BJ108,0)</f>
        <v>0</v>
      </c>
      <c r="AB108" s="26">
        <f>IF(AQ108="1",BH108,0)</f>
        <v>0</v>
      </c>
      <c r="AC108" s="26">
        <f>IF(AQ108="1",BI108,0)</f>
        <v>0</v>
      </c>
      <c r="AD108" s="26">
        <f>IF(AQ108="7",BH108,0)</f>
        <v>0</v>
      </c>
      <c r="AE108" s="26">
        <f>IF(AQ108="7",BI108,0)</f>
        <v>0</v>
      </c>
      <c r="AF108" s="26">
        <f>IF(AQ108="2",BH108,0)</f>
        <v>0</v>
      </c>
      <c r="AG108" s="26">
        <f>IF(AQ108="2",BI108,0)</f>
        <v>0</v>
      </c>
      <c r="AH108" s="26">
        <f>IF(AQ108="0",BJ108,0)</f>
        <v>0</v>
      </c>
      <c r="AI108" s="11" t="s">
        <v>45</v>
      </c>
      <c r="AJ108" s="26">
        <f>IF(AN108=0,H108,0)</f>
        <v>0</v>
      </c>
      <c r="AK108" s="26">
        <f>IF(AN108=12,H108,0)</f>
        <v>0</v>
      </c>
      <c r="AL108" s="26">
        <f>IF(AN108=21,H108,0)</f>
        <v>0</v>
      </c>
      <c r="AN108" s="26">
        <v>21</v>
      </c>
      <c r="AO108" s="26">
        <f>G108*0</f>
        <v>0</v>
      </c>
      <c r="AP108" s="26">
        <f>G108*(1-0)</f>
        <v>0</v>
      </c>
      <c r="AQ108" s="28" t="s">
        <v>111</v>
      </c>
      <c r="AV108" s="26">
        <f>AW108+AX108</f>
        <v>0</v>
      </c>
      <c r="AW108" s="26">
        <f>F108*AO108</f>
        <v>0</v>
      </c>
      <c r="AX108" s="26">
        <f>F108*AP108</f>
        <v>0</v>
      </c>
      <c r="AY108" s="28" t="s">
        <v>112</v>
      </c>
      <c r="AZ108" s="28" t="s">
        <v>113</v>
      </c>
      <c r="BA108" s="11" t="s">
        <v>55</v>
      </c>
      <c r="BC108" s="26">
        <f>AW108+AX108</f>
        <v>0</v>
      </c>
      <c r="BD108" s="26">
        <f>G108/(100-BE108)*100</f>
        <v>0</v>
      </c>
      <c r="BE108" s="26">
        <v>0</v>
      </c>
      <c r="BF108" s="26">
        <f>108</f>
        <v>108</v>
      </c>
      <c r="BH108" s="26">
        <f>F108*AO108</f>
        <v>0</v>
      </c>
      <c r="BI108" s="26">
        <f>F108*AP108</f>
        <v>0</v>
      </c>
      <c r="BJ108" s="26">
        <f>F108*G108</f>
        <v>0</v>
      </c>
      <c r="BK108" s="26"/>
      <c r="BL108" s="26">
        <v>766</v>
      </c>
      <c r="BW108" s="26">
        <v>21</v>
      </c>
    </row>
    <row r="109" spans="1:75" ht="13.5" customHeight="1" x14ac:dyDescent="0.25">
      <c r="A109" s="29"/>
      <c r="B109" s="30" t="s">
        <v>56</v>
      </c>
      <c r="C109" s="143" t="s">
        <v>128</v>
      </c>
      <c r="D109" s="144"/>
      <c r="E109" s="144"/>
      <c r="F109" s="144"/>
      <c r="G109" s="145"/>
      <c r="H109" s="144"/>
      <c r="I109" s="144"/>
      <c r="J109" s="146"/>
    </row>
    <row r="110" spans="1:75" x14ac:dyDescent="0.25">
      <c r="A110" s="29"/>
      <c r="C110" s="31" t="s">
        <v>180</v>
      </c>
      <c r="D110" s="31" t="s">
        <v>45</v>
      </c>
      <c r="F110" s="32">
        <v>1.4279999999999999</v>
      </c>
      <c r="J110" s="25"/>
    </row>
    <row r="111" spans="1:75" ht="13.5" customHeight="1" x14ac:dyDescent="0.25">
      <c r="A111" s="2" t="s">
        <v>181</v>
      </c>
      <c r="B111" s="3" t="s">
        <v>182</v>
      </c>
      <c r="C111" s="70" t="s">
        <v>183</v>
      </c>
      <c r="D111" s="71"/>
      <c r="E111" s="3" t="s">
        <v>51</v>
      </c>
      <c r="F111" s="26">
        <v>1.3056000000000001</v>
      </c>
      <c r="G111" s="27">
        <v>0</v>
      </c>
      <c r="H111" s="26">
        <f>F111*G111</f>
        <v>0</v>
      </c>
      <c r="I111" s="28" t="s">
        <v>133</v>
      </c>
      <c r="J111" s="25"/>
      <c r="Z111" s="26">
        <f>IF(AQ111="5",BJ111,0)</f>
        <v>0</v>
      </c>
      <c r="AB111" s="26">
        <f>IF(AQ111="1",BH111,0)</f>
        <v>0</v>
      </c>
      <c r="AC111" s="26">
        <f>IF(AQ111="1",BI111,0)</f>
        <v>0</v>
      </c>
      <c r="AD111" s="26">
        <f>IF(AQ111="7",BH111,0)</f>
        <v>0</v>
      </c>
      <c r="AE111" s="26">
        <f>IF(AQ111="7",BI111,0)</f>
        <v>0</v>
      </c>
      <c r="AF111" s="26">
        <f>IF(AQ111="2",BH111,0)</f>
        <v>0</v>
      </c>
      <c r="AG111" s="26">
        <f>IF(AQ111="2",BI111,0)</f>
        <v>0</v>
      </c>
      <c r="AH111" s="26">
        <f>IF(AQ111="0",BJ111,0)</f>
        <v>0</v>
      </c>
      <c r="AI111" s="11" t="s">
        <v>45</v>
      </c>
      <c r="AJ111" s="26">
        <f>IF(AN111=0,H111,0)</f>
        <v>0</v>
      </c>
      <c r="AK111" s="26">
        <f>IF(AN111=12,H111,0)</f>
        <v>0</v>
      </c>
      <c r="AL111" s="26">
        <f>IF(AN111=21,H111,0)</f>
        <v>0</v>
      </c>
      <c r="AN111" s="26">
        <v>21</v>
      </c>
      <c r="AO111" s="26">
        <f>G111*0</f>
        <v>0</v>
      </c>
      <c r="AP111" s="26">
        <f>G111*(1-0)</f>
        <v>0</v>
      </c>
      <c r="AQ111" s="28" t="s">
        <v>111</v>
      </c>
      <c r="AV111" s="26">
        <f>AW111+AX111</f>
        <v>0</v>
      </c>
      <c r="AW111" s="26">
        <f>F111*AO111</f>
        <v>0</v>
      </c>
      <c r="AX111" s="26">
        <f>F111*AP111</f>
        <v>0</v>
      </c>
      <c r="AY111" s="28" t="s">
        <v>112</v>
      </c>
      <c r="AZ111" s="28" t="s">
        <v>113</v>
      </c>
      <c r="BA111" s="11" t="s">
        <v>55</v>
      </c>
      <c r="BC111" s="26">
        <f>AW111+AX111</f>
        <v>0</v>
      </c>
      <c r="BD111" s="26">
        <f>G111/(100-BE111)*100</f>
        <v>0</v>
      </c>
      <c r="BE111" s="26">
        <v>0</v>
      </c>
      <c r="BF111" s="26">
        <f>111</f>
        <v>111</v>
      </c>
      <c r="BH111" s="26">
        <f>F111*AO111</f>
        <v>0</v>
      </c>
      <c r="BI111" s="26">
        <f>F111*AP111</f>
        <v>0</v>
      </c>
      <c r="BJ111" s="26">
        <f>F111*G111</f>
        <v>0</v>
      </c>
      <c r="BK111" s="26"/>
      <c r="BL111" s="26">
        <v>766</v>
      </c>
      <c r="BW111" s="26">
        <v>21</v>
      </c>
    </row>
    <row r="112" spans="1:75" ht="13.5" customHeight="1" x14ac:dyDescent="0.25">
      <c r="A112" s="29"/>
      <c r="B112" s="30" t="s">
        <v>56</v>
      </c>
      <c r="C112" s="143" t="s">
        <v>128</v>
      </c>
      <c r="D112" s="144"/>
      <c r="E112" s="144"/>
      <c r="F112" s="144"/>
      <c r="G112" s="145"/>
      <c r="H112" s="144"/>
      <c r="I112" s="144"/>
      <c r="J112" s="146"/>
    </row>
    <row r="113" spans="1:75" x14ac:dyDescent="0.25">
      <c r="A113" s="29"/>
      <c r="C113" s="31" t="s">
        <v>184</v>
      </c>
      <c r="D113" s="31" t="s">
        <v>45</v>
      </c>
      <c r="F113" s="32">
        <v>1.3056000000000001</v>
      </c>
      <c r="J113" s="25"/>
    </row>
    <row r="114" spans="1:75" ht="13.5" customHeight="1" x14ac:dyDescent="0.25">
      <c r="A114" s="2" t="s">
        <v>185</v>
      </c>
      <c r="B114" s="3" t="s">
        <v>186</v>
      </c>
      <c r="C114" s="70" t="s">
        <v>187</v>
      </c>
      <c r="D114" s="71"/>
      <c r="E114" s="3" t="s">
        <v>51</v>
      </c>
      <c r="F114" s="26">
        <v>3.9167999999999998</v>
      </c>
      <c r="G114" s="27">
        <v>0</v>
      </c>
      <c r="H114" s="26">
        <f>F114*G114</f>
        <v>0</v>
      </c>
      <c r="I114" s="28" t="s">
        <v>133</v>
      </c>
      <c r="J114" s="25"/>
      <c r="Z114" s="26">
        <f>IF(AQ114="5",BJ114,0)</f>
        <v>0</v>
      </c>
      <c r="AB114" s="26">
        <f>IF(AQ114="1",BH114,0)</f>
        <v>0</v>
      </c>
      <c r="AC114" s="26">
        <f>IF(AQ114="1",BI114,0)</f>
        <v>0</v>
      </c>
      <c r="AD114" s="26">
        <f>IF(AQ114="7",BH114,0)</f>
        <v>0</v>
      </c>
      <c r="AE114" s="26">
        <f>IF(AQ114="7",BI114,0)</f>
        <v>0</v>
      </c>
      <c r="AF114" s="26">
        <f>IF(AQ114="2",BH114,0)</f>
        <v>0</v>
      </c>
      <c r="AG114" s="26">
        <f>IF(AQ114="2",BI114,0)</f>
        <v>0</v>
      </c>
      <c r="AH114" s="26">
        <f>IF(AQ114="0",BJ114,0)</f>
        <v>0</v>
      </c>
      <c r="AI114" s="11" t="s">
        <v>45</v>
      </c>
      <c r="AJ114" s="26">
        <f>IF(AN114=0,H114,0)</f>
        <v>0</v>
      </c>
      <c r="AK114" s="26">
        <f>IF(AN114=12,H114,0)</f>
        <v>0</v>
      </c>
      <c r="AL114" s="26">
        <f>IF(AN114=21,H114,0)</f>
        <v>0</v>
      </c>
      <c r="AN114" s="26">
        <v>21</v>
      </c>
      <c r="AO114" s="26">
        <f>G114*0</f>
        <v>0</v>
      </c>
      <c r="AP114" s="26">
        <f>G114*(1-0)</f>
        <v>0</v>
      </c>
      <c r="AQ114" s="28" t="s">
        <v>111</v>
      </c>
      <c r="AV114" s="26">
        <f>AW114+AX114</f>
        <v>0</v>
      </c>
      <c r="AW114" s="26">
        <f>F114*AO114</f>
        <v>0</v>
      </c>
      <c r="AX114" s="26">
        <f>F114*AP114</f>
        <v>0</v>
      </c>
      <c r="AY114" s="28" t="s">
        <v>112</v>
      </c>
      <c r="AZ114" s="28" t="s">
        <v>113</v>
      </c>
      <c r="BA114" s="11" t="s">
        <v>55</v>
      </c>
      <c r="BC114" s="26">
        <f>AW114+AX114</f>
        <v>0</v>
      </c>
      <c r="BD114" s="26">
        <f>G114/(100-BE114)*100</f>
        <v>0</v>
      </c>
      <c r="BE114" s="26">
        <v>0</v>
      </c>
      <c r="BF114" s="26">
        <f>114</f>
        <v>114</v>
      </c>
      <c r="BH114" s="26">
        <f>F114*AO114</f>
        <v>0</v>
      </c>
      <c r="BI114" s="26">
        <f>F114*AP114</f>
        <v>0</v>
      </c>
      <c r="BJ114" s="26">
        <f>F114*G114</f>
        <v>0</v>
      </c>
      <c r="BK114" s="26"/>
      <c r="BL114" s="26">
        <v>766</v>
      </c>
      <c r="BW114" s="26">
        <v>21</v>
      </c>
    </row>
    <row r="115" spans="1:75" ht="13.5" customHeight="1" x14ac:dyDescent="0.25">
      <c r="A115" s="29"/>
      <c r="B115" s="30" t="s">
        <v>56</v>
      </c>
      <c r="C115" s="143" t="s">
        <v>128</v>
      </c>
      <c r="D115" s="144"/>
      <c r="E115" s="144"/>
      <c r="F115" s="144"/>
      <c r="G115" s="145"/>
      <c r="H115" s="144"/>
      <c r="I115" s="144"/>
      <c r="J115" s="146"/>
    </row>
    <row r="116" spans="1:75" x14ac:dyDescent="0.25">
      <c r="A116" s="29"/>
      <c r="C116" s="31" t="s">
        <v>184</v>
      </c>
      <c r="D116" s="31" t="s">
        <v>45</v>
      </c>
      <c r="F116" s="32">
        <v>1.3056000000000001</v>
      </c>
      <c r="J116" s="25"/>
    </row>
    <row r="117" spans="1:75" x14ac:dyDescent="0.25">
      <c r="A117" s="29"/>
      <c r="C117" s="31" t="s">
        <v>184</v>
      </c>
      <c r="D117" s="31" t="s">
        <v>45</v>
      </c>
      <c r="F117" s="32">
        <v>1.3056000000000001</v>
      </c>
      <c r="J117" s="25"/>
    </row>
    <row r="118" spans="1:75" x14ac:dyDescent="0.25">
      <c r="A118" s="29"/>
      <c r="C118" s="31" t="s">
        <v>184</v>
      </c>
      <c r="D118" s="31" t="s">
        <v>45</v>
      </c>
      <c r="F118" s="32">
        <v>1.3056000000000001</v>
      </c>
      <c r="J118" s="25"/>
    </row>
    <row r="119" spans="1:75" ht="13.5" customHeight="1" x14ac:dyDescent="0.25">
      <c r="A119" s="2" t="s">
        <v>188</v>
      </c>
      <c r="B119" s="3" t="s">
        <v>189</v>
      </c>
      <c r="C119" s="70" t="s">
        <v>190</v>
      </c>
      <c r="D119" s="71"/>
      <c r="E119" s="3" t="s">
        <v>51</v>
      </c>
      <c r="F119" s="26">
        <v>7.0175999999999998</v>
      </c>
      <c r="G119" s="27">
        <v>0</v>
      </c>
      <c r="H119" s="26">
        <f>F119*G119</f>
        <v>0</v>
      </c>
      <c r="I119" s="28" t="s">
        <v>133</v>
      </c>
      <c r="J119" s="25"/>
      <c r="Z119" s="26">
        <f>IF(AQ119="5",BJ119,0)</f>
        <v>0</v>
      </c>
      <c r="AB119" s="26">
        <f>IF(AQ119="1",BH119,0)</f>
        <v>0</v>
      </c>
      <c r="AC119" s="26">
        <f>IF(AQ119="1",BI119,0)</f>
        <v>0</v>
      </c>
      <c r="AD119" s="26">
        <f>IF(AQ119="7",BH119,0)</f>
        <v>0</v>
      </c>
      <c r="AE119" s="26">
        <f>IF(AQ119="7",BI119,0)</f>
        <v>0</v>
      </c>
      <c r="AF119" s="26">
        <f>IF(AQ119="2",BH119,0)</f>
        <v>0</v>
      </c>
      <c r="AG119" s="26">
        <f>IF(AQ119="2",BI119,0)</f>
        <v>0</v>
      </c>
      <c r="AH119" s="26">
        <f>IF(AQ119="0",BJ119,0)</f>
        <v>0</v>
      </c>
      <c r="AI119" s="11" t="s">
        <v>45</v>
      </c>
      <c r="AJ119" s="26">
        <f>IF(AN119=0,H119,0)</f>
        <v>0</v>
      </c>
      <c r="AK119" s="26">
        <f>IF(AN119=12,H119,0)</f>
        <v>0</v>
      </c>
      <c r="AL119" s="26">
        <f>IF(AN119=21,H119,0)</f>
        <v>0</v>
      </c>
      <c r="AN119" s="26">
        <v>21</v>
      </c>
      <c r="AO119" s="26">
        <f>G119*0</f>
        <v>0</v>
      </c>
      <c r="AP119" s="26">
        <f>G119*(1-0)</f>
        <v>0</v>
      </c>
      <c r="AQ119" s="28" t="s">
        <v>111</v>
      </c>
      <c r="AV119" s="26">
        <f>AW119+AX119</f>
        <v>0</v>
      </c>
      <c r="AW119" s="26">
        <f>F119*AO119</f>
        <v>0</v>
      </c>
      <c r="AX119" s="26">
        <f>F119*AP119</f>
        <v>0</v>
      </c>
      <c r="AY119" s="28" t="s">
        <v>112</v>
      </c>
      <c r="AZ119" s="28" t="s">
        <v>113</v>
      </c>
      <c r="BA119" s="11" t="s">
        <v>55</v>
      </c>
      <c r="BC119" s="26">
        <f>AW119+AX119</f>
        <v>0</v>
      </c>
      <c r="BD119" s="26">
        <f>G119/(100-BE119)*100</f>
        <v>0</v>
      </c>
      <c r="BE119" s="26">
        <v>0</v>
      </c>
      <c r="BF119" s="26">
        <f>119</f>
        <v>119</v>
      </c>
      <c r="BH119" s="26">
        <f>F119*AO119</f>
        <v>0</v>
      </c>
      <c r="BI119" s="26">
        <f>F119*AP119</f>
        <v>0</v>
      </c>
      <c r="BJ119" s="26">
        <f>F119*G119</f>
        <v>0</v>
      </c>
      <c r="BK119" s="26"/>
      <c r="BL119" s="26">
        <v>766</v>
      </c>
      <c r="BW119" s="26">
        <v>21</v>
      </c>
    </row>
    <row r="120" spans="1:75" ht="13.5" customHeight="1" x14ac:dyDescent="0.25">
      <c r="A120" s="29"/>
      <c r="B120" s="30" t="s">
        <v>56</v>
      </c>
      <c r="C120" s="143" t="s">
        <v>128</v>
      </c>
      <c r="D120" s="144"/>
      <c r="E120" s="144"/>
      <c r="F120" s="144"/>
      <c r="G120" s="145"/>
      <c r="H120" s="144"/>
      <c r="I120" s="144"/>
      <c r="J120" s="146"/>
    </row>
    <row r="121" spans="1:75" x14ac:dyDescent="0.25">
      <c r="A121" s="29"/>
      <c r="C121" s="31" t="s">
        <v>191</v>
      </c>
      <c r="D121" s="31" t="s">
        <v>45</v>
      </c>
      <c r="F121" s="32">
        <v>3.5087999999999999</v>
      </c>
      <c r="J121" s="25"/>
    </row>
    <row r="122" spans="1:75" x14ac:dyDescent="0.25">
      <c r="A122" s="29"/>
      <c r="C122" s="31" t="s">
        <v>191</v>
      </c>
      <c r="D122" s="31" t="s">
        <v>45</v>
      </c>
      <c r="F122" s="32">
        <v>3.5087999999999999</v>
      </c>
      <c r="J122" s="25"/>
    </row>
    <row r="123" spans="1:75" ht="13.5" customHeight="1" x14ac:dyDescent="0.25">
      <c r="A123" s="2" t="s">
        <v>192</v>
      </c>
      <c r="B123" s="3" t="s">
        <v>193</v>
      </c>
      <c r="C123" s="70" t="s">
        <v>194</v>
      </c>
      <c r="D123" s="71"/>
      <c r="E123" s="3" t="s">
        <v>51</v>
      </c>
      <c r="F123" s="26">
        <v>19.4208</v>
      </c>
      <c r="G123" s="27">
        <v>0</v>
      </c>
      <c r="H123" s="26">
        <f>F123*G123</f>
        <v>0</v>
      </c>
      <c r="I123" s="28" t="s">
        <v>133</v>
      </c>
      <c r="J123" s="25"/>
      <c r="Z123" s="26">
        <f>IF(AQ123="5",BJ123,0)</f>
        <v>0</v>
      </c>
      <c r="AB123" s="26">
        <f>IF(AQ123="1",BH123,0)</f>
        <v>0</v>
      </c>
      <c r="AC123" s="26">
        <f>IF(AQ123="1",BI123,0)</f>
        <v>0</v>
      </c>
      <c r="AD123" s="26">
        <f>IF(AQ123="7",BH123,0)</f>
        <v>0</v>
      </c>
      <c r="AE123" s="26">
        <f>IF(AQ123="7",BI123,0)</f>
        <v>0</v>
      </c>
      <c r="AF123" s="26">
        <f>IF(AQ123="2",BH123,0)</f>
        <v>0</v>
      </c>
      <c r="AG123" s="26">
        <f>IF(AQ123="2",BI123,0)</f>
        <v>0</v>
      </c>
      <c r="AH123" s="26">
        <f>IF(AQ123="0",BJ123,0)</f>
        <v>0</v>
      </c>
      <c r="AI123" s="11" t="s">
        <v>45</v>
      </c>
      <c r="AJ123" s="26">
        <f>IF(AN123=0,H123,0)</f>
        <v>0</v>
      </c>
      <c r="AK123" s="26">
        <f>IF(AN123=12,H123,0)</f>
        <v>0</v>
      </c>
      <c r="AL123" s="26">
        <f>IF(AN123=21,H123,0)</f>
        <v>0</v>
      </c>
      <c r="AN123" s="26">
        <v>21</v>
      </c>
      <c r="AO123" s="26">
        <f>G123*0</f>
        <v>0</v>
      </c>
      <c r="AP123" s="26">
        <f>G123*(1-0)</f>
        <v>0</v>
      </c>
      <c r="AQ123" s="28" t="s">
        <v>111</v>
      </c>
      <c r="AV123" s="26">
        <f>AW123+AX123</f>
        <v>0</v>
      </c>
      <c r="AW123" s="26">
        <f>F123*AO123</f>
        <v>0</v>
      </c>
      <c r="AX123" s="26">
        <f>F123*AP123</f>
        <v>0</v>
      </c>
      <c r="AY123" s="28" t="s">
        <v>112</v>
      </c>
      <c r="AZ123" s="28" t="s">
        <v>113</v>
      </c>
      <c r="BA123" s="11" t="s">
        <v>55</v>
      </c>
      <c r="BC123" s="26">
        <f>AW123+AX123</f>
        <v>0</v>
      </c>
      <c r="BD123" s="26">
        <f>G123/(100-BE123)*100</f>
        <v>0</v>
      </c>
      <c r="BE123" s="26">
        <v>0</v>
      </c>
      <c r="BF123" s="26">
        <f>123</f>
        <v>123</v>
      </c>
      <c r="BH123" s="26">
        <f>F123*AO123</f>
        <v>0</v>
      </c>
      <c r="BI123" s="26">
        <f>F123*AP123</f>
        <v>0</v>
      </c>
      <c r="BJ123" s="26">
        <f>F123*G123</f>
        <v>0</v>
      </c>
      <c r="BK123" s="26"/>
      <c r="BL123" s="26">
        <v>766</v>
      </c>
      <c r="BW123" s="26">
        <v>21</v>
      </c>
    </row>
    <row r="124" spans="1:75" ht="13.5" customHeight="1" x14ac:dyDescent="0.25">
      <c r="A124" s="29"/>
      <c r="B124" s="30" t="s">
        <v>56</v>
      </c>
      <c r="C124" s="143" t="s">
        <v>128</v>
      </c>
      <c r="D124" s="144"/>
      <c r="E124" s="144"/>
      <c r="F124" s="144"/>
      <c r="G124" s="145"/>
      <c r="H124" s="144"/>
      <c r="I124" s="144"/>
      <c r="J124" s="146"/>
    </row>
    <row r="125" spans="1:75" x14ac:dyDescent="0.25">
      <c r="A125" s="29"/>
      <c r="C125" s="31" t="s">
        <v>195</v>
      </c>
      <c r="D125" s="31" t="s">
        <v>45</v>
      </c>
      <c r="F125" s="32">
        <v>19.4208</v>
      </c>
      <c r="J125" s="25"/>
    </row>
    <row r="126" spans="1:75" ht="13.5" customHeight="1" x14ac:dyDescent="0.25">
      <c r="A126" s="2" t="s">
        <v>196</v>
      </c>
      <c r="B126" s="3" t="s">
        <v>197</v>
      </c>
      <c r="C126" s="70" t="s">
        <v>198</v>
      </c>
      <c r="D126" s="71"/>
      <c r="E126" s="3" t="s">
        <v>51</v>
      </c>
      <c r="F126" s="26">
        <v>3.3639999999999999</v>
      </c>
      <c r="G126" s="27">
        <v>0</v>
      </c>
      <c r="H126" s="26">
        <f>F126*G126</f>
        <v>0</v>
      </c>
      <c r="I126" s="28" t="s">
        <v>133</v>
      </c>
      <c r="J126" s="25"/>
      <c r="Z126" s="26">
        <f>IF(AQ126="5",BJ126,0)</f>
        <v>0</v>
      </c>
      <c r="AB126" s="26">
        <f>IF(AQ126="1",BH126,0)</f>
        <v>0</v>
      </c>
      <c r="AC126" s="26">
        <f>IF(AQ126="1",BI126,0)</f>
        <v>0</v>
      </c>
      <c r="AD126" s="26">
        <f>IF(AQ126="7",BH126,0)</f>
        <v>0</v>
      </c>
      <c r="AE126" s="26">
        <f>IF(AQ126="7",BI126,0)</f>
        <v>0</v>
      </c>
      <c r="AF126" s="26">
        <f>IF(AQ126="2",BH126,0)</f>
        <v>0</v>
      </c>
      <c r="AG126" s="26">
        <f>IF(AQ126="2",BI126,0)</f>
        <v>0</v>
      </c>
      <c r="AH126" s="26">
        <f>IF(AQ126="0",BJ126,0)</f>
        <v>0</v>
      </c>
      <c r="AI126" s="11" t="s">
        <v>45</v>
      </c>
      <c r="AJ126" s="26">
        <f>IF(AN126=0,H126,0)</f>
        <v>0</v>
      </c>
      <c r="AK126" s="26">
        <f>IF(AN126=12,H126,0)</f>
        <v>0</v>
      </c>
      <c r="AL126" s="26">
        <f>IF(AN126=21,H126,0)</f>
        <v>0</v>
      </c>
      <c r="AN126" s="26">
        <v>21</v>
      </c>
      <c r="AO126" s="26">
        <f>G126*0</f>
        <v>0</v>
      </c>
      <c r="AP126" s="26">
        <f>G126*(1-0)</f>
        <v>0</v>
      </c>
      <c r="AQ126" s="28" t="s">
        <v>111</v>
      </c>
      <c r="AV126" s="26">
        <f>AW126+AX126</f>
        <v>0</v>
      </c>
      <c r="AW126" s="26">
        <f>F126*AO126</f>
        <v>0</v>
      </c>
      <c r="AX126" s="26">
        <f>F126*AP126</f>
        <v>0</v>
      </c>
      <c r="AY126" s="28" t="s">
        <v>112</v>
      </c>
      <c r="AZ126" s="28" t="s">
        <v>113</v>
      </c>
      <c r="BA126" s="11" t="s">
        <v>55</v>
      </c>
      <c r="BC126" s="26">
        <f>AW126+AX126</f>
        <v>0</v>
      </c>
      <c r="BD126" s="26">
        <f>G126/(100-BE126)*100</f>
        <v>0</v>
      </c>
      <c r="BE126" s="26">
        <v>0</v>
      </c>
      <c r="BF126" s="26">
        <f>126</f>
        <v>126</v>
      </c>
      <c r="BH126" s="26">
        <f>F126*AO126</f>
        <v>0</v>
      </c>
      <c r="BI126" s="26">
        <f>F126*AP126</f>
        <v>0</v>
      </c>
      <c r="BJ126" s="26">
        <f>F126*G126</f>
        <v>0</v>
      </c>
      <c r="BK126" s="26"/>
      <c r="BL126" s="26">
        <v>766</v>
      </c>
      <c r="BW126" s="26">
        <v>21</v>
      </c>
    </row>
    <row r="127" spans="1:75" ht="13.5" customHeight="1" x14ac:dyDescent="0.25">
      <c r="A127" s="29"/>
      <c r="B127" s="30" t="s">
        <v>56</v>
      </c>
      <c r="C127" s="143" t="s">
        <v>128</v>
      </c>
      <c r="D127" s="144"/>
      <c r="E127" s="144"/>
      <c r="F127" s="144"/>
      <c r="G127" s="145"/>
      <c r="H127" s="144"/>
      <c r="I127" s="144"/>
      <c r="J127" s="146"/>
    </row>
    <row r="128" spans="1:75" x14ac:dyDescent="0.25">
      <c r="A128" s="29"/>
      <c r="C128" s="31" t="s">
        <v>199</v>
      </c>
      <c r="D128" s="31" t="s">
        <v>45</v>
      </c>
      <c r="F128" s="32">
        <v>3.3639999999999999</v>
      </c>
      <c r="J128" s="25"/>
    </row>
    <row r="129" spans="1:75" ht="13.5" customHeight="1" x14ac:dyDescent="0.25">
      <c r="A129" s="2" t="s">
        <v>200</v>
      </c>
      <c r="B129" s="3" t="s">
        <v>201</v>
      </c>
      <c r="C129" s="70" t="s">
        <v>202</v>
      </c>
      <c r="D129" s="71"/>
      <c r="E129" s="3" t="s">
        <v>51</v>
      </c>
      <c r="F129" s="26">
        <v>1.1774</v>
      </c>
      <c r="G129" s="27">
        <v>0</v>
      </c>
      <c r="H129" s="26">
        <f>F129*G129</f>
        <v>0</v>
      </c>
      <c r="I129" s="28" t="s">
        <v>133</v>
      </c>
      <c r="J129" s="25"/>
      <c r="Z129" s="26">
        <f>IF(AQ129="5",BJ129,0)</f>
        <v>0</v>
      </c>
      <c r="AB129" s="26">
        <f>IF(AQ129="1",BH129,0)</f>
        <v>0</v>
      </c>
      <c r="AC129" s="26">
        <f>IF(AQ129="1",BI129,0)</f>
        <v>0</v>
      </c>
      <c r="AD129" s="26">
        <f>IF(AQ129="7",BH129,0)</f>
        <v>0</v>
      </c>
      <c r="AE129" s="26">
        <f>IF(AQ129="7",BI129,0)</f>
        <v>0</v>
      </c>
      <c r="AF129" s="26">
        <f>IF(AQ129="2",BH129,0)</f>
        <v>0</v>
      </c>
      <c r="AG129" s="26">
        <f>IF(AQ129="2",BI129,0)</f>
        <v>0</v>
      </c>
      <c r="AH129" s="26">
        <f>IF(AQ129="0",BJ129,0)</f>
        <v>0</v>
      </c>
      <c r="AI129" s="11" t="s">
        <v>45</v>
      </c>
      <c r="AJ129" s="26">
        <f>IF(AN129=0,H129,0)</f>
        <v>0</v>
      </c>
      <c r="AK129" s="26">
        <f>IF(AN129=12,H129,0)</f>
        <v>0</v>
      </c>
      <c r="AL129" s="26">
        <f>IF(AN129=21,H129,0)</f>
        <v>0</v>
      </c>
      <c r="AN129" s="26">
        <v>21</v>
      </c>
      <c r="AO129" s="26">
        <f>G129*0</f>
        <v>0</v>
      </c>
      <c r="AP129" s="26">
        <f>G129*(1-0)</f>
        <v>0</v>
      </c>
      <c r="AQ129" s="28" t="s">
        <v>111</v>
      </c>
      <c r="AV129" s="26">
        <f>AW129+AX129</f>
        <v>0</v>
      </c>
      <c r="AW129" s="26">
        <f>F129*AO129</f>
        <v>0</v>
      </c>
      <c r="AX129" s="26">
        <f>F129*AP129</f>
        <v>0</v>
      </c>
      <c r="AY129" s="28" t="s">
        <v>112</v>
      </c>
      <c r="AZ129" s="28" t="s">
        <v>113</v>
      </c>
      <c r="BA129" s="11" t="s">
        <v>55</v>
      </c>
      <c r="BC129" s="26">
        <f>AW129+AX129</f>
        <v>0</v>
      </c>
      <c r="BD129" s="26">
        <f>G129/(100-BE129)*100</f>
        <v>0</v>
      </c>
      <c r="BE129" s="26">
        <v>0</v>
      </c>
      <c r="BF129" s="26">
        <f>129</f>
        <v>129</v>
      </c>
      <c r="BH129" s="26">
        <f>F129*AO129</f>
        <v>0</v>
      </c>
      <c r="BI129" s="26">
        <f>F129*AP129</f>
        <v>0</v>
      </c>
      <c r="BJ129" s="26">
        <f>F129*G129</f>
        <v>0</v>
      </c>
      <c r="BK129" s="26"/>
      <c r="BL129" s="26">
        <v>766</v>
      </c>
      <c r="BW129" s="26">
        <v>21</v>
      </c>
    </row>
    <row r="130" spans="1:75" ht="13.5" customHeight="1" x14ac:dyDescent="0.25">
      <c r="A130" s="29"/>
      <c r="B130" s="30" t="s">
        <v>56</v>
      </c>
      <c r="C130" s="143" t="s">
        <v>128</v>
      </c>
      <c r="D130" s="144"/>
      <c r="E130" s="144"/>
      <c r="F130" s="144"/>
      <c r="G130" s="145"/>
      <c r="H130" s="144"/>
      <c r="I130" s="144"/>
      <c r="J130" s="146"/>
    </row>
    <row r="131" spans="1:75" x14ac:dyDescent="0.25">
      <c r="A131" s="29"/>
      <c r="C131" s="31" t="s">
        <v>203</v>
      </c>
      <c r="D131" s="31" t="s">
        <v>45</v>
      </c>
      <c r="F131" s="32">
        <v>1.1774</v>
      </c>
      <c r="J131" s="25"/>
    </row>
    <row r="132" spans="1:75" ht="13.5" customHeight="1" x14ac:dyDescent="0.25">
      <c r="A132" s="2" t="s">
        <v>204</v>
      </c>
      <c r="B132" s="3" t="s">
        <v>205</v>
      </c>
      <c r="C132" s="70" t="s">
        <v>206</v>
      </c>
      <c r="D132" s="71"/>
      <c r="E132" s="3" t="s">
        <v>51</v>
      </c>
      <c r="F132" s="26">
        <v>1.1774</v>
      </c>
      <c r="G132" s="27">
        <v>0</v>
      </c>
      <c r="H132" s="26">
        <f>F132*G132</f>
        <v>0</v>
      </c>
      <c r="I132" s="28" t="s">
        <v>133</v>
      </c>
      <c r="J132" s="25"/>
      <c r="Z132" s="26">
        <f>IF(AQ132="5",BJ132,0)</f>
        <v>0</v>
      </c>
      <c r="AB132" s="26">
        <f>IF(AQ132="1",BH132,0)</f>
        <v>0</v>
      </c>
      <c r="AC132" s="26">
        <f>IF(AQ132="1",BI132,0)</f>
        <v>0</v>
      </c>
      <c r="AD132" s="26">
        <f>IF(AQ132="7",BH132,0)</f>
        <v>0</v>
      </c>
      <c r="AE132" s="26">
        <f>IF(AQ132="7",BI132,0)</f>
        <v>0</v>
      </c>
      <c r="AF132" s="26">
        <f>IF(AQ132="2",BH132,0)</f>
        <v>0</v>
      </c>
      <c r="AG132" s="26">
        <f>IF(AQ132="2",BI132,0)</f>
        <v>0</v>
      </c>
      <c r="AH132" s="26">
        <f>IF(AQ132="0",BJ132,0)</f>
        <v>0</v>
      </c>
      <c r="AI132" s="11" t="s">
        <v>45</v>
      </c>
      <c r="AJ132" s="26">
        <f>IF(AN132=0,H132,0)</f>
        <v>0</v>
      </c>
      <c r="AK132" s="26">
        <f>IF(AN132=12,H132,0)</f>
        <v>0</v>
      </c>
      <c r="AL132" s="26">
        <f>IF(AN132=21,H132,0)</f>
        <v>0</v>
      </c>
      <c r="AN132" s="26">
        <v>21</v>
      </c>
      <c r="AO132" s="26">
        <f>G132*0</f>
        <v>0</v>
      </c>
      <c r="AP132" s="26">
        <f>G132*(1-0)</f>
        <v>0</v>
      </c>
      <c r="AQ132" s="28" t="s">
        <v>111</v>
      </c>
      <c r="AV132" s="26">
        <f>AW132+AX132</f>
        <v>0</v>
      </c>
      <c r="AW132" s="26">
        <f>F132*AO132</f>
        <v>0</v>
      </c>
      <c r="AX132" s="26">
        <f>F132*AP132</f>
        <v>0</v>
      </c>
      <c r="AY132" s="28" t="s">
        <v>112</v>
      </c>
      <c r="AZ132" s="28" t="s">
        <v>113</v>
      </c>
      <c r="BA132" s="11" t="s">
        <v>55</v>
      </c>
      <c r="BC132" s="26">
        <f>AW132+AX132</f>
        <v>0</v>
      </c>
      <c r="BD132" s="26">
        <f>G132/(100-BE132)*100</f>
        <v>0</v>
      </c>
      <c r="BE132" s="26">
        <v>0</v>
      </c>
      <c r="BF132" s="26">
        <f>132</f>
        <v>132</v>
      </c>
      <c r="BH132" s="26">
        <f>F132*AO132</f>
        <v>0</v>
      </c>
      <c r="BI132" s="26">
        <f>F132*AP132</f>
        <v>0</v>
      </c>
      <c r="BJ132" s="26">
        <f>F132*G132</f>
        <v>0</v>
      </c>
      <c r="BK132" s="26"/>
      <c r="BL132" s="26">
        <v>766</v>
      </c>
      <c r="BW132" s="26">
        <v>21</v>
      </c>
    </row>
    <row r="133" spans="1:75" ht="13.5" customHeight="1" x14ac:dyDescent="0.25">
      <c r="A133" s="29"/>
      <c r="B133" s="30" t="s">
        <v>56</v>
      </c>
      <c r="C133" s="143" t="s">
        <v>128</v>
      </c>
      <c r="D133" s="144"/>
      <c r="E133" s="144"/>
      <c r="F133" s="144"/>
      <c r="G133" s="145"/>
      <c r="H133" s="144"/>
      <c r="I133" s="144"/>
      <c r="J133" s="146"/>
    </row>
    <row r="134" spans="1:75" x14ac:dyDescent="0.25">
      <c r="A134" s="29"/>
      <c r="C134" s="31" t="s">
        <v>203</v>
      </c>
      <c r="D134" s="31" t="s">
        <v>45</v>
      </c>
      <c r="F134" s="32">
        <v>1.1774</v>
      </c>
      <c r="J134" s="25"/>
    </row>
    <row r="135" spans="1:75" ht="13.5" customHeight="1" x14ac:dyDescent="0.25">
      <c r="A135" s="2" t="s">
        <v>207</v>
      </c>
      <c r="B135" s="3" t="s">
        <v>208</v>
      </c>
      <c r="C135" s="70" t="s">
        <v>209</v>
      </c>
      <c r="D135" s="71"/>
      <c r="E135" s="3" t="s">
        <v>51</v>
      </c>
      <c r="F135" s="26">
        <v>1.421</v>
      </c>
      <c r="G135" s="27">
        <v>0</v>
      </c>
      <c r="H135" s="26">
        <f>F135*G135</f>
        <v>0</v>
      </c>
      <c r="I135" s="28" t="s">
        <v>133</v>
      </c>
      <c r="J135" s="25"/>
      <c r="Z135" s="26">
        <f>IF(AQ135="5",BJ135,0)</f>
        <v>0</v>
      </c>
      <c r="AB135" s="26">
        <f>IF(AQ135="1",BH135,0)</f>
        <v>0</v>
      </c>
      <c r="AC135" s="26">
        <f>IF(AQ135="1",BI135,0)</f>
        <v>0</v>
      </c>
      <c r="AD135" s="26">
        <f>IF(AQ135="7",BH135,0)</f>
        <v>0</v>
      </c>
      <c r="AE135" s="26">
        <f>IF(AQ135="7",BI135,0)</f>
        <v>0</v>
      </c>
      <c r="AF135" s="26">
        <f>IF(AQ135="2",BH135,0)</f>
        <v>0</v>
      </c>
      <c r="AG135" s="26">
        <f>IF(AQ135="2",BI135,0)</f>
        <v>0</v>
      </c>
      <c r="AH135" s="26">
        <f>IF(AQ135="0",BJ135,0)</f>
        <v>0</v>
      </c>
      <c r="AI135" s="11" t="s">
        <v>45</v>
      </c>
      <c r="AJ135" s="26">
        <f>IF(AN135=0,H135,0)</f>
        <v>0</v>
      </c>
      <c r="AK135" s="26">
        <f>IF(AN135=12,H135,0)</f>
        <v>0</v>
      </c>
      <c r="AL135" s="26">
        <f>IF(AN135=21,H135,0)</f>
        <v>0</v>
      </c>
      <c r="AN135" s="26">
        <v>21</v>
      </c>
      <c r="AO135" s="26">
        <f>G135*0</f>
        <v>0</v>
      </c>
      <c r="AP135" s="26">
        <f>G135*(1-0)</f>
        <v>0</v>
      </c>
      <c r="AQ135" s="28" t="s">
        <v>111</v>
      </c>
      <c r="AV135" s="26">
        <f>AW135+AX135</f>
        <v>0</v>
      </c>
      <c r="AW135" s="26">
        <f>F135*AO135</f>
        <v>0</v>
      </c>
      <c r="AX135" s="26">
        <f>F135*AP135</f>
        <v>0</v>
      </c>
      <c r="AY135" s="28" t="s">
        <v>112</v>
      </c>
      <c r="AZ135" s="28" t="s">
        <v>113</v>
      </c>
      <c r="BA135" s="11" t="s">
        <v>55</v>
      </c>
      <c r="BC135" s="26">
        <f>AW135+AX135</f>
        <v>0</v>
      </c>
      <c r="BD135" s="26">
        <f>G135/(100-BE135)*100</f>
        <v>0</v>
      </c>
      <c r="BE135" s="26">
        <v>0</v>
      </c>
      <c r="BF135" s="26">
        <f>135</f>
        <v>135</v>
      </c>
      <c r="BH135" s="26">
        <f>F135*AO135</f>
        <v>0</v>
      </c>
      <c r="BI135" s="26">
        <f>F135*AP135</f>
        <v>0</v>
      </c>
      <c r="BJ135" s="26">
        <f>F135*G135</f>
        <v>0</v>
      </c>
      <c r="BK135" s="26"/>
      <c r="BL135" s="26">
        <v>766</v>
      </c>
      <c r="BW135" s="26">
        <v>21</v>
      </c>
    </row>
    <row r="136" spans="1:75" ht="13.5" customHeight="1" x14ac:dyDescent="0.25">
      <c r="A136" s="29"/>
      <c r="B136" s="30" t="s">
        <v>56</v>
      </c>
      <c r="C136" s="143" t="s">
        <v>128</v>
      </c>
      <c r="D136" s="144"/>
      <c r="E136" s="144"/>
      <c r="F136" s="144"/>
      <c r="G136" s="145"/>
      <c r="H136" s="144"/>
      <c r="I136" s="144"/>
      <c r="J136" s="146"/>
    </row>
    <row r="137" spans="1:75" x14ac:dyDescent="0.25">
      <c r="A137" s="29"/>
      <c r="C137" s="31" t="s">
        <v>210</v>
      </c>
      <c r="D137" s="31" t="s">
        <v>45</v>
      </c>
      <c r="F137" s="32">
        <v>1.421</v>
      </c>
      <c r="J137" s="25"/>
    </row>
    <row r="138" spans="1:75" ht="13.5" customHeight="1" x14ac:dyDescent="0.25">
      <c r="A138" s="2" t="s">
        <v>211</v>
      </c>
      <c r="B138" s="3" t="s">
        <v>212</v>
      </c>
      <c r="C138" s="70" t="s">
        <v>213</v>
      </c>
      <c r="D138" s="71"/>
      <c r="E138" s="3" t="s">
        <v>51</v>
      </c>
      <c r="F138" s="26">
        <v>21.923999999999999</v>
      </c>
      <c r="G138" s="27">
        <v>0</v>
      </c>
      <c r="H138" s="26">
        <f>F138*G138</f>
        <v>0</v>
      </c>
      <c r="I138" s="28" t="s">
        <v>133</v>
      </c>
      <c r="J138" s="25"/>
      <c r="Z138" s="26">
        <f>IF(AQ138="5",BJ138,0)</f>
        <v>0</v>
      </c>
      <c r="AB138" s="26">
        <f>IF(AQ138="1",BH138,0)</f>
        <v>0</v>
      </c>
      <c r="AC138" s="26">
        <f>IF(AQ138="1",BI138,0)</f>
        <v>0</v>
      </c>
      <c r="AD138" s="26">
        <f>IF(AQ138="7",BH138,0)</f>
        <v>0</v>
      </c>
      <c r="AE138" s="26">
        <f>IF(AQ138="7",BI138,0)</f>
        <v>0</v>
      </c>
      <c r="AF138" s="26">
        <f>IF(AQ138="2",BH138,0)</f>
        <v>0</v>
      </c>
      <c r="AG138" s="26">
        <f>IF(AQ138="2",BI138,0)</f>
        <v>0</v>
      </c>
      <c r="AH138" s="26">
        <f>IF(AQ138="0",BJ138,0)</f>
        <v>0</v>
      </c>
      <c r="AI138" s="11" t="s">
        <v>45</v>
      </c>
      <c r="AJ138" s="26">
        <f>IF(AN138=0,H138,0)</f>
        <v>0</v>
      </c>
      <c r="AK138" s="26">
        <f>IF(AN138=12,H138,0)</f>
        <v>0</v>
      </c>
      <c r="AL138" s="26">
        <f>IF(AN138=21,H138,0)</f>
        <v>0</v>
      </c>
      <c r="AN138" s="26">
        <v>21</v>
      </c>
      <c r="AO138" s="26">
        <f>G138*0</f>
        <v>0</v>
      </c>
      <c r="AP138" s="26">
        <f>G138*(1-0)</f>
        <v>0</v>
      </c>
      <c r="AQ138" s="28" t="s">
        <v>111</v>
      </c>
      <c r="AV138" s="26">
        <f>AW138+AX138</f>
        <v>0</v>
      </c>
      <c r="AW138" s="26">
        <f>F138*AO138</f>
        <v>0</v>
      </c>
      <c r="AX138" s="26">
        <f>F138*AP138</f>
        <v>0</v>
      </c>
      <c r="AY138" s="28" t="s">
        <v>112</v>
      </c>
      <c r="AZ138" s="28" t="s">
        <v>113</v>
      </c>
      <c r="BA138" s="11" t="s">
        <v>55</v>
      </c>
      <c r="BC138" s="26">
        <f>AW138+AX138</f>
        <v>0</v>
      </c>
      <c r="BD138" s="26">
        <f>G138/(100-BE138)*100</f>
        <v>0</v>
      </c>
      <c r="BE138" s="26">
        <v>0</v>
      </c>
      <c r="BF138" s="26">
        <f>138</f>
        <v>138</v>
      </c>
      <c r="BH138" s="26">
        <f>F138*AO138</f>
        <v>0</v>
      </c>
      <c r="BI138" s="26">
        <f>F138*AP138</f>
        <v>0</v>
      </c>
      <c r="BJ138" s="26">
        <f>F138*G138</f>
        <v>0</v>
      </c>
      <c r="BK138" s="26"/>
      <c r="BL138" s="26">
        <v>766</v>
      </c>
      <c r="BW138" s="26">
        <v>21</v>
      </c>
    </row>
    <row r="139" spans="1:75" ht="13.5" customHeight="1" x14ac:dyDescent="0.25">
      <c r="A139" s="29"/>
      <c r="B139" s="30" t="s">
        <v>56</v>
      </c>
      <c r="C139" s="143" t="s">
        <v>128</v>
      </c>
      <c r="D139" s="144"/>
      <c r="E139" s="144"/>
      <c r="F139" s="144"/>
      <c r="G139" s="145"/>
      <c r="H139" s="144"/>
      <c r="I139" s="144"/>
      <c r="J139" s="146"/>
    </row>
    <row r="140" spans="1:75" x14ac:dyDescent="0.25">
      <c r="A140" s="29"/>
      <c r="C140" s="31" t="s">
        <v>214</v>
      </c>
      <c r="D140" s="31" t="s">
        <v>45</v>
      </c>
      <c r="F140" s="32">
        <v>21.923999999999999</v>
      </c>
      <c r="J140" s="25"/>
    </row>
    <row r="141" spans="1:75" ht="13.5" customHeight="1" x14ac:dyDescent="0.25">
      <c r="A141" s="2" t="s">
        <v>215</v>
      </c>
      <c r="B141" s="3" t="s">
        <v>216</v>
      </c>
      <c r="C141" s="70" t="s">
        <v>217</v>
      </c>
      <c r="D141" s="71"/>
      <c r="E141" s="3" t="s">
        <v>51</v>
      </c>
      <c r="F141" s="26">
        <v>8.9600000000000009</v>
      </c>
      <c r="G141" s="27">
        <v>0</v>
      </c>
      <c r="H141" s="26">
        <f>F141*G141</f>
        <v>0</v>
      </c>
      <c r="I141" s="28" t="s">
        <v>133</v>
      </c>
      <c r="J141" s="25"/>
      <c r="Z141" s="26">
        <f>IF(AQ141="5",BJ141,0)</f>
        <v>0</v>
      </c>
      <c r="AB141" s="26">
        <f>IF(AQ141="1",BH141,0)</f>
        <v>0</v>
      </c>
      <c r="AC141" s="26">
        <f>IF(AQ141="1",BI141,0)</f>
        <v>0</v>
      </c>
      <c r="AD141" s="26">
        <f>IF(AQ141="7",BH141,0)</f>
        <v>0</v>
      </c>
      <c r="AE141" s="26">
        <f>IF(AQ141="7",BI141,0)</f>
        <v>0</v>
      </c>
      <c r="AF141" s="26">
        <f>IF(AQ141="2",BH141,0)</f>
        <v>0</v>
      </c>
      <c r="AG141" s="26">
        <f>IF(AQ141="2",BI141,0)</f>
        <v>0</v>
      </c>
      <c r="AH141" s="26">
        <f>IF(AQ141="0",BJ141,0)</f>
        <v>0</v>
      </c>
      <c r="AI141" s="11" t="s">
        <v>45</v>
      </c>
      <c r="AJ141" s="26">
        <f>IF(AN141=0,H141,0)</f>
        <v>0</v>
      </c>
      <c r="AK141" s="26">
        <f>IF(AN141=12,H141,0)</f>
        <v>0</v>
      </c>
      <c r="AL141" s="26">
        <f>IF(AN141=21,H141,0)</f>
        <v>0</v>
      </c>
      <c r="AN141" s="26">
        <v>21</v>
      </c>
      <c r="AO141" s="26">
        <f>G141*0</f>
        <v>0</v>
      </c>
      <c r="AP141" s="26">
        <f>G141*(1-0)</f>
        <v>0</v>
      </c>
      <c r="AQ141" s="28" t="s">
        <v>111</v>
      </c>
      <c r="AV141" s="26">
        <f>AW141+AX141</f>
        <v>0</v>
      </c>
      <c r="AW141" s="26">
        <f>F141*AO141</f>
        <v>0</v>
      </c>
      <c r="AX141" s="26">
        <f>F141*AP141</f>
        <v>0</v>
      </c>
      <c r="AY141" s="28" t="s">
        <v>112</v>
      </c>
      <c r="AZ141" s="28" t="s">
        <v>113</v>
      </c>
      <c r="BA141" s="11" t="s">
        <v>55</v>
      </c>
      <c r="BC141" s="26">
        <f>AW141+AX141</f>
        <v>0</v>
      </c>
      <c r="BD141" s="26">
        <f>G141/(100-BE141)*100</f>
        <v>0</v>
      </c>
      <c r="BE141" s="26">
        <v>0</v>
      </c>
      <c r="BF141" s="26">
        <f>141</f>
        <v>141</v>
      </c>
      <c r="BH141" s="26">
        <f>F141*AO141</f>
        <v>0</v>
      </c>
      <c r="BI141" s="26">
        <f>F141*AP141</f>
        <v>0</v>
      </c>
      <c r="BJ141" s="26">
        <f>F141*G141</f>
        <v>0</v>
      </c>
      <c r="BK141" s="26"/>
      <c r="BL141" s="26">
        <v>766</v>
      </c>
      <c r="BW141" s="26">
        <v>21</v>
      </c>
    </row>
    <row r="142" spans="1:75" ht="13.5" customHeight="1" x14ac:dyDescent="0.25">
      <c r="A142" s="29"/>
      <c r="B142" s="30" t="s">
        <v>56</v>
      </c>
      <c r="C142" s="143" t="s">
        <v>128</v>
      </c>
      <c r="D142" s="144"/>
      <c r="E142" s="144"/>
      <c r="F142" s="144"/>
      <c r="G142" s="145"/>
      <c r="H142" s="144"/>
      <c r="I142" s="144"/>
      <c r="J142" s="146"/>
    </row>
    <row r="143" spans="1:75" x14ac:dyDescent="0.25">
      <c r="A143" s="29"/>
      <c r="C143" s="31" t="s">
        <v>218</v>
      </c>
      <c r="D143" s="31" t="s">
        <v>45</v>
      </c>
      <c r="F143" s="32">
        <v>8.9600000000000009</v>
      </c>
      <c r="J143" s="25"/>
    </row>
    <row r="144" spans="1:75" ht="13.5" customHeight="1" x14ac:dyDescent="0.25">
      <c r="A144" s="2" t="s">
        <v>219</v>
      </c>
      <c r="B144" s="3" t="s">
        <v>220</v>
      </c>
      <c r="C144" s="70" t="s">
        <v>221</v>
      </c>
      <c r="D144" s="71"/>
      <c r="E144" s="3" t="s">
        <v>51</v>
      </c>
      <c r="F144" s="26">
        <v>0.49409999999999998</v>
      </c>
      <c r="G144" s="27">
        <v>0</v>
      </c>
      <c r="H144" s="26">
        <f>F144*G144</f>
        <v>0</v>
      </c>
      <c r="I144" s="28" t="s">
        <v>133</v>
      </c>
      <c r="J144" s="25"/>
      <c r="Z144" s="26">
        <f>IF(AQ144="5",BJ144,0)</f>
        <v>0</v>
      </c>
      <c r="AB144" s="26">
        <f>IF(AQ144="1",BH144,0)</f>
        <v>0</v>
      </c>
      <c r="AC144" s="26">
        <f>IF(AQ144="1",BI144,0)</f>
        <v>0</v>
      </c>
      <c r="AD144" s="26">
        <f>IF(AQ144="7",BH144,0)</f>
        <v>0</v>
      </c>
      <c r="AE144" s="26">
        <f>IF(AQ144="7",BI144,0)</f>
        <v>0</v>
      </c>
      <c r="AF144" s="26">
        <f>IF(AQ144="2",BH144,0)</f>
        <v>0</v>
      </c>
      <c r="AG144" s="26">
        <f>IF(AQ144="2",BI144,0)</f>
        <v>0</v>
      </c>
      <c r="AH144" s="26">
        <f>IF(AQ144="0",BJ144,0)</f>
        <v>0</v>
      </c>
      <c r="AI144" s="11" t="s">
        <v>45</v>
      </c>
      <c r="AJ144" s="26">
        <f>IF(AN144=0,H144,0)</f>
        <v>0</v>
      </c>
      <c r="AK144" s="26">
        <f>IF(AN144=12,H144,0)</f>
        <v>0</v>
      </c>
      <c r="AL144" s="26">
        <f>IF(AN144=21,H144,0)</f>
        <v>0</v>
      </c>
      <c r="AN144" s="26">
        <v>21</v>
      </c>
      <c r="AO144" s="26">
        <f>G144*0</f>
        <v>0</v>
      </c>
      <c r="AP144" s="26">
        <f>G144*(1-0)</f>
        <v>0</v>
      </c>
      <c r="AQ144" s="28" t="s">
        <v>111</v>
      </c>
      <c r="AV144" s="26">
        <f>AW144+AX144</f>
        <v>0</v>
      </c>
      <c r="AW144" s="26">
        <f>F144*AO144</f>
        <v>0</v>
      </c>
      <c r="AX144" s="26">
        <f>F144*AP144</f>
        <v>0</v>
      </c>
      <c r="AY144" s="28" t="s">
        <v>112</v>
      </c>
      <c r="AZ144" s="28" t="s">
        <v>113</v>
      </c>
      <c r="BA144" s="11" t="s">
        <v>55</v>
      </c>
      <c r="BC144" s="26">
        <f>AW144+AX144</f>
        <v>0</v>
      </c>
      <c r="BD144" s="26">
        <f>G144/(100-BE144)*100</f>
        <v>0</v>
      </c>
      <c r="BE144" s="26">
        <v>0</v>
      </c>
      <c r="BF144" s="26">
        <f>144</f>
        <v>144</v>
      </c>
      <c r="BH144" s="26">
        <f>F144*AO144</f>
        <v>0</v>
      </c>
      <c r="BI144" s="26">
        <f>F144*AP144</f>
        <v>0</v>
      </c>
      <c r="BJ144" s="26">
        <f>F144*G144</f>
        <v>0</v>
      </c>
      <c r="BK144" s="26"/>
      <c r="BL144" s="26">
        <v>766</v>
      </c>
      <c r="BW144" s="26">
        <v>21</v>
      </c>
    </row>
    <row r="145" spans="1:75" ht="13.5" customHeight="1" x14ac:dyDescent="0.25">
      <c r="A145" s="29"/>
      <c r="B145" s="30" t="s">
        <v>56</v>
      </c>
      <c r="C145" s="143" t="s">
        <v>128</v>
      </c>
      <c r="D145" s="144"/>
      <c r="E145" s="144"/>
      <c r="F145" s="144"/>
      <c r="G145" s="145"/>
      <c r="H145" s="144"/>
      <c r="I145" s="144"/>
      <c r="J145" s="146"/>
    </row>
    <row r="146" spans="1:75" x14ac:dyDescent="0.25">
      <c r="A146" s="29"/>
      <c r="C146" s="31" t="s">
        <v>222</v>
      </c>
      <c r="D146" s="31" t="s">
        <v>45</v>
      </c>
      <c r="F146" s="32">
        <v>0.49409999999999998</v>
      </c>
      <c r="J146" s="25"/>
    </row>
    <row r="147" spans="1:75" ht="13.5" customHeight="1" x14ac:dyDescent="0.25">
      <c r="A147" s="2" t="s">
        <v>223</v>
      </c>
      <c r="B147" s="3" t="s">
        <v>224</v>
      </c>
      <c r="C147" s="70" t="s">
        <v>225</v>
      </c>
      <c r="D147" s="71"/>
      <c r="E147" s="3" t="s">
        <v>51</v>
      </c>
      <c r="F147" s="26">
        <v>0.49409999999999998</v>
      </c>
      <c r="G147" s="27">
        <v>0</v>
      </c>
      <c r="H147" s="26">
        <f>F147*G147</f>
        <v>0</v>
      </c>
      <c r="I147" s="28" t="s">
        <v>133</v>
      </c>
      <c r="J147" s="25"/>
      <c r="Z147" s="26">
        <f>IF(AQ147="5",BJ147,0)</f>
        <v>0</v>
      </c>
      <c r="AB147" s="26">
        <f>IF(AQ147="1",BH147,0)</f>
        <v>0</v>
      </c>
      <c r="AC147" s="26">
        <f>IF(AQ147="1",BI147,0)</f>
        <v>0</v>
      </c>
      <c r="AD147" s="26">
        <f>IF(AQ147="7",BH147,0)</f>
        <v>0</v>
      </c>
      <c r="AE147" s="26">
        <f>IF(AQ147="7",BI147,0)</f>
        <v>0</v>
      </c>
      <c r="AF147" s="26">
        <f>IF(AQ147="2",BH147,0)</f>
        <v>0</v>
      </c>
      <c r="AG147" s="26">
        <f>IF(AQ147="2",BI147,0)</f>
        <v>0</v>
      </c>
      <c r="AH147" s="26">
        <f>IF(AQ147="0",BJ147,0)</f>
        <v>0</v>
      </c>
      <c r="AI147" s="11" t="s">
        <v>45</v>
      </c>
      <c r="AJ147" s="26">
        <f>IF(AN147=0,H147,0)</f>
        <v>0</v>
      </c>
      <c r="AK147" s="26">
        <f>IF(AN147=12,H147,0)</f>
        <v>0</v>
      </c>
      <c r="AL147" s="26">
        <f>IF(AN147=21,H147,0)</f>
        <v>0</v>
      </c>
      <c r="AN147" s="26">
        <v>21</v>
      </c>
      <c r="AO147" s="26">
        <f>G147*0</f>
        <v>0</v>
      </c>
      <c r="AP147" s="26">
        <f>G147*(1-0)</f>
        <v>0</v>
      </c>
      <c r="AQ147" s="28" t="s">
        <v>111</v>
      </c>
      <c r="AV147" s="26">
        <f>AW147+AX147</f>
        <v>0</v>
      </c>
      <c r="AW147" s="26">
        <f>F147*AO147</f>
        <v>0</v>
      </c>
      <c r="AX147" s="26">
        <f>F147*AP147</f>
        <v>0</v>
      </c>
      <c r="AY147" s="28" t="s">
        <v>112</v>
      </c>
      <c r="AZ147" s="28" t="s">
        <v>113</v>
      </c>
      <c r="BA147" s="11" t="s">
        <v>55</v>
      </c>
      <c r="BC147" s="26">
        <f>AW147+AX147</f>
        <v>0</v>
      </c>
      <c r="BD147" s="26">
        <f>G147/(100-BE147)*100</f>
        <v>0</v>
      </c>
      <c r="BE147" s="26">
        <v>0</v>
      </c>
      <c r="BF147" s="26">
        <f>147</f>
        <v>147</v>
      </c>
      <c r="BH147" s="26">
        <f>F147*AO147</f>
        <v>0</v>
      </c>
      <c r="BI147" s="26">
        <f>F147*AP147</f>
        <v>0</v>
      </c>
      <c r="BJ147" s="26">
        <f>F147*G147</f>
        <v>0</v>
      </c>
      <c r="BK147" s="26"/>
      <c r="BL147" s="26">
        <v>766</v>
      </c>
      <c r="BW147" s="26">
        <v>21</v>
      </c>
    </row>
    <row r="148" spans="1:75" ht="13.5" customHeight="1" x14ac:dyDescent="0.25">
      <c r="A148" s="29"/>
      <c r="B148" s="30" t="s">
        <v>56</v>
      </c>
      <c r="C148" s="143" t="s">
        <v>128</v>
      </c>
      <c r="D148" s="144"/>
      <c r="E148" s="144"/>
      <c r="F148" s="144"/>
      <c r="G148" s="145"/>
      <c r="H148" s="144"/>
      <c r="I148" s="144"/>
      <c r="J148" s="146"/>
    </row>
    <row r="149" spans="1:75" x14ac:dyDescent="0.25">
      <c r="A149" s="29"/>
      <c r="C149" s="31" t="s">
        <v>222</v>
      </c>
      <c r="D149" s="31" t="s">
        <v>45</v>
      </c>
      <c r="F149" s="32">
        <v>0.49409999999999998</v>
      </c>
      <c r="J149" s="25"/>
    </row>
    <row r="150" spans="1:75" ht="13.5" customHeight="1" x14ac:dyDescent="0.25">
      <c r="A150" s="2" t="s">
        <v>226</v>
      </c>
      <c r="B150" s="3" t="s">
        <v>227</v>
      </c>
      <c r="C150" s="70" t="s">
        <v>228</v>
      </c>
      <c r="D150" s="71"/>
      <c r="E150" s="3" t="s">
        <v>51</v>
      </c>
      <c r="F150" s="26">
        <v>0.76</v>
      </c>
      <c r="G150" s="27">
        <v>0</v>
      </c>
      <c r="H150" s="26">
        <f>F150*G150</f>
        <v>0</v>
      </c>
      <c r="I150" s="28" t="s">
        <v>133</v>
      </c>
      <c r="J150" s="25"/>
      <c r="Z150" s="26">
        <f>IF(AQ150="5",BJ150,0)</f>
        <v>0</v>
      </c>
      <c r="AB150" s="26">
        <f>IF(AQ150="1",BH150,0)</f>
        <v>0</v>
      </c>
      <c r="AC150" s="26">
        <f>IF(AQ150="1",BI150,0)</f>
        <v>0</v>
      </c>
      <c r="AD150" s="26">
        <f>IF(AQ150="7",BH150,0)</f>
        <v>0</v>
      </c>
      <c r="AE150" s="26">
        <f>IF(AQ150="7",BI150,0)</f>
        <v>0</v>
      </c>
      <c r="AF150" s="26">
        <f>IF(AQ150="2",BH150,0)</f>
        <v>0</v>
      </c>
      <c r="AG150" s="26">
        <f>IF(AQ150="2",BI150,0)</f>
        <v>0</v>
      </c>
      <c r="AH150" s="26">
        <f>IF(AQ150="0",BJ150,0)</f>
        <v>0</v>
      </c>
      <c r="AI150" s="11" t="s">
        <v>45</v>
      </c>
      <c r="AJ150" s="26">
        <f>IF(AN150=0,H150,0)</f>
        <v>0</v>
      </c>
      <c r="AK150" s="26">
        <f>IF(AN150=12,H150,0)</f>
        <v>0</v>
      </c>
      <c r="AL150" s="26">
        <f>IF(AN150=21,H150,0)</f>
        <v>0</v>
      </c>
      <c r="AN150" s="26">
        <v>21</v>
      </c>
      <c r="AO150" s="26">
        <f>G150*0</f>
        <v>0</v>
      </c>
      <c r="AP150" s="26">
        <f>G150*(1-0)</f>
        <v>0</v>
      </c>
      <c r="AQ150" s="28" t="s">
        <v>111</v>
      </c>
      <c r="AV150" s="26">
        <f>AW150+AX150</f>
        <v>0</v>
      </c>
      <c r="AW150" s="26">
        <f>F150*AO150</f>
        <v>0</v>
      </c>
      <c r="AX150" s="26">
        <f>F150*AP150</f>
        <v>0</v>
      </c>
      <c r="AY150" s="28" t="s">
        <v>112</v>
      </c>
      <c r="AZ150" s="28" t="s">
        <v>113</v>
      </c>
      <c r="BA150" s="11" t="s">
        <v>55</v>
      </c>
      <c r="BC150" s="26">
        <f>AW150+AX150</f>
        <v>0</v>
      </c>
      <c r="BD150" s="26">
        <f>G150/(100-BE150)*100</f>
        <v>0</v>
      </c>
      <c r="BE150" s="26">
        <v>0</v>
      </c>
      <c r="BF150" s="26">
        <f>150</f>
        <v>150</v>
      </c>
      <c r="BH150" s="26">
        <f>F150*AO150</f>
        <v>0</v>
      </c>
      <c r="BI150" s="26">
        <f>F150*AP150</f>
        <v>0</v>
      </c>
      <c r="BJ150" s="26">
        <f>F150*G150</f>
        <v>0</v>
      </c>
      <c r="BK150" s="26"/>
      <c r="BL150" s="26">
        <v>766</v>
      </c>
      <c r="BW150" s="26">
        <v>21</v>
      </c>
    </row>
    <row r="151" spans="1:75" ht="13.5" customHeight="1" x14ac:dyDescent="0.25">
      <c r="A151" s="29"/>
      <c r="B151" s="30" t="s">
        <v>56</v>
      </c>
      <c r="C151" s="143" t="s">
        <v>128</v>
      </c>
      <c r="D151" s="144"/>
      <c r="E151" s="144"/>
      <c r="F151" s="144"/>
      <c r="G151" s="145"/>
      <c r="H151" s="144"/>
      <c r="I151" s="144"/>
      <c r="J151" s="146"/>
    </row>
    <row r="152" spans="1:75" x14ac:dyDescent="0.25">
      <c r="A152" s="29"/>
      <c r="C152" s="31" t="s">
        <v>229</v>
      </c>
      <c r="D152" s="31" t="s">
        <v>45</v>
      </c>
      <c r="F152" s="32">
        <v>0.76</v>
      </c>
      <c r="J152" s="25"/>
    </row>
    <row r="153" spans="1:75" ht="13.5" customHeight="1" x14ac:dyDescent="0.25">
      <c r="A153" s="2" t="s">
        <v>230</v>
      </c>
      <c r="B153" s="3" t="s">
        <v>231</v>
      </c>
      <c r="C153" s="70" t="s">
        <v>232</v>
      </c>
      <c r="D153" s="71"/>
      <c r="E153" s="3" t="s">
        <v>51</v>
      </c>
      <c r="F153" s="26">
        <v>6.984</v>
      </c>
      <c r="G153" s="27">
        <v>0</v>
      </c>
      <c r="H153" s="26">
        <f>F153*G153</f>
        <v>0</v>
      </c>
      <c r="I153" s="28" t="s">
        <v>133</v>
      </c>
      <c r="J153" s="25"/>
      <c r="Z153" s="26">
        <f>IF(AQ153="5",BJ153,0)</f>
        <v>0</v>
      </c>
      <c r="AB153" s="26">
        <f>IF(AQ153="1",BH153,0)</f>
        <v>0</v>
      </c>
      <c r="AC153" s="26">
        <f>IF(AQ153="1",BI153,0)</f>
        <v>0</v>
      </c>
      <c r="AD153" s="26">
        <f>IF(AQ153="7",BH153,0)</f>
        <v>0</v>
      </c>
      <c r="AE153" s="26">
        <f>IF(AQ153="7",BI153,0)</f>
        <v>0</v>
      </c>
      <c r="AF153" s="26">
        <f>IF(AQ153="2",BH153,0)</f>
        <v>0</v>
      </c>
      <c r="AG153" s="26">
        <f>IF(AQ153="2",BI153,0)</f>
        <v>0</v>
      </c>
      <c r="AH153" s="26">
        <f>IF(AQ153="0",BJ153,0)</f>
        <v>0</v>
      </c>
      <c r="AI153" s="11" t="s">
        <v>45</v>
      </c>
      <c r="AJ153" s="26">
        <f>IF(AN153=0,H153,0)</f>
        <v>0</v>
      </c>
      <c r="AK153" s="26">
        <f>IF(AN153=12,H153,0)</f>
        <v>0</v>
      </c>
      <c r="AL153" s="26">
        <f>IF(AN153=21,H153,0)</f>
        <v>0</v>
      </c>
      <c r="AN153" s="26">
        <v>21</v>
      </c>
      <c r="AO153" s="26">
        <f>G153*0</f>
        <v>0</v>
      </c>
      <c r="AP153" s="26">
        <f>G153*(1-0)</f>
        <v>0</v>
      </c>
      <c r="AQ153" s="28" t="s">
        <v>111</v>
      </c>
      <c r="AV153" s="26">
        <f>AW153+AX153</f>
        <v>0</v>
      </c>
      <c r="AW153" s="26">
        <f>F153*AO153</f>
        <v>0</v>
      </c>
      <c r="AX153" s="26">
        <f>F153*AP153</f>
        <v>0</v>
      </c>
      <c r="AY153" s="28" t="s">
        <v>112</v>
      </c>
      <c r="AZ153" s="28" t="s">
        <v>113</v>
      </c>
      <c r="BA153" s="11" t="s">
        <v>55</v>
      </c>
      <c r="BC153" s="26">
        <f>AW153+AX153</f>
        <v>0</v>
      </c>
      <c r="BD153" s="26">
        <f>G153/(100-BE153)*100</f>
        <v>0</v>
      </c>
      <c r="BE153" s="26">
        <v>0</v>
      </c>
      <c r="BF153" s="26">
        <f>153</f>
        <v>153</v>
      </c>
      <c r="BH153" s="26">
        <f>F153*AO153</f>
        <v>0</v>
      </c>
      <c r="BI153" s="26">
        <f>F153*AP153</f>
        <v>0</v>
      </c>
      <c r="BJ153" s="26">
        <f>F153*G153</f>
        <v>0</v>
      </c>
      <c r="BK153" s="26"/>
      <c r="BL153" s="26">
        <v>766</v>
      </c>
      <c r="BW153" s="26">
        <v>21</v>
      </c>
    </row>
    <row r="154" spans="1:75" ht="13.5" customHeight="1" x14ac:dyDescent="0.25">
      <c r="A154" s="29"/>
      <c r="B154" s="30" t="s">
        <v>56</v>
      </c>
      <c r="C154" s="143" t="s">
        <v>128</v>
      </c>
      <c r="D154" s="144"/>
      <c r="E154" s="144"/>
      <c r="F154" s="144"/>
      <c r="G154" s="145"/>
      <c r="H154" s="144"/>
      <c r="I154" s="144"/>
      <c r="J154" s="146"/>
    </row>
    <row r="155" spans="1:75" x14ac:dyDescent="0.25">
      <c r="A155" s="29"/>
      <c r="C155" s="31" t="s">
        <v>233</v>
      </c>
      <c r="D155" s="31" t="s">
        <v>45</v>
      </c>
      <c r="F155" s="32">
        <v>6.984</v>
      </c>
      <c r="J155" s="25"/>
    </row>
    <row r="156" spans="1:75" ht="13.5" customHeight="1" x14ac:dyDescent="0.25">
      <c r="A156" s="2" t="s">
        <v>234</v>
      </c>
      <c r="B156" s="3" t="s">
        <v>235</v>
      </c>
      <c r="C156" s="70" t="s">
        <v>236</v>
      </c>
      <c r="D156" s="71"/>
      <c r="E156" s="3" t="s">
        <v>51</v>
      </c>
      <c r="F156" s="26">
        <v>5.12</v>
      </c>
      <c r="G156" s="27">
        <v>0</v>
      </c>
      <c r="H156" s="26">
        <f>F156*G156</f>
        <v>0</v>
      </c>
      <c r="I156" s="28" t="s">
        <v>133</v>
      </c>
      <c r="J156" s="25"/>
      <c r="Z156" s="26">
        <f>IF(AQ156="5",BJ156,0)</f>
        <v>0</v>
      </c>
      <c r="AB156" s="26">
        <f>IF(AQ156="1",BH156,0)</f>
        <v>0</v>
      </c>
      <c r="AC156" s="26">
        <f>IF(AQ156="1",BI156,0)</f>
        <v>0</v>
      </c>
      <c r="AD156" s="26">
        <f>IF(AQ156="7",BH156,0)</f>
        <v>0</v>
      </c>
      <c r="AE156" s="26">
        <f>IF(AQ156="7",BI156,0)</f>
        <v>0</v>
      </c>
      <c r="AF156" s="26">
        <f>IF(AQ156="2",BH156,0)</f>
        <v>0</v>
      </c>
      <c r="AG156" s="26">
        <f>IF(AQ156="2",BI156,0)</f>
        <v>0</v>
      </c>
      <c r="AH156" s="26">
        <f>IF(AQ156="0",BJ156,0)</f>
        <v>0</v>
      </c>
      <c r="AI156" s="11" t="s">
        <v>45</v>
      </c>
      <c r="AJ156" s="26">
        <f>IF(AN156=0,H156,0)</f>
        <v>0</v>
      </c>
      <c r="AK156" s="26">
        <f>IF(AN156=12,H156,0)</f>
        <v>0</v>
      </c>
      <c r="AL156" s="26">
        <f>IF(AN156=21,H156,0)</f>
        <v>0</v>
      </c>
      <c r="AN156" s="26">
        <v>21</v>
      </c>
      <c r="AO156" s="26">
        <f>G156*0</f>
        <v>0</v>
      </c>
      <c r="AP156" s="26">
        <f>G156*(1-0)</f>
        <v>0</v>
      </c>
      <c r="AQ156" s="28" t="s">
        <v>111</v>
      </c>
      <c r="AV156" s="26">
        <f>AW156+AX156</f>
        <v>0</v>
      </c>
      <c r="AW156" s="26">
        <f>F156*AO156</f>
        <v>0</v>
      </c>
      <c r="AX156" s="26">
        <f>F156*AP156</f>
        <v>0</v>
      </c>
      <c r="AY156" s="28" t="s">
        <v>112</v>
      </c>
      <c r="AZ156" s="28" t="s">
        <v>113</v>
      </c>
      <c r="BA156" s="11" t="s">
        <v>55</v>
      </c>
      <c r="BC156" s="26">
        <f>AW156+AX156</f>
        <v>0</v>
      </c>
      <c r="BD156" s="26">
        <f>G156/(100-BE156)*100</f>
        <v>0</v>
      </c>
      <c r="BE156" s="26">
        <v>0</v>
      </c>
      <c r="BF156" s="26">
        <f>156</f>
        <v>156</v>
      </c>
      <c r="BH156" s="26">
        <f>F156*AO156</f>
        <v>0</v>
      </c>
      <c r="BI156" s="26">
        <f>F156*AP156</f>
        <v>0</v>
      </c>
      <c r="BJ156" s="26">
        <f>F156*G156</f>
        <v>0</v>
      </c>
      <c r="BK156" s="26"/>
      <c r="BL156" s="26">
        <v>766</v>
      </c>
      <c r="BW156" s="26">
        <v>21</v>
      </c>
    </row>
    <row r="157" spans="1:75" ht="13.5" customHeight="1" x14ac:dyDescent="0.25">
      <c r="A157" s="29"/>
      <c r="B157" s="30" t="s">
        <v>56</v>
      </c>
      <c r="C157" s="143" t="s">
        <v>237</v>
      </c>
      <c r="D157" s="144"/>
      <c r="E157" s="144"/>
      <c r="F157" s="144"/>
      <c r="G157" s="145"/>
      <c r="H157" s="144"/>
      <c r="I157" s="144"/>
      <c r="J157" s="146"/>
    </row>
    <row r="158" spans="1:75" x14ac:dyDescent="0.25">
      <c r="A158" s="29"/>
      <c r="C158" s="31" t="s">
        <v>238</v>
      </c>
      <c r="D158" s="31" t="s">
        <v>45</v>
      </c>
      <c r="F158" s="32">
        <v>5.12</v>
      </c>
      <c r="J158" s="25"/>
    </row>
    <row r="159" spans="1:75" ht="13.5" customHeight="1" x14ac:dyDescent="0.25">
      <c r="A159" s="2" t="s">
        <v>239</v>
      </c>
      <c r="B159" s="3" t="s">
        <v>240</v>
      </c>
      <c r="C159" s="70" t="s">
        <v>241</v>
      </c>
      <c r="D159" s="71"/>
      <c r="E159" s="3" t="s">
        <v>88</v>
      </c>
      <c r="F159" s="26">
        <v>313.2</v>
      </c>
      <c r="G159" s="27">
        <v>0</v>
      </c>
      <c r="H159" s="26">
        <f>F159*G159</f>
        <v>0</v>
      </c>
      <c r="I159" s="28" t="s">
        <v>52</v>
      </c>
      <c r="J159" s="25"/>
      <c r="Z159" s="26">
        <f>IF(AQ159="5",BJ159,0)</f>
        <v>0</v>
      </c>
      <c r="AB159" s="26">
        <f>IF(AQ159="1",BH159,0)</f>
        <v>0</v>
      </c>
      <c r="AC159" s="26">
        <f>IF(AQ159="1",BI159,0)</f>
        <v>0</v>
      </c>
      <c r="AD159" s="26">
        <f>IF(AQ159="7",BH159,0)</f>
        <v>0</v>
      </c>
      <c r="AE159" s="26">
        <f>IF(AQ159="7",BI159,0)</f>
        <v>0</v>
      </c>
      <c r="AF159" s="26">
        <f>IF(AQ159="2",BH159,0)</f>
        <v>0</v>
      </c>
      <c r="AG159" s="26">
        <f>IF(AQ159="2",BI159,0)</f>
        <v>0</v>
      </c>
      <c r="AH159" s="26">
        <f>IF(AQ159="0",BJ159,0)</f>
        <v>0</v>
      </c>
      <c r="AI159" s="11" t="s">
        <v>45</v>
      </c>
      <c r="AJ159" s="26">
        <f>IF(AN159=0,H159,0)</f>
        <v>0</v>
      </c>
      <c r="AK159" s="26">
        <f>IF(AN159=12,H159,0)</f>
        <v>0</v>
      </c>
      <c r="AL159" s="26">
        <f>IF(AN159=21,H159,0)</f>
        <v>0</v>
      </c>
      <c r="AN159" s="26">
        <v>21</v>
      </c>
      <c r="AO159" s="26">
        <f>G159*0.457127158</f>
        <v>0</v>
      </c>
      <c r="AP159" s="26">
        <f>G159*(1-0.457127158)</f>
        <v>0</v>
      </c>
      <c r="AQ159" s="28" t="s">
        <v>111</v>
      </c>
      <c r="AV159" s="26">
        <f>AW159+AX159</f>
        <v>0</v>
      </c>
      <c r="AW159" s="26">
        <f>F159*AO159</f>
        <v>0</v>
      </c>
      <c r="AX159" s="26">
        <f>F159*AP159</f>
        <v>0</v>
      </c>
      <c r="AY159" s="28" t="s">
        <v>112</v>
      </c>
      <c r="AZ159" s="28" t="s">
        <v>113</v>
      </c>
      <c r="BA159" s="11" t="s">
        <v>55</v>
      </c>
      <c r="BC159" s="26">
        <f>AW159+AX159</f>
        <v>0</v>
      </c>
      <c r="BD159" s="26">
        <f>G159/(100-BE159)*100</f>
        <v>0</v>
      </c>
      <c r="BE159" s="26">
        <v>0</v>
      </c>
      <c r="BF159" s="26">
        <f>159</f>
        <v>159</v>
      </c>
      <c r="BH159" s="26">
        <f>F159*AO159</f>
        <v>0</v>
      </c>
      <c r="BI159" s="26">
        <f>F159*AP159</f>
        <v>0</v>
      </c>
      <c r="BJ159" s="26">
        <f>F159*G159</f>
        <v>0</v>
      </c>
      <c r="BK159" s="26"/>
      <c r="BL159" s="26">
        <v>766</v>
      </c>
      <c r="BW159" s="26">
        <v>21</v>
      </c>
    </row>
    <row r="160" spans="1:75" x14ac:dyDescent="0.25">
      <c r="A160" s="29"/>
      <c r="C160" s="31" t="s">
        <v>242</v>
      </c>
      <c r="D160" s="31" t="s">
        <v>45</v>
      </c>
      <c r="F160" s="32">
        <v>12</v>
      </c>
      <c r="J160" s="25"/>
    </row>
    <row r="161" spans="1:10" x14ac:dyDescent="0.25">
      <c r="A161" s="29"/>
      <c r="C161" s="31" t="s">
        <v>121</v>
      </c>
      <c r="D161" s="31" t="s">
        <v>45</v>
      </c>
      <c r="F161" s="32">
        <v>6</v>
      </c>
      <c r="J161" s="25"/>
    </row>
    <row r="162" spans="1:10" x14ac:dyDescent="0.25">
      <c r="A162" s="29"/>
      <c r="C162" s="31" t="s">
        <v>243</v>
      </c>
      <c r="D162" s="31" t="s">
        <v>45</v>
      </c>
      <c r="F162" s="32">
        <v>24</v>
      </c>
      <c r="J162" s="25"/>
    </row>
    <row r="163" spans="1:10" x14ac:dyDescent="0.25">
      <c r="A163" s="29"/>
      <c r="C163" s="31" t="s">
        <v>244</v>
      </c>
      <c r="D163" s="31" t="s">
        <v>45</v>
      </c>
      <c r="F163" s="32">
        <v>16</v>
      </c>
      <c r="J163" s="25"/>
    </row>
    <row r="164" spans="1:10" x14ac:dyDescent="0.25">
      <c r="A164" s="29"/>
      <c r="C164" s="31" t="s">
        <v>245</v>
      </c>
      <c r="D164" s="31" t="s">
        <v>45</v>
      </c>
      <c r="F164" s="32">
        <v>33</v>
      </c>
      <c r="J164" s="25"/>
    </row>
    <row r="165" spans="1:10" x14ac:dyDescent="0.25">
      <c r="A165" s="29"/>
      <c r="C165" s="31" t="s">
        <v>134</v>
      </c>
      <c r="D165" s="31" t="s">
        <v>45</v>
      </c>
      <c r="F165" s="32">
        <v>9</v>
      </c>
      <c r="J165" s="25"/>
    </row>
    <row r="166" spans="1:10" x14ac:dyDescent="0.25">
      <c r="A166" s="29"/>
      <c r="C166" s="31" t="s">
        <v>246</v>
      </c>
      <c r="D166" s="31" t="s">
        <v>45</v>
      </c>
      <c r="F166" s="32">
        <v>8.1999999999999993</v>
      </c>
      <c r="J166" s="25"/>
    </row>
    <row r="167" spans="1:10" x14ac:dyDescent="0.25">
      <c r="A167" s="29"/>
      <c r="C167" s="31" t="s">
        <v>247</v>
      </c>
      <c r="D167" s="31" t="s">
        <v>45</v>
      </c>
      <c r="F167" s="32">
        <v>10</v>
      </c>
      <c r="J167" s="25"/>
    </row>
    <row r="168" spans="1:10" x14ac:dyDescent="0.25">
      <c r="A168" s="29"/>
      <c r="C168" s="31" t="s">
        <v>116</v>
      </c>
      <c r="D168" s="31" t="s">
        <v>45</v>
      </c>
      <c r="F168" s="32">
        <v>5</v>
      </c>
      <c r="J168" s="25"/>
    </row>
    <row r="169" spans="1:10" x14ac:dyDescent="0.25">
      <c r="A169" s="29"/>
      <c r="C169" s="31" t="s">
        <v>248</v>
      </c>
      <c r="D169" s="31" t="s">
        <v>45</v>
      </c>
      <c r="F169" s="32">
        <v>20</v>
      </c>
      <c r="J169" s="25"/>
    </row>
    <row r="170" spans="1:10" x14ac:dyDescent="0.25">
      <c r="A170" s="29"/>
      <c r="C170" s="31" t="s">
        <v>242</v>
      </c>
      <c r="D170" s="31" t="s">
        <v>45</v>
      </c>
      <c r="F170" s="32">
        <v>12</v>
      </c>
      <c r="J170" s="25"/>
    </row>
    <row r="171" spans="1:10" x14ac:dyDescent="0.25">
      <c r="A171" s="29"/>
      <c r="C171" s="31" t="s">
        <v>249</v>
      </c>
      <c r="D171" s="31" t="s">
        <v>45</v>
      </c>
      <c r="F171" s="32">
        <v>48</v>
      </c>
      <c r="J171" s="25"/>
    </row>
    <row r="172" spans="1:10" x14ac:dyDescent="0.25">
      <c r="A172" s="29"/>
      <c r="C172" s="31" t="s">
        <v>250</v>
      </c>
      <c r="D172" s="31" t="s">
        <v>45</v>
      </c>
      <c r="F172" s="32">
        <v>7</v>
      </c>
      <c r="J172" s="25"/>
    </row>
    <row r="173" spans="1:10" x14ac:dyDescent="0.25">
      <c r="A173" s="29"/>
      <c r="C173" s="31" t="s">
        <v>247</v>
      </c>
      <c r="D173" s="31" t="s">
        <v>45</v>
      </c>
      <c r="F173" s="32">
        <v>10</v>
      </c>
      <c r="J173" s="25"/>
    </row>
    <row r="174" spans="1:10" x14ac:dyDescent="0.25">
      <c r="A174" s="29"/>
      <c r="C174" s="31" t="s">
        <v>116</v>
      </c>
      <c r="D174" s="31" t="s">
        <v>45</v>
      </c>
      <c r="F174" s="32">
        <v>5</v>
      </c>
      <c r="J174" s="25"/>
    </row>
    <row r="175" spans="1:10" x14ac:dyDescent="0.25">
      <c r="A175" s="29"/>
      <c r="C175" s="31" t="s">
        <v>251</v>
      </c>
      <c r="D175" s="31" t="s">
        <v>45</v>
      </c>
      <c r="F175" s="32">
        <v>54</v>
      </c>
      <c r="J175" s="25"/>
    </row>
    <row r="176" spans="1:10" x14ac:dyDescent="0.25">
      <c r="A176" s="29"/>
      <c r="C176" s="31" t="s">
        <v>252</v>
      </c>
      <c r="D176" s="31" t="s">
        <v>45</v>
      </c>
      <c r="F176" s="32">
        <v>18</v>
      </c>
      <c r="J176" s="25"/>
    </row>
    <row r="177" spans="1:75" x14ac:dyDescent="0.25">
      <c r="A177" s="29"/>
      <c r="C177" s="31" t="s">
        <v>253</v>
      </c>
      <c r="D177" s="31" t="s">
        <v>45</v>
      </c>
      <c r="F177" s="32">
        <v>16</v>
      </c>
      <c r="J177" s="25"/>
    </row>
    <row r="178" spans="1:75" x14ac:dyDescent="0.25">
      <c r="A178" s="33" t="s">
        <v>45</v>
      </c>
      <c r="B178" s="34" t="s">
        <v>254</v>
      </c>
      <c r="C178" s="141" t="s">
        <v>255</v>
      </c>
      <c r="D178" s="142"/>
      <c r="E178" s="35" t="s">
        <v>4</v>
      </c>
      <c r="F178" s="35" t="s">
        <v>4</v>
      </c>
      <c r="G178" s="36" t="s">
        <v>4</v>
      </c>
      <c r="H178" s="1">
        <f>SUM(H179:H191)</f>
        <v>0</v>
      </c>
      <c r="I178" s="11" t="s">
        <v>45</v>
      </c>
      <c r="J178" s="25"/>
      <c r="AI178" s="11" t="s">
        <v>45</v>
      </c>
      <c r="AS178" s="1">
        <f>SUM(AJ179:AJ191)</f>
        <v>0</v>
      </c>
      <c r="AT178" s="1">
        <f>SUM(AK179:AK191)</f>
        <v>0</v>
      </c>
      <c r="AU178" s="1">
        <f>SUM(AL179:AL191)</f>
        <v>0</v>
      </c>
    </row>
    <row r="179" spans="1:75" ht="13.5" customHeight="1" x14ac:dyDescent="0.25">
      <c r="A179" s="2" t="s">
        <v>256</v>
      </c>
      <c r="B179" s="3" t="s">
        <v>257</v>
      </c>
      <c r="C179" s="70" t="s">
        <v>258</v>
      </c>
      <c r="D179" s="71"/>
      <c r="E179" s="3" t="s">
        <v>51</v>
      </c>
      <c r="F179" s="26">
        <v>72.334999999999994</v>
      </c>
      <c r="G179" s="27">
        <v>0</v>
      </c>
      <c r="H179" s="26">
        <f>F179*G179</f>
        <v>0</v>
      </c>
      <c r="I179" s="28" t="s">
        <v>52</v>
      </c>
      <c r="J179" s="25"/>
      <c r="Z179" s="26">
        <f>IF(AQ179="5",BJ179,0)</f>
        <v>0</v>
      </c>
      <c r="AB179" s="26">
        <f>IF(AQ179="1",BH179,0)</f>
        <v>0</v>
      </c>
      <c r="AC179" s="26">
        <f>IF(AQ179="1",BI179,0)</f>
        <v>0</v>
      </c>
      <c r="AD179" s="26">
        <f>IF(AQ179="7",BH179,0)</f>
        <v>0</v>
      </c>
      <c r="AE179" s="26">
        <f>IF(AQ179="7",BI179,0)</f>
        <v>0</v>
      </c>
      <c r="AF179" s="26">
        <f>IF(AQ179="2",BH179,0)</f>
        <v>0</v>
      </c>
      <c r="AG179" s="26">
        <f>IF(AQ179="2",BI179,0)</f>
        <v>0</v>
      </c>
      <c r="AH179" s="26">
        <f>IF(AQ179="0",BJ179,0)</f>
        <v>0</v>
      </c>
      <c r="AI179" s="11" t="s">
        <v>45</v>
      </c>
      <c r="AJ179" s="26">
        <f>IF(AN179=0,H179,0)</f>
        <v>0</v>
      </c>
      <c r="AK179" s="26">
        <f>IF(AN179=12,H179,0)</f>
        <v>0</v>
      </c>
      <c r="AL179" s="26">
        <f>IF(AN179=21,H179,0)</f>
        <v>0</v>
      </c>
      <c r="AN179" s="26">
        <v>21</v>
      </c>
      <c r="AO179" s="26">
        <f>G179*0.334083285</f>
        <v>0</v>
      </c>
      <c r="AP179" s="26">
        <f>G179*(1-0.334083285)</f>
        <v>0</v>
      </c>
      <c r="AQ179" s="28" t="s">
        <v>111</v>
      </c>
      <c r="AV179" s="26">
        <f>AW179+AX179</f>
        <v>0</v>
      </c>
      <c r="AW179" s="26">
        <f>F179*AO179</f>
        <v>0</v>
      </c>
      <c r="AX179" s="26">
        <f>F179*AP179</f>
        <v>0</v>
      </c>
      <c r="AY179" s="28" t="s">
        <v>259</v>
      </c>
      <c r="AZ179" s="28" t="s">
        <v>260</v>
      </c>
      <c r="BA179" s="11" t="s">
        <v>55</v>
      </c>
      <c r="BC179" s="26">
        <f>AW179+AX179</f>
        <v>0</v>
      </c>
      <c r="BD179" s="26">
        <f>G179/(100-BE179)*100</f>
        <v>0</v>
      </c>
      <c r="BE179" s="26">
        <v>0</v>
      </c>
      <c r="BF179" s="26">
        <f>179</f>
        <v>179</v>
      </c>
      <c r="BH179" s="26">
        <f>F179*AO179</f>
        <v>0</v>
      </c>
      <c r="BI179" s="26">
        <f>F179*AP179</f>
        <v>0</v>
      </c>
      <c r="BJ179" s="26">
        <f>F179*G179</f>
        <v>0</v>
      </c>
      <c r="BK179" s="26"/>
      <c r="BL179" s="26">
        <v>783</v>
      </c>
      <c r="BW179" s="26">
        <v>21</v>
      </c>
    </row>
    <row r="180" spans="1:75" x14ac:dyDescent="0.25">
      <c r="A180" s="29"/>
      <c r="C180" s="31" t="s">
        <v>261</v>
      </c>
      <c r="D180" s="31" t="s">
        <v>45</v>
      </c>
      <c r="F180" s="32">
        <v>41.6</v>
      </c>
      <c r="J180" s="25"/>
    </row>
    <row r="181" spans="1:75" x14ac:dyDescent="0.25">
      <c r="A181" s="29"/>
      <c r="C181" s="31" t="s">
        <v>262</v>
      </c>
      <c r="D181" s="31" t="s">
        <v>45</v>
      </c>
      <c r="F181" s="32">
        <v>8.9375</v>
      </c>
      <c r="J181" s="25"/>
    </row>
    <row r="182" spans="1:75" x14ac:dyDescent="0.25">
      <c r="A182" s="29"/>
      <c r="C182" s="31" t="s">
        <v>263</v>
      </c>
      <c r="D182" s="31" t="s">
        <v>45</v>
      </c>
      <c r="F182" s="32">
        <v>4.41</v>
      </c>
      <c r="J182" s="25"/>
    </row>
    <row r="183" spans="1:75" x14ac:dyDescent="0.25">
      <c r="A183" s="29"/>
      <c r="C183" s="31" t="s">
        <v>262</v>
      </c>
      <c r="D183" s="31" t="s">
        <v>45</v>
      </c>
      <c r="F183" s="32">
        <v>8.9375</v>
      </c>
      <c r="J183" s="25"/>
    </row>
    <row r="184" spans="1:75" x14ac:dyDescent="0.25">
      <c r="A184" s="29"/>
      <c r="C184" s="31" t="s">
        <v>264</v>
      </c>
      <c r="D184" s="31" t="s">
        <v>45</v>
      </c>
      <c r="F184" s="32">
        <v>8.4499999999999993</v>
      </c>
      <c r="J184" s="25"/>
    </row>
    <row r="185" spans="1:75" ht="13.5" customHeight="1" x14ac:dyDescent="0.25">
      <c r="A185" s="2" t="s">
        <v>265</v>
      </c>
      <c r="B185" s="3" t="s">
        <v>266</v>
      </c>
      <c r="C185" s="70" t="s">
        <v>267</v>
      </c>
      <c r="D185" s="71"/>
      <c r="E185" s="3" t="s">
        <v>88</v>
      </c>
      <c r="F185" s="26">
        <v>113.25</v>
      </c>
      <c r="G185" s="27">
        <v>0</v>
      </c>
      <c r="H185" s="26">
        <f>F185*G185</f>
        <v>0</v>
      </c>
      <c r="I185" s="28" t="s">
        <v>133</v>
      </c>
      <c r="J185" s="25"/>
      <c r="Z185" s="26">
        <f>IF(AQ185="5",BJ185,0)</f>
        <v>0</v>
      </c>
      <c r="AB185" s="26">
        <f>IF(AQ185="1",BH185,0)</f>
        <v>0</v>
      </c>
      <c r="AC185" s="26">
        <f>IF(AQ185="1",BI185,0)</f>
        <v>0</v>
      </c>
      <c r="AD185" s="26">
        <f>IF(AQ185="7",BH185,0)</f>
        <v>0</v>
      </c>
      <c r="AE185" s="26">
        <f>IF(AQ185="7",BI185,0)</f>
        <v>0</v>
      </c>
      <c r="AF185" s="26">
        <f>IF(AQ185="2",BH185,0)</f>
        <v>0</v>
      </c>
      <c r="AG185" s="26">
        <f>IF(AQ185="2",BI185,0)</f>
        <v>0</v>
      </c>
      <c r="AH185" s="26">
        <f>IF(AQ185="0",BJ185,0)</f>
        <v>0</v>
      </c>
      <c r="AI185" s="11" t="s">
        <v>45</v>
      </c>
      <c r="AJ185" s="26">
        <f>IF(AN185=0,H185,0)</f>
        <v>0</v>
      </c>
      <c r="AK185" s="26">
        <f>IF(AN185=12,H185,0)</f>
        <v>0</v>
      </c>
      <c r="AL185" s="26">
        <f>IF(AN185=21,H185,0)</f>
        <v>0</v>
      </c>
      <c r="AN185" s="26">
        <v>21</v>
      </c>
      <c r="AO185" s="26">
        <f>G185*0</f>
        <v>0</v>
      </c>
      <c r="AP185" s="26">
        <f>G185*(1-0)</f>
        <v>0</v>
      </c>
      <c r="AQ185" s="28" t="s">
        <v>111</v>
      </c>
      <c r="AV185" s="26">
        <f>AW185+AX185</f>
        <v>0</v>
      </c>
      <c r="AW185" s="26">
        <f>F185*AO185</f>
        <v>0</v>
      </c>
      <c r="AX185" s="26">
        <f>F185*AP185</f>
        <v>0</v>
      </c>
      <c r="AY185" s="28" t="s">
        <v>259</v>
      </c>
      <c r="AZ185" s="28" t="s">
        <v>260</v>
      </c>
      <c r="BA185" s="11" t="s">
        <v>55</v>
      </c>
      <c r="BC185" s="26">
        <f>AW185+AX185</f>
        <v>0</v>
      </c>
      <c r="BD185" s="26">
        <f>G185/(100-BE185)*100</f>
        <v>0</v>
      </c>
      <c r="BE185" s="26">
        <v>0</v>
      </c>
      <c r="BF185" s="26">
        <f>185</f>
        <v>185</v>
      </c>
      <c r="BH185" s="26">
        <f>F185*AO185</f>
        <v>0</v>
      </c>
      <c r="BI185" s="26">
        <f>F185*AP185</f>
        <v>0</v>
      </c>
      <c r="BJ185" s="26">
        <f>F185*G185</f>
        <v>0</v>
      </c>
      <c r="BK185" s="26"/>
      <c r="BL185" s="26">
        <v>783</v>
      </c>
      <c r="BW185" s="26">
        <v>21</v>
      </c>
    </row>
    <row r="186" spans="1:75" ht="13.5" customHeight="1" x14ac:dyDescent="0.25">
      <c r="A186" s="29"/>
      <c r="B186" s="30" t="s">
        <v>56</v>
      </c>
      <c r="C186" s="143" t="s">
        <v>268</v>
      </c>
      <c r="D186" s="144"/>
      <c r="E186" s="144"/>
      <c r="F186" s="144"/>
      <c r="G186" s="145"/>
      <c r="H186" s="144"/>
      <c r="I186" s="144"/>
      <c r="J186" s="146"/>
    </row>
    <row r="187" spans="1:75" x14ac:dyDescent="0.25">
      <c r="A187" s="29"/>
      <c r="C187" s="31" t="s">
        <v>269</v>
      </c>
      <c r="D187" s="31" t="s">
        <v>270</v>
      </c>
      <c r="F187" s="32">
        <v>14.4</v>
      </c>
      <c r="J187" s="25"/>
    </row>
    <row r="188" spans="1:75" x14ac:dyDescent="0.25">
      <c r="A188" s="29"/>
      <c r="C188" s="31" t="s">
        <v>271</v>
      </c>
      <c r="D188" s="31" t="s">
        <v>45</v>
      </c>
      <c r="F188" s="32">
        <v>21.45</v>
      </c>
      <c r="J188" s="25"/>
    </row>
    <row r="189" spans="1:75" x14ac:dyDescent="0.25">
      <c r="A189" s="29"/>
      <c r="C189" s="31" t="s">
        <v>272</v>
      </c>
      <c r="D189" s="31" t="s">
        <v>45</v>
      </c>
      <c r="F189" s="32">
        <v>45.2</v>
      </c>
      <c r="J189" s="25"/>
    </row>
    <row r="190" spans="1:75" x14ac:dyDescent="0.25">
      <c r="A190" s="29"/>
      <c r="C190" s="31" t="s">
        <v>273</v>
      </c>
      <c r="D190" s="31" t="s">
        <v>45</v>
      </c>
      <c r="F190" s="32">
        <v>32.200000000000003</v>
      </c>
      <c r="J190" s="25"/>
    </row>
    <row r="191" spans="1:75" ht="13.5" customHeight="1" x14ac:dyDescent="0.25">
      <c r="A191" s="2" t="s">
        <v>274</v>
      </c>
      <c r="B191" s="3" t="s">
        <v>275</v>
      </c>
      <c r="C191" s="70" t="s">
        <v>276</v>
      </c>
      <c r="D191" s="71"/>
      <c r="E191" s="3" t="s">
        <v>88</v>
      </c>
      <c r="F191" s="26">
        <v>44.8</v>
      </c>
      <c r="G191" s="27">
        <v>0</v>
      </c>
      <c r="H191" s="26">
        <f>F191*G191</f>
        <v>0</v>
      </c>
      <c r="I191" s="28" t="s">
        <v>133</v>
      </c>
      <c r="J191" s="25"/>
      <c r="Z191" s="26">
        <f>IF(AQ191="5",BJ191,0)</f>
        <v>0</v>
      </c>
      <c r="AB191" s="26">
        <f>IF(AQ191="1",BH191,0)</f>
        <v>0</v>
      </c>
      <c r="AC191" s="26">
        <f>IF(AQ191="1",BI191,0)</f>
        <v>0</v>
      </c>
      <c r="AD191" s="26">
        <f>IF(AQ191="7",BH191,0)</f>
        <v>0</v>
      </c>
      <c r="AE191" s="26">
        <f>IF(AQ191="7",BI191,0)</f>
        <v>0</v>
      </c>
      <c r="AF191" s="26">
        <f>IF(AQ191="2",BH191,0)</f>
        <v>0</v>
      </c>
      <c r="AG191" s="26">
        <f>IF(AQ191="2",BI191,0)</f>
        <v>0</v>
      </c>
      <c r="AH191" s="26">
        <f>IF(AQ191="0",BJ191,0)</f>
        <v>0</v>
      </c>
      <c r="AI191" s="11" t="s">
        <v>45</v>
      </c>
      <c r="AJ191" s="26">
        <f>IF(AN191=0,H191,0)</f>
        <v>0</v>
      </c>
      <c r="AK191" s="26">
        <f>IF(AN191=12,H191,0)</f>
        <v>0</v>
      </c>
      <c r="AL191" s="26">
        <f>IF(AN191=21,H191,0)</f>
        <v>0</v>
      </c>
      <c r="AN191" s="26">
        <v>21</v>
      </c>
      <c r="AO191" s="26">
        <f>G191*0</f>
        <v>0</v>
      </c>
      <c r="AP191" s="26">
        <f>G191*(1-0)</f>
        <v>0</v>
      </c>
      <c r="AQ191" s="28" t="s">
        <v>111</v>
      </c>
      <c r="AV191" s="26">
        <f>AW191+AX191</f>
        <v>0</v>
      </c>
      <c r="AW191" s="26">
        <f>F191*AO191</f>
        <v>0</v>
      </c>
      <c r="AX191" s="26">
        <f>F191*AP191</f>
        <v>0</v>
      </c>
      <c r="AY191" s="28" t="s">
        <v>259</v>
      </c>
      <c r="AZ191" s="28" t="s">
        <v>260</v>
      </c>
      <c r="BA191" s="11" t="s">
        <v>55</v>
      </c>
      <c r="BC191" s="26">
        <f>AW191+AX191</f>
        <v>0</v>
      </c>
      <c r="BD191" s="26">
        <f>G191/(100-BE191)*100</f>
        <v>0</v>
      </c>
      <c r="BE191" s="26">
        <v>0</v>
      </c>
      <c r="BF191" s="26">
        <f>191</f>
        <v>191</v>
      </c>
      <c r="BH191" s="26">
        <f>F191*AO191</f>
        <v>0</v>
      </c>
      <c r="BI191" s="26">
        <f>F191*AP191</f>
        <v>0</v>
      </c>
      <c r="BJ191" s="26">
        <f>F191*G191</f>
        <v>0</v>
      </c>
      <c r="BK191" s="26"/>
      <c r="BL191" s="26">
        <v>783</v>
      </c>
      <c r="BW191" s="26">
        <v>21</v>
      </c>
    </row>
    <row r="192" spans="1:75" ht="13.5" customHeight="1" x14ac:dyDescent="0.25">
      <c r="A192" s="29"/>
      <c r="B192" s="30" t="s">
        <v>56</v>
      </c>
      <c r="C192" s="143" t="s">
        <v>277</v>
      </c>
      <c r="D192" s="144"/>
      <c r="E192" s="144"/>
      <c r="F192" s="144"/>
      <c r="G192" s="145"/>
      <c r="H192" s="144"/>
      <c r="I192" s="144"/>
      <c r="J192" s="146"/>
    </row>
    <row r="193" spans="1:75" x14ac:dyDescent="0.25">
      <c r="A193" s="29"/>
      <c r="C193" s="31" t="s">
        <v>278</v>
      </c>
      <c r="D193" s="31" t="s">
        <v>45</v>
      </c>
      <c r="F193" s="32">
        <v>14.8</v>
      </c>
      <c r="J193" s="25"/>
    </row>
    <row r="194" spans="1:75" x14ac:dyDescent="0.25">
      <c r="A194" s="29"/>
      <c r="C194" s="31" t="s">
        <v>279</v>
      </c>
      <c r="D194" s="31" t="s">
        <v>45</v>
      </c>
      <c r="F194" s="32">
        <v>7.2</v>
      </c>
      <c r="J194" s="25"/>
    </row>
    <row r="195" spans="1:75" x14ac:dyDescent="0.25">
      <c r="A195" s="29"/>
      <c r="C195" s="31" t="s">
        <v>280</v>
      </c>
      <c r="D195" s="31" t="s">
        <v>45</v>
      </c>
      <c r="F195" s="32">
        <v>7.25</v>
      </c>
      <c r="J195" s="25"/>
    </row>
    <row r="196" spans="1:75" x14ac:dyDescent="0.25">
      <c r="A196" s="29"/>
      <c r="C196" s="31" t="s">
        <v>281</v>
      </c>
      <c r="D196" s="31" t="s">
        <v>45</v>
      </c>
      <c r="F196" s="32">
        <v>15.55</v>
      </c>
      <c r="J196" s="25"/>
    </row>
    <row r="197" spans="1:75" x14ac:dyDescent="0.25">
      <c r="A197" s="33" t="s">
        <v>45</v>
      </c>
      <c r="B197" s="34" t="s">
        <v>282</v>
      </c>
      <c r="C197" s="141" t="s">
        <v>283</v>
      </c>
      <c r="D197" s="142"/>
      <c r="E197" s="35" t="s">
        <v>4</v>
      </c>
      <c r="F197" s="35" t="s">
        <v>4</v>
      </c>
      <c r="G197" s="36" t="s">
        <v>4</v>
      </c>
      <c r="H197" s="1">
        <f>SUM(H198:H198)</f>
        <v>0</v>
      </c>
      <c r="I197" s="11" t="s">
        <v>45</v>
      </c>
      <c r="J197" s="25"/>
      <c r="AI197" s="11" t="s">
        <v>45</v>
      </c>
      <c r="AS197" s="1">
        <f>SUM(AJ198:AJ198)</f>
        <v>0</v>
      </c>
      <c r="AT197" s="1">
        <f>SUM(AK198:AK198)</f>
        <v>0</v>
      </c>
      <c r="AU197" s="1">
        <f>SUM(AL198:AL198)</f>
        <v>0</v>
      </c>
    </row>
    <row r="198" spans="1:75" ht="13.5" customHeight="1" x14ac:dyDescent="0.25">
      <c r="A198" s="2" t="s">
        <v>284</v>
      </c>
      <c r="B198" s="3" t="s">
        <v>285</v>
      </c>
      <c r="C198" s="70" t="s">
        <v>286</v>
      </c>
      <c r="D198" s="71"/>
      <c r="E198" s="3" t="s">
        <v>51</v>
      </c>
      <c r="F198" s="26">
        <v>60</v>
      </c>
      <c r="G198" s="27">
        <v>0</v>
      </c>
      <c r="H198" s="26">
        <f>F198*G198</f>
        <v>0</v>
      </c>
      <c r="I198" s="28" t="s">
        <v>52</v>
      </c>
      <c r="J198" s="25"/>
      <c r="Z198" s="26">
        <f>IF(AQ198="5",BJ198,0)</f>
        <v>0</v>
      </c>
      <c r="AB198" s="26">
        <f>IF(AQ198="1",BH198,0)</f>
        <v>0</v>
      </c>
      <c r="AC198" s="26">
        <f>IF(AQ198="1",BI198,0)</f>
        <v>0</v>
      </c>
      <c r="AD198" s="26">
        <f>IF(AQ198="7",BH198,0)</f>
        <v>0</v>
      </c>
      <c r="AE198" s="26">
        <f>IF(AQ198="7",BI198,0)</f>
        <v>0</v>
      </c>
      <c r="AF198" s="26">
        <f>IF(AQ198="2",BH198,0)</f>
        <v>0</v>
      </c>
      <c r="AG198" s="26">
        <f>IF(AQ198="2",BI198,0)</f>
        <v>0</v>
      </c>
      <c r="AH198" s="26">
        <f>IF(AQ198="0",BJ198,0)</f>
        <v>0</v>
      </c>
      <c r="AI198" s="11" t="s">
        <v>45</v>
      </c>
      <c r="AJ198" s="26">
        <f>IF(AN198=0,H198,0)</f>
        <v>0</v>
      </c>
      <c r="AK198" s="26">
        <f>IF(AN198=12,H198,0)</f>
        <v>0</v>
      </c>
      <c r="AL198" s="26">
        <f>IF(AN198=21,H198,0)</f>
        <v>0</v>
      </c>
      <c r="AN198" s="26">
        <v>21</v>
      </c>
      <c r="AO198" s="26">
        <f>G198*0.266706444</f>
        <v>0</v>
      </c>
      <c r="AP198" s="26">
        <f>G198*(1-0.266706444)</f>
        <v>0</v>
      </c>
      <c r="AQ198" s="28" t="s">
        <v>111</v>
      </c>
      <c r="AV198" s="26">
        <f>AW198+AX198</f>
        <v>0</v>
      </c>
      <c r="AW198" s="26">
        <f>F198*AO198</f>
        <v>0</v>
      </c>
      <c r="AX198" s="26">
        <f>F198*AP198</f>
        <v>0</v>
      </c>
      <c r="AY198" s="28" t="s">
        <v>287</v>
      </c>
      <c r="AZ198" s="28" t="s">
        <v>260</v>
      </c>
      <c r="BA198" s="11" t="s">
        <v>55</v>
      </c>
      <c r="BC198" s="26">
        <f>AW198+AX198</f>
        <v>0</v>
      </c>
      <c r="BD198" s="26">
        <f>G198/(100-BE198)*100</f>
        <v>0</v>
      </c>
      <c r="BE198" s="26">
        <v>0</v>
      </c>
      <c r="BF198" s="26">
        <f>198</f>
        <v>198</v>
      </c>
      <c r="BH198" s="26">
        <f>F198*AO198</f>
        <v>0</v>
      </c>
      <c r="BI198" s="26">
        <f>F198*AP198</f>
        <v>0</v>
      </c>
      <c r="BJ198" s="26">
        <f>F198*G198</f>
        <v>0</v>
      </c>
      <c r="BK198" s="26"/>
      <c r="BL198" s="26">
        <v>784</v>
      </c>
      <c r="BW198" s="26">
        <v>21</v>
      </c>
    </row>
    <row r="199" spans="1:75" x14ac:dyDescent="0.25">
      <c r="A199" s="29"/>
      <c r="C199" s="31" t="s">
        <v>288</v>
      </c>
      <c r="D199" s="31" t="s">
        <v>45</v>
      </c>
      <c r="F199" s="32">
        <v>60</v>
      </c>
      <c r="J199" s="25"/>
    </row>
    <row r="200" spans="1:75" x14ac:dyDescent="0.25">
      <c r="A200" s="33" t="s">
        <v>45</v>
      </c>
      <c r="B200" s="34" t="s">
        <v>289</v>
      </c>
      <c r="C200" s="141" t="s">
        <v>290</v>
      </c>
      <c r="D200" s="142"/>
      <c r="E200" s="35" t="s">
        <v>4</v>
      </c>
      <c r="F200" s="35" t="s">
        <v>4</v>
      </c>
      <c r="G200" s="36" t="s">
        <v>4</v>
      </c>
      <c r="H200" s="1">
        <f>SUM(H201:H201)</f>
        <v>0</v>
      </c>
      <c r="I200" s="11" t="s">
        <v>45</v>
      </c>
      <c r="J200" s="25"/>
      <c r="AI200" s="11" t="s">
        <v>45</v>
      </c>
      <c r="AS200" s="1">
        <f>SUM(AJ201:AJ201)</f>
        <v>0</v>
      </c>
      <c r="AT200" s="1">
        <f>SUM(AK201:AK201)</f>
        <v>0</v>
      </c>
      <c r="AU200" s="1">
        <f>SUM(AL201:AL201)</f>
        <v>0</v>
      </c>
    </row>
    <row r="201" spans="1:75" ht="13.5" customHeight="1" x14ac:dyDescent="0.25">
      <c r="A201" s="2" t="s">
        <v>291</v>
      </c>
      <c r="B201" s="3" t="s">
        <v>292</v>
      </c>
      <c r="C201" s="70" t="s">
        <v>293</v>
      </c>
      <c r="D201" s="71"/>
      <c r="E201" s="3" t="s">
        <v>294</v>
      </c>
      <c r="F201" s="26">
        <v>10</v>
      </c>
      <c r="G201" s="27">
        <v>0</v>
      </c>
      <c r="H201" s="26">
        <f>F201*G201</f>
        <v>0</v>
      </c>
      <c r="I201" s="28" t="s">
        <v>52</v>
      </c>
      <c r="J201" s="25"/>
      <c r="Z201" s="26">
        <f>IF(AQ201="5",BJ201,0)</f>
        <v>0</v>
      </c>
      <c r="AB201" s="26">
        <f>IF(AQ201="1",BH201,0)</f>
        <v>0</v>
      </c>
      <c r="AC201" s="26">
        <f>IF(AQ201="1",BI201,0)</f>
        <v>0</v>
      </c>
      <c r="AD201" s="26">
        <f>IF(AQ201="7",BH201,0)</f>
        <v>0</v>
      </c>
      <c r="AE201" s="26">
        <f>IF(AQ201="7",BI201,0)</f>
        <v>0</v>
      </c>
      <c r="AF201" s="26">
        <f>IF(AQ201="2",BH201,0)</f>
        <v>0</v>
      </c>
      <c r="AG201" s="26">
        <f>IF(AQ201="2",BI201,0)</f>
        <v>0</v>
      </c>
      <c r="AH201" s="26">
        <f>IF(AQ201="0",BJ201,0)</f>
        <v>0</v>
      </c>
      <c r="AI201" s="11" t="s">
        <v>45</v>
      </c>
      <c r="AJ201" s="26">
        <f>IF(AN201=0,H201,0)</f>
        <v>0</v>
      </c>
      <c r="AK201" s="26">
        <f>IF(AN201=12,H201,0)</f>
        <v>0</v>
      </c>
      <c r="AL201" s="26">
        <f>IF(AN201=21,H201,0)</f>
        <v>0</v>
      </c>
      <c r="AN201" s="26">
        <v>21</v>
      </c>
      <c r="AO201" s="26">
        <f>G201*0</f>
        <v>0</v>
      </c>
      <c r="AP201" s="26">
        <f>G201*(1-0)</f>
        <v>0</v>
      </c>
      <c r="AQ201" s="28" t="s">
        <v>48</v>
      </c>
      <c r="AV201" s="26">
        <f>AW201+AX201</f>
        <v>0</v>
      </c>
      <c r="AW201" s="26">
        <f>F201*AO201</f>
        <v>0</v>
      </c>
      <c r="AX201" s="26">
        <f>F201*AP201</f>
        <v>0</v>
      </c>
      <c r="AY201" s="28" t="s">
        <v>295</v>
      </c>
      <c r="AZ201" s="28" t="s">
        <v>296</v>
      </c>
      <c r="BA201" s="11" t="s">
        <v>55</v>
      </c>
      <c r="BC201" s="26">
        <f>AW201+AX201</f>
        <v>0</v>
      </c>
      <c r="BD201" s="26">
        <f>G201/(100-BE201)*100</f>
        <v>0</v>
      </c>
      <c r="BE201" s="26">
        <v>0</v>
      </c>
      <c r="BF201" s="26">
        <f>201</f>
        <v>201</v>
      </c>
      <c r="BH201" s="26">
        <f>F201*AO201</f>
        <v>0</v>
      </c>
      <c r="BI201" s="26">
        <f>F201*AP201</f>
        <v>0</v>
      </c>
      <c r="BJ201" s="26">
        <f>F201*G201</f>
        <v>0</v>
      </c>
      <c r="BK201" s="26"/>
      <c r="BL201" s="26">
        <v>90</v>
      </c>
      <c r="BW201" s="26">
        <v>21</v>
      </c>
    </row>
    <row r="202" spans="1:75" x14ac:dyDescent="0.25">
      <c r="A202" s="29"/>
      <c r="C202" s="31" t="s">
        <v>138</v>
      </c>
      <c r="D202" s="31" t="s">
        <v>297</v>
      </c>
      <c r="F202" s="32">
        <v>10</v>
      </c>
      <c r="J202" s="25"/>
    </row>
    <row r="203" spans="1:75" x14ac:dyDescent="0.25">
      <c r="A203" s="33" t="s">
        <v>45</v>
      </c>
      <c r="B203" s="34" t="s">
        <v>298</v>
      </c>
      <c r="C203" s="141" t="s">
        <v>299</v>
      </c>
      <c r="D203" s="142"/>
      <c r="E203" s="35" t="s">
        <v>4</v>
      </c>
      <c r="F203" s="35" t="s">
        <v>4</v>
      </c>
      <c r="G203" s="36" t="s">
        <v>4</v>
      </c>
      <c r="H203" s="1">
        <f>SUM(H204:H226)</f>
        <v>0</v>
      </c>
      <c r="I203" s="11" t="s">
        <v>45</v>
      </c>
      <c r="J203" s="25"/>
      <c r="AI203" s="11" t="s">
        <v>45</v>
      </c>
      <c r="AS203" s="1">
        <f>SUM(AJ204:AJ226)</f>
        <v>0</v>
      </c>
      <c r="AT203" s="1">
        <f>SUM(AK204:AK226)</f>
        <v>0</v>
      </c>
      <c r="AU203" s="1">
        <f>SUM(AL204:AL226)</f>
        <v>0</v>
      </c>
    </row>
    <row r="204" spans="1:75" ht="13.5" customHeight="1" x14ac:dyDescent="0.25">
      <c r="A204" s="2" t="s">
        <v>300</v>
      </c>
      <c r="B204" s="3" t="s">
        <v>301</v>
      </c>
      <c r="C204" s="70" t="s">
        <v>302</v>
      </c>
      <c r="D204" s="71"/>
      <c r="E204" s="3" t="s">
        <v>51</v>
      </c>
      <c r="F204" s="26">
        <v>120</v>
      </c>
      <c r="G204" s="27">
        <v>0</v>
      </c>
      <c r="H204" s="26">
        <f>F204*G204</f>
        <v>0</v>
      </c>
      <c r="I204" s="28" t="s">
        <v>52</v>
      </c>
      <c r="J204" s="25"/>
      <c r="Z204" s="26">
        <f>IF(AQ204="5",BJ204,0)</f>
        <v>0</v>
      </c>
      <c r="AB204" s="26">
        <f>IF(AQ204="1",BH204,0)</f>
        <v>0</v>
      </c>
      <c r="AC204" s="26">
        <f>IF(AQ204="1",BI204,0)</f>
        <v>0</v>
      </c>
      <c r="AD204" s="26">
        <f>IF(AQ204="7",BH204,0)</f>
        <v>0</v>
      </c>
      <c r="AE204" s="26">
        <f>IF(AQ204="7",BI204,0)</f>
        <v>0</v>
      </c>
      <c r="AF204" s="26">
        <f>IF(AQ204="2",BH204,0)</f>
        <v>0</v>
      </c>
      <c r="AG204" s="26">
        <f>IF(AQ204="2",BI204,0)</f>
        <v>0</v>
      </c>
      <c r="AH204" s="26">
        <f>IF(AQ204="0",BJ204,0)</f>
        <v>0</v>
      </c>
      <c r="AI204" s="11" t="s">
        <v>45</v>
      </c>
      <c r="AJ204" s="26">
        <f>IF(AN204=0,H204,0)</f>
        <v>0</v>
      </c>
      <c r="AK204" s="26">
        <f>IF(AN204=12,H204,0)</f>
        <v>0</v>
      </c>
      <c r="AL204" s="26">
        <f>IF(AN204=21,H204,0)</f>
        <v>0</v>
      </c>
      <c r="AN204" s="26">
        <v>21</v>
      </c>
      <c r="AO204" s="26">
        <f>G204*0.00011274</f>
        <v>0</v>
      </c>
      <c r="AP204" s="26">
        <f>G204*(1-0.00011274)</f>
        <v>0</v>
      </c>
      <c r="AQ204" s="28" t="s">
        <v>48</v>
      </c>
      <c r="AV204" s="26">
        <f>AW204+AX204</f>
        <v>0</v>
      </c>
      <c r="AW204" s="26">
        <f>F204*AO204</f>
        <v>0</v>
      </c>
      <c r="AX204" s="26">
        <f>F204*AP204</f>
        <v>0</v>
      </c>
      <c r="AY204" s="28" t="s">
        <v>303</v>
      </c>
      <c r="AZ204" s="28" t="s">
        <v>296</v>
      </c>
      <c r="BA204" s="11" t="s">
        <v>55</v>
      </c>
      <c r="BC204" s="26">
        <f>AW204+AX204</f>
        <v>0</v>
      </c>
      <c r="BD204" s="26">
        <f>G204/(100-BE204)*100</f>
        <v>0</v>
      </c>
      <c r="BE204" s="26">
        <v>0</v>
      </c>
      <c r="BF204" s="26">
        <f>204</f>
        <v>204</v>
      </c>
      <c r="BH204" s="26">
        <f>F204*AO204</f>
        <v>0</v>
      </c>
      <c r="BI204" s="26">
        <f>F204*AP204</f>
        <v>0</v>
      </c>
      <c r="BJ204" s="26">
        <f>F204*G204</f>
        <v>0</v>
      </c>
      <c r="BK204" s="26"/>
      <c r="BL204" s="26">
        <v>94</v>
      </c>
      <c r="BW204" s="26">
        <v>21</v>
      </c>
    </row>
    <row r="205" spans="1:75" x14ac:dyDescent="0.25">
      <c r="A205" s="29"/>
      <c r="C205" s="31" t="s">
        <v>304</v>
      </c>
      <c r="D205" s="31" t="s">
        <v>305</v>
      </c>
      <c r="F205" s="32">
        <v>120</v>
      </c>
      <c r="J205" s="25"/>
    </row>
    <row r="206" spans="1:75" ht="13.5" customHeight="1" x14ac:dyDescent="0.25">
      <c r="A206" s="2" t="s">
        <v>306</v>
      </c>
      <c r="B206" s="3" t="s">
        <v>307</v>
      </c>
      <c r="C206" s="70" t="s">
        <v>308</v>
      </c>
      <c r="D206" s="71"/>
      <c r="E206" s="3" t="s">
        <v>51</v>
      </c>
      <c r="F206" s="26">
        <v>120</v>
      </c>
      <c r="G206" s="27">
        <v>0</v>
      </c>
      <c r="H206" s="26">
        <f>F206*G206</f>
        <v>0</v>
      </c>
      <c r="I206" s="28" t="s">
        <v>52</v>
      </c>
      <c r="J206" s="25"/>
      <c r="Z206" s="26">
        <f>IF(AQ206="5",BJ206,0)</f>
        <v>0</v>
      </c>
      <c r="AB206" s="26">
        <f>IF(AQ206="1",BH206,0)</f>
        <v>0</v>
      </c>
      <c r="AC206" s="26">
        <f>IF(AQ206="1",BI206,0)</f>
        <v>0</v>
      </c>
      <c r="AD206" s="26">
        <f>IF(AQ206="7",BH206,0)</f>
        <v>0</v>
      </c>
      <c r="AE206" s="26">
        <f>IF(AQ206="7",BI206,0)</f>
        <v>0</v>
      </c>
      <c r="AF206" s="26">
        <f>IF(AQ206="2",BH206,0)</f>
        <v>0</v>
      </c>
      <c r="AG206" s="26">
        <f>IF(AQ206="2",BI206,0)</f>
        <v>0</v>
      </c>
      <c r="AH206" s="26">
        <f>IF(AQ206="0",BJ206,0)</f>
        <v>0</v>
      </c>
      <c r="AI206" s="11" t="s">
        <v>45</v>
      </c>
      <c r="AJ206" s="26">
        <f>IF(AN206=0,H206,0)</f>
        <v>0</v>
      </c>
      <c r="AK206" s="26">
        <f>IF(AN206=12,H206,0)</f>
        <v>0</v>
      </c>
      <c r="AL206" s="26">
        <f>IF(AN206=21,H206,0)</f>
        <v>0</v>
      </c>
      <c r="AN206" s="26">
        <v>21</v>
      </c>
      <c r="AO206" s="26">
        <f>G206*0.943106457</f>
        <v>0</v>
      </c>
      <c r="AP206" s="26">
        <f>G206*(1-0.943106457)</f>
        <v>0</v>
      </c>
      <c r="AQ206" s="28" t="s">
        <v>48</v>
      </c>
      <c r="AV206" s="26">
        <f>AW206+AX206</f>
        <v>0</v>
      </c>
      <c r="AW206" s="26">
        <f>F206*AO206</f>
        <v>0</v>
      </c>
      <c r="AX206" s="26">
        <f>F206*AP206</f>
        <v>0</v>
      </c>
      <c r="AY206" s="28" t="s">
        <v>303</v>
      </c>
      <c r="AZ206" s="28" t="s">
        <v>296</v>
      </c>
      <c r="BA206" s="11" t="s">
        <v>55</v>
      </c>
      <c r="BC206" s="26">
        <f>AW206+AX206</f>
        <v>0</v>
      </c>
      <c r="BD206" s="26">
        <f>G206/(100-BE206)*100</f>
        <v>0</v>
      </c>
      <c r="BE206" s="26">
        <v>0</v>
      </c>
      <c r="BF206" s="26">
        <f>206</f>
        <v>206</v>
      </c>
      <c r="BH206" s="26">
        <f>F206*AO206</f>
        <v>0</v>
      </c>
      <c r="BI206" s="26">
        <f>F206*AP206</f>
        <v>0</v>
      </c>
      <c r="BJ206" s="26">
        <f>F206*G206</f>
        <v>0</v>
      </c>
      <c r="BK206" s="26"/>
      <c r="BL206" s="26">
        <v>94</v>
      </c>
      <c r="BW206" s="26">
        <v>21</v>
      </c>
    </row>
    <row r="207" spans="1:75" x14ac:dyDescent="0.25">
      <c r="A207" s="29"/>
      <c r="C207" s="31" t="s">
        <v>304</v>
      </c>
      <c r="D207" s="31" t="s">
        <v>45</v>
      </c>
      <c r="F207" s="32">
        <v>120</v>
      </c>
      <c r="J207" s="25"/>
    </row>
    <row r="208" spans="1:75" ht="13.5" customHeight="1" x14ac:dyDescent="0.25">
      <c r="A208" s="2" t="s">
        <v>309</v>
      </c>
      <c r="B208" s="3" t="s">
        <v>310</v>
      </c>
      <c r="C208" s="70" t="s">
        <v>311</v>
      </c>
      <c r="D208" s="71"/>
      <c r="E208" s="3" t="s">
        <v>51</v>
      </c>
      <c r="F208" s="26">
        <v>120</v>
      </c>
      <c r="G208" s="27">
        <v>0</v>
      </c>
      <c r="H208" s="26">
        <f>F208*G208</f>
        <v>0</v>
      </c>
      <c r="I208" s="28" t="s">
        <v>52</v>
      </c>
      <c r="J208" s="25"/>
      <c r="Z208" s="26">
        <f>IF(AQ208="5",BJ208,0)</f>
        <v>0</v>
      </c>
      <c r="AB208" s="26">
        <f>IF(AQ208="1",BH208,0)</f>
        <v>0</v>
      </c>
      <c r="AC208" s="26">
        <f>IF(AQ208="1",BI208,0)</f>
        <v>0</v>
      </c>
      <c r="AD208" s="26">
        <f>IF(AQ208="7",BH208,0)</f>
        <v>0</v>
      </c>
      <c r="AE208" s="26">
        <f>IF(AQ208="7",BI208,0)</f>
        <v>0</v>
      </c>
      <c r="AF208" s="26">
        <f>IF(AQ208="2",BH208,0)</f>
        <v>0</v>
      </c>
      <c r="AG208" s="26">
        <f>IF(AQ208="2",BI208,0)</f>
        <v>0</v>
      </c>
      <c r="AH208" s="26">
        <f>IF(AQ208="0",BJ208,0)</f>
        <v>0</v>
      </c>
      <c r="AI208" s="11" t="s">
        <v>45</v>
      </c>
      <c r="AJ208" s="26">
        <f>IF(AN208=0,H208,0)</f>
        <v>0</v>
      </c>
      <c r="AK208" s="26">
        <f>IF(AN208=12,H208,0)</f>
        <v>0</v>
      </c>
      <c r="AL208" s="26">
        <f>IF(AN208=21,H208,0)</f>
        <v>0</v>
      </c>
      <c r="AN208" s="26">
        <v>21</v>
      </c>
      <c r="AO208" s="26">
        <f>G208*0</f>
        <v>0</v>
      </c>
      <c r="AP208" s="26">
        <f>G208*(1-0)</f>
        <v>0</v>
      </c>
      <c r="AQ208" s="28" t="s">
        <v>48</v>
      </c>
      <c r="AV208" s="26">
        <f>AW208+AX208</f>
        <v>0</v>
      </c>
      <c r="AW208" s="26">
        <f>F208*AO208</f>
        <v>0</v>
      </c>
      <c r="AX208" s="26">
        <f>F208*AP208</f>
        <v>0</v>
      </c>
      <c r="AY208" s="28" t="s">
        <v>303</v>
      </c>
      <c r="AZ208" s="28" t="s">
        <v>296</v>
      </c>
      <c r="BA208" s="11" t="s">
        <v>55</v>
      </c>
      <c r="BC208" s="26">
        <f>AW208+AX208</f>
        <v>0</v>
      </c>
      <c r="BD208" s="26">
        <f>G208/(100-BE208)*100</f>
        <v>0</v>
      </c>
      <c r="BE208" s="26">
        <v>0</v>
      </c>
      <c r="BF208" s="26">
        <f>208</f>
        <v>208</v>
      </c>
      <c r="BH208" s="26">
        <f>F208*AO208</f>
        <v>0</v>
      </c>
      <c r="BI208" s="26">
        <f>F208*AP208</f>
        <v>0</v>
      </c>
      <c r="BJ208" s="26">
        <f>F208*G208</f>
        <v>0</v>
      </c>
      <c r="BK208" s="26"/>
      <c r="BL208" s="26">
        <v>94</v>
      </c>
      <c r="BW208" s="26">
        <v>21</v>
      </c>
    </row>
    <row r="209" spans="1:75" x14ac:dyDescent="0.25">
      <c r="A209" s="29"/>
      <c r="C209" s="31" t="s">
        <v>304</v>
      </c>
      <c r="D209" s="31" t="s">
        <v>45</v>
      </c>
      <c r="F209" s="32">
        <v>120</v>
      </c>
      <c r="J209" s="25"/>
    </row>
    <row r="210" spans="1:75" ht="13.5" customHeight="1" x14ac:dyDescent="0.25">
      <c r="A210" s="2" t="s">
        <v>312</v>
      </c>
      <c r="B210" s="3" t="s">
        <v>313</v>
      </c>
      <c r="C210" s="70" t="s">
        <v>314</v>
      </c>
      <c r="D210" s="71"/>
      <c r="E210" s="3" t="s">
        <v>51</v>
      </c>
      <c r="F210" s="26">
        <v>120</v>
      </c>
      <c r="G210" s="27">
        <v>0</v>
      </c>
      <c r="H210" s="26">
        <f>F210*G210</f>
        <v>0</v>
      </c>
      <c r="I210" s="28" t="s">
        <v>52</v>
      </c>
      <c r="J210" s="25"/>
      <c r="Z210" s="26">
        <f>IF(AQ210="5",BJ210,0)</f>
        <v>0</v>
      </c>
      <c r="AB210" s="26">
        <f>IF(AQ210="1",BH210,0)</f>
        <v>0</v>
      </c>
      <c r="AC210" s="26">
        <f>IF(AQ210="1",BI210,0)</f>
        <v>0</v>
      </c>
      <c r="AD210" s="26">
        <f>IF(AQ210="7",BH210,0)</f>
        <v>0</v>
      </c>
      <c r="AE210" s="26">
        <f>IF(AQ210="7",BI210,0)</f>
        <v>0</v>
      </c>
      <c r="AF210" s="26">
        <f>IF(AQ210="2",BH210,0)</f>
        <v>0</v>
      </c>
      <c r="AG210" s="26">
        <f>IF(AQ210="2",BI210,0)</f>
        <v>0</v>
      </c>
      <c r="AH210" s="26">
        <f>IF(AQ210="0",BJ210,0)</f>
        <v>0</v>
      </c>
      <c r="AI210" s="11" t="s">
        <v>45</v>
      </c>
      <c r="AJ210" s="26">
        <f>IF(AN210=0,H210,0)</f>
        <v>0</v>
      </c>
      <c r="AK210" s="26">
        <f>IF(AN210=12,H210,0)</f>
        <v>0</v>
      </c>
      <c r="AL210" s="26">
        <f>IF(AN210=21,H210,0)</f>
        <v>0</v>
      </c>
      <c r="AN210" s="26">
        <v>21</v>
      </c>
      <c r="AO210" s="26">
        <f>G210*0</f>
        <v>0</v>
      </c>
      <c r="AP210" s="26">
        <f>G210*(1-0)</f>
        <v>0</v>
      </c>
      <c r="AQ210" s="28" t="s">
        <v>48</v>
      </c>
      <c r="AV210" s="26">
        <f>AW210+AX210</f>
        <v>0</v>
      </c>
      <c r="AW210" s="26">
        <f>F210*AO210</f>
        <v>0</v>
      </c>
      <c r="AX210" s="26">
        <f>F210*AP210</f>
        <v>0</v>
      </c>
      <c r="AY210" s="28" t="s">
        <v>303</v>
      </c>
      <c r="AZ210" s="28" t="s">
        <v>296</v>
      </c>
      <c r="BA210" s="11" t="s">
        <v>55</v>
      </c>
      <c r="BC210" s="26">
        <f>AW210+AX210</f>
        <v>0</v>
      </c>
      <c r="BD210" s="26">
        <f>G210/(100-BE210)*100</f>
        <v>0</v>
      </c>
      <c r="BE210" s="26">
        <v>0</v>
      </c>
      <c r="BF210" s="26">
        <f>210</f>
        <v>210</v>
      </c>
      <c r="BH210" s="26">
        <f>F210*AO210</f>
        <v>0</v>
      </c>
      <c r="BI210" s="26">
        <f>F210*AP210</f>
        <v>0</v>
      </c>
      <c r="BJ210" s="26">
        <f>F210*G210</f>
        <v>0</v>
      </c>
      <c r="BK210" s="26"/>
      <c r="BL210" s="26">
        <v>94</v>
      </c>
      <c r="BW210" s="26">
        <v>21</v>
      </c>
    </row>
    <row r="211" spans="1:75" x14ac:dyDescent="0.25">
      <c r="A211" s="29"/>
      <c r="C211" s="31" t="s">
        <v>304</v>
      </c>
      <c r="D211" s="31" t="s">
        <v>45</v>
      </c>
      <c r="F211" s="32">
        <v>120</v>
      </c>
      <c r="J211" s="25"/>
    </row>
    <row r="212" spans="1:75" ht="13.5" customHeight="1" x14ac:dyDescent="0.25">
      <c r="A212" s="2" t="s">
        <v>315</v>
      </c>
      <c r="B212" s="3" t="s">
        <v>316</v>
      </c>
      <c r="C212" s="70" t="s">
        <v>317</v>
      </c>
      <c r="D212" s="71"/>
      <c r="E212" s="3" t="s">
        <v>51</v>
      </c>
      <c r="F212" s="26">
        <v>120</v>
      </c>
      <c r="G212" s="27">
        <v>0</v>
      </c>
      <c r="H212" s="26">
        <f>F212*G212</f>
        <v>0</v>
      </c>
      <c r="I212" s="28" t="s">
        <v>52</v>
      </c>
      <c r="J212" s="25"/>
      <c r="Z212" s="26">
        <f>IF(AQ212="5",BJ212,0)</f>
        <v>0</v>
      </c>
      <c r="AB212" s="26">
        <f>IF(AQ212="1",BH212,0)</f>
        <v>0</v>
      </c>
      <c r="AC212" s="26">
        <f>IF(AQ212="1",BI212,0)</f>
        <v>0</v>
      </c>
      <c r="AD212" s="26">
        <f>IF(AQ212="7",BH212,0)</f>
        <v>0</v>
      </c>
      <c r="AE212" s="26">
        <f>IF(AQ212="7",BI212,0)</f>
        <v>0</v>
      </c>
      <c r="AF212" s="26">
        <f>IF(AQ212="2",BH212,0)</f>
        <v>0</v>
      </c>
      <c r="AG212" s="26">
        <f>IF(AQ212="2",BI212,0)</f>
        <v>0</v>
      </c>
      <c r="AH212" s="26">
        <f>IF(AQ212="0",BJ212,0)</f>
        <v>0</v>
      </c>
      <c r="AI212" s="11" t="s">
        <v>45</v>
      </c>
      <c r="AJ212" s="26">
        <f>IF(AN212=0,H212,0)</f>
        <v>0</v>
      </c>
      <c r="AK212" s="26">
        <f>IF(AN212=12,H212,0)</f>
        <v>0</v>
      </c>
      <c r="AL212" s="26">
        <f>IF(AN212=21,H212,0)</f>
        <v>0</v>
      </c>
      <c r="AN212" s="26">
        <v>21</v>
      </c>
      <c r="AO212" s="26">
        <f>G212*1</f>
        <v>0</v>
      </c>
      <c r="AP212" s="26">
        <f>G212*(1-1)</f>
        <v>0</v>
      </c>
      <c r="AQ212" s="28" t="s">
        <v>48</v>
      </c>
      <c r="AV212" s="26">
        <f>AW212+AX212</f>
        <v>0</v>
      </c>
      <c r="AW212" s="26">
        <f>F212*AO212</f>
        <v>0</v>
      </c>
      <c r="AX212" s="26">
        <f>F212*AP212</f>
        <v>0</v>
      </c>
      <c r="AY212" s="28" t="s">
        <v>303</v>
      </c>
      <c r="AZ212" s="28" t="s">
        <v>296</v>
      </c>
      <c r="BA212" s="11" t="s">
        <v>55</v>
      </c>
      <c r="BC212" s="26">
        <f>AW212+AX212</f>
        <v>0</v>
      </c>
      <c r="BD212" s="26">
        <f>G212/(100-BE212)*100</f>
        <v>0</v>
      </c>
      <c r="BE212" s="26">
        <v>0</v>
      </c>
      <c r="BF212" s="26">
        <f>212</f>
        <v>212</v>
      </c>
      <c r="BH212" s="26">
        <f>F212*AO212</f>
        <v>0</v>
      </c>
      <c r="BI212" s="26">
        <f>F212*AP212</f>
        <v>0</v>
      </c>
      <c r="BJ212" s="26">
        <f>F212*G212</f>
        <v>0</v>
      </c>
      <c r="BK212" s="26"/>
      <c r="BL212" s="26">
        <v>94</v>
      </c>
      <c r="BW212" s="26">
        <v>21</v>
      </c>
    </row>
    <row r="213" spans="1:75" x14ac:dyDescent="0.25">
      <c r="A213" s="29"/>
      <c r="C213" s="31" t="s">
        <v>304</v>
      </c>
      <c r="D213" s="31" t="s">
        <v>45</v>
      </c>
      <c r="F213" s="32">
        <v>120</v>
      </c>
      <c r="J213" s="25"/>
    </row>
    <row r="214" spans="1:75" ht="13.5" customHeight="1" x14ac:dyDescent="0.25">
      <c r="A214" s="2" t="s">
        <v>318</v>
      </c>
      <c r="B214" s="3" t="s">
        <v>319</v>
      </c>
      <c r="C214" s="70" t="s">
        <v>320</v>
      </c>
      <c r="D214" s="71"/>
      <c r="E214" s="3" t="s">
        <v>88</v>
      </c>
      <c r="F214" s="26">
        <v>45</v>
      </c>
      <c r="G214" s="27">
        <v>0</v>
      </c>
      <c r="H214" s="26">
        <f>F214*G214</f>
        <v>0</v>
      </c>
      <c r="I214" s="28" t="s">
        <v>52</v>
      </c>
      <c r="J214" s="25"/>
      <c r="Z214" s="26">
        <f>IF(AQ214="5",BJ214,0)</f>
        <v>0</v>
      </c>
      <c r="AB214" s="26">
        <f>IF(AQ214="1",BH214,0)</f>
        <v>0</v>
      </c>
      <c r="AC214" s="26">
        <f>IF(AQ214="1",BI214,0)</f>
        <v>0</v>
      </c>
      <c r="AD214" s="26">
        <f>IF(AQ214="7",BH214,0)</f>
        <v>0</v>
      </c>
      <c r="AE214" s="26">
        <f>IF(AQ214="7",BI214,0)</f>
        <v>0</v>
      </c>
      <c r="AF214" s="26">
        <f>IF(AQ214="2",BH214,0)</f>
        <v>0</v>
      </c>
      <c r="AG214" s="26">
        <f>IF(AQ214="2",BI214,0)</f>
        <v>0</v>
      </c>
      <c r="AH214" s="26">
        <f>IF(AQ214="0",BJ214,0)</f>
        <v>0</v>
      </c>
      <c r="AI214" s="11" t="s">
        <v>45</v>
      </c>
      <c r="AJ214" s="26">
        <f>IF(AN214=0,H214,0)</f>
        <v>0</v>
      </c>
      <c r="AK214" s="26">
        <f>IF(AN214=12,H214,0)</f>
        <v>0</v>
      </c>
      <c r="AL214" s="26">
        <f>IF(AN214=21,H214,0)</f>
        <v>0</v>
      </c>
      <c r="AN214" s="26">
        <v>21</v>
      </c>
      <c r="AO214" s="26">
        <f>G214*0.396089971</f>
        <v>0</v>
      </c>
      <c r="AP214" s="26">
        <f>G214*(1-0.396089971)</f>
        <v>0</v>
      </c>
      <c r="AQ214" s="28" t="s">
        <v>48</v>
      </c>
      <c r="AV214" s="26">
        <f>AW214+AX214</f>
        <v>0</v>
      </c>
      <c r="AW214" s="26">
        <f>F214*AO214</f>
        <v>0</v>
      </c>
      <c r="AX214" s="26">
        <f>F214*AP214</f>
        <v>0</v>
      </c>
      <c r="AY214" s="28" t="s">
        <v>303</v>
      </c>
      <c r="AZ214" s="28" t="s">
        <v>296</v>
      </c>
      <c r="BA214" s="11" t="s">
        <v>55</v>
      </c>
      <c r="BC214" s="26">
        <f>AW214+AX214</f>
        <v>0</v>
      </c>
      <c r="BD214" s="26">
        <f>G214/(100-BE214)*100</f>
        <v>0</v>
      </c>
      <c r="BE214" s="26">
        <v>0</v>
      </c>
      <c r="BF214" s="26">
        <f>214</f>
        <v>214</v>
      </c>
      <c r="BH214" s="26">
        <f>F214*AO214</f>
        <v>0</v>
      </c>
      <c r="BI214" s="26">
        <f>F214*AP214</f>
        <v>0</v>
      </c>
      <c r="BJ214" s="26">
        <f>F214*G214</f>
        <v>0</v>
      </c>
      <c r="BK214" s="26"/>
      <c r="BL214" s="26">
        <v>94</v>
      </c>
      <c r="BW214" s="26">
        <v>21</v>
      </c>
    </row>
    <row r="215" spans="1:75" x14ac:dyDescent="0.25">
      <c r="A215" s="29"/>
      <c r="C215" s="31" t="s">
        <v>309</v>
      </c>
      <c r="D215" s="31" t="s">
        <v>45</v>
      </c>
      <c r="F215" s="32">
        <v>45</v>
      </c>
      <c r="J215" s="25"/>
    </row>
    <row r="216" spans="1:75" ht="13.5" customHeight="1" x14ac:dyDescent="0.25">
      <c r="A216" s="2" t="s">
        <v>321</v>
      </c>
      <c r="B216" s="3" t="s">
        <v>322</v>
      </c>
      <c r="C216" s="70" t="s">
        <v>323</v>
      </c>
      <c r="D216" s="71"/>
      <c r="E216" s="3" t="s">
        <v>88</v>
      </c>
      <c r="F216" s="26">
        <v>45</v>
      </c>
      <c r="G216" s="27">
        <v>0</v>
      </c>
      <c r="H216" s="26">
        <f>F216*G216</f>
        <v>0</v>
      </c>
      <c r="I216" s="28" t="s">
        <v>52</v>
      </c>
      <c r="J216" s="25"/>
      <c r="Z216" s="26">
        <f>IF(AQ216="5",BJ216,0)</f>
        <v>0</v>
      </c>
      <c r="AB216" s="26">
        <f>IF(AQ216="1",BH216,0)</f>
        <v>0</v>
      </c>
      <c r="AC216" s="26">
        <f>IF(AQ216="1",BI216,0)</f>
        <v>0</v>
      </c>
      <c r="AD216" s="26">
        <f>IF(AQ216="7",BH216,0)</f>
        <v>0</v>
      </c>
      <c r="AE216" s="26">
        <f>IF(AQ216="7",BI216,0)</f>
        <v>0</v>
      </c>
      <c r="AF216" s="26">
        <f>IF(AQ216="2",BH216,0)</f>
        <v>0</v>
      </c>
      <c r="AG216" s="26">
        <f>IF(AQ216="2",BI216,0)</f>
        <v>0</v>
      </c>
      <c r="AH216" s="26">
        <f>IF(AQ216="0",BJ216,0)</f>
        <v>0</v>
      </c>
      <c r="AI216" s="11" t="s">
        <v>45</v>
      </c>
      <c r="AJ216" s="26">
        <f>IF(AN216=0,H216,0)</f>
        <v>0</v>
      </c>
      <c r="AK216" s="26">
        <f>IF(AN216=12,H216,0)</f>
        <v>0</v>
      </c>
      <c r="AL216" s="26">
        <f>IF(AN216=21,H216,0)</f>
        <v>0</v>
      </c>
      <c r="AN216" s="26">
        <v>21</v>
      </c>
      <c r="AO216" s="26">
        <f>G216*0.914902808</f>
        <v>0</v>
      </c>
      <c r="AP216" s="26">
        <f>G216*(1-0.914902808)</f>
        <v>0</v>
      </c>
      <c r="AQ216" s="28" t="s">
        <v>48</v>
      </c>
      <c r="AV216" s="26">
        <f>AW216+AX216</f>
        <v>0</v>
      </c>
      <c r="AW216" s="26">
        <f>F216*AO216</f>
        <v>0</v>
      </c>
      <c r="AX216" s="26">
        <f>F216*AP216</f>
        <v>0</v>
      </c>
      <c r="AY216" s="28" t="s">
        <v>303</v>
      </c>
      <c r="AZ216" s="28" t="s">
        <v>296</v>
      </c>
      <c r="BA216" s="11" t="s">
        <v>55</v>
      </c>
      <c r="BC216" s="26">
        <f>AW216+AX216</f>
        <v>0</v>
      </c>
      <c r="BD216" s="26">
        <f>G216/(100-BE216)*100</f>
        <v>0</v>
      </c>
      <c r="BE216" s="26">
        <v>0</v>
      </c>
      <c r="BF216" s="26">
        <f>216</f>
        <v>216</v>
      </c>
      <c r="BH216" s="26">
        <f>F216*AO216</f>
        <v>0</v>
      </c>
      <c r="BI216" s="26">
        <f>F216*AP216</f>
        <v>0</v>
      </c>
      <c r="BJ216" s="26">
        <f>F216*G216</f>
        <v>0</v>
      </c>
      <c r="BK216" s="26"/>
      <c r="BL216" s="26">
        <v>94</v>
      </c>
      <c r="BW216" s="26">
        <v>21</v>
      </c>
    </row>
    <row r="217" spans="1:75" x14ac:dyDescent="0.25">
      <c r="A217" s="29"/>
      <c r="C217" s="31" t="s">
        <v>309</v>
      </c>
      <c r="D217" s="31" t="s">
        <v>45</v>
      </c>
      <c r="F217" s="32">
        <v>45</v>
      </c>
      <c r="J217" s="25"/>
    </row>
    <row r="218" spans="1:75" ht="13.5" customHeight="1" x14ac:dyDescent="0.25">
      <c r="A218" s="2" t="s">
        <v>324</v>
      </c>
      <c r="B218" s="3" t="s">
        <v>325</v>
      </c>
      <c r="C218" s="70" t="s">
        <v>326</v>
      </c>
      <c r="D218" s="71"/>
      <c r="E218" s="3" t="s">
        <v>88</v>
      </c>
      <c r="F218" s="26">
        <v>45</v>
      </c>
      <c r="G218" s="27">
        <v>0</v>
      </c>
      <c r="H218" s="26">
        <f>F218*G218</f>
        <v>0</v>
      </c>
      <c r="I218" s="28" t="s">
        <v>52</v>
      </c>
      <c r="J218" s="25"/>
      <c r="Z218" s="26">
        <f>IF(AQ218="5",BJ218,0)</f>
        <v>0</v>
      </c>
      <c r="AB218" s="26">
        <f>IF(AQ218="1",BH218,0)</f>
        <v>0</v>
      </c>
      <c r="AC218" s="26">
        <f>IF(AQ218="1",BI218,0)</f>
        <v>0</v>
      </c>
      <c r="AD218" s="26">
        <f>IF(AQ218="7",BH218,0)</f>
        <v>0</v>
      </c>
      <c r="AE218" s="26">
        <f>IF(AQ218="7",BI218,0)</f>
        <v>0</v>
      </c>
      <c r="AF218" s="26">
        <f>IF(AQ218="2",BH218,0)</f>
        <v>0</v>
      </c>
      <c r="AG218" s="26">
        <f>IF(AQ218="2",BI218,0)</f>
        <v>0</v>
      </c>
      <c r="AH218" s="26">
        <f>IF(AQ218="0",BJ218,0)</f>
        <v>0</v>
      </c>
      <c r="AI218" s="11" t="s">
        <v>45</v>
      </c>
      <c r="AJ218" s="26">
        <f>IF(AN218=0,H218,0)</f>
        <v>0</v>
      </c>
      <c r="AK218" s="26">
        <f>IF(AN218=12,H218,0)</f>
        <v>0</v>
      </c>
      <c r="AL218" s="26">
        <f>IF(AN218=21,H218,0)</f>
        <v>0</v>
      </c>
      <c r="AN218" s="26">
        <v>21</v>
      </c>
      <c r="AO218" s="26">
        <f>G218*0</f>
        <v>0</v>
      </c>
      <c r="AP218" s="26">
        <f>G218*(1-0)</f>
        <v>0</v>
      </c>
      <c r="AQ218" s="28" t="s">
        <v>48</v>
      </c>
      <c r="AV218" s="26">
        <f>AW218+AX218</f>
        <v>0</v>
      </c>
      <c r="AW218" s="26">
        <f>F218*AO218</f>
        <v>0</v>
      </c>
      <c r="AX218" s="26">
        <f>F218*AP218</f>
        <v>0</v>
      </c>
      <c r="AY218" s="28" t="s">
        <v>303</v>
      </c>
      <c r="AZ218" s="28" t="s">
        <v>296</v>
      </c>
      <c r="BA218" s="11" t="s">
        <v>55</v>
      </c>
      <c r="BC218" s="26">
        <f>AW218+AX218</f>
        <v>0</v>
      </c>
      <c r="BD218" s="26">
        <f>G218/(100-BE218)*100</f>
        <v>0</v>
      </c>
      <c r="BE218" s="26">
        <v>0</v>
      </c>
      <c r="BF218" s="26">
        <f>218</f>
        <v>218</v>
      </c>
      <c r="BH218" s="26">
        <f>F218*AO218</f>
        <v>0</v>
      </c>
      <c r="BI218" s="26">
        <f>F218*AP218</f>
        <v>0</v>
      </c>
      <c r="BJ218" s="26">
        <f>F218*G218</f>
        <v>0</v>
      </c>
      <c r="BK218" s="26"/>
      <c r="BL218" s="26">
        <v>94</v>
      </c>
      <c r="BW218" s="26">
        <v>21</v>
      </c>
    </row>
    <row r="219" spans="1:75" x14ac:dyDescent="0.25">
      <c r="A219" s="29"/>
      <c r="C219" s="31" t="s">
        <v>309</v>
      </c>
      <c r="D219" s="31" t="s">
        <v>45</v>
      </c>
      <c r="F219" s="32">
        <v>45</v>
      </c>
      <c r="J219" s="25"/>
    </row>
    <row r="220" spans="1:75" ht="13.5" customHeight="1" x14ac:dyDescent="0.25">
      <c r="A220" s="2" t="s">
        <v>327</v>
      </c>
      <c r="B220" s="3" t="s">
        <v>328</v>
      </c>
      <c r="C220" s="70" t="s">
        <v>329</v>
      </c>
      <c r="D220" s="71"/>
      <c r="E220" s="3" t="s">
        <v>330</v>
      </c>
      <c r="F220" s="26">
        <v>7</v>
      </c>
      <c r="G220" s="27">
        <v>0</v>
      </c>
      <c r="H220" s="26">
        <f>F220*G220</f>
        <v>0</v>
      </c>
      <c r="I220" s="28" t="s">
        <v>52</v>
      </c>
      <c r="J220" s="25"/>
      <c r="Z220" s="26">
        <f>IF(AQ220="5",BJ220,0)</f>
        <v>0</v>
      </c>
      <c r="AB220" s="26">
        <f>IF(AQ220="1",BH220,0)</f>
        <v>0</v>
      </c>
      <c r="AC220" s="26">
        <f>IF(AQ220="1",BI220,0)</f>
        <v>0</v>
      </c>
      <c r="AD220" s="26">
        <f>IF(AQ220="7",BH220,0)</f>
        <v>0</v>
      </c>
      <c r="AE220" s="26">
        <f>IF(AQ220="7",BI220,0)</f>
        <v>0</v>
      </c>
      <c r="AF220" s="26">
        <f>IF(AQ220="2",BH220,0)</f>
        <v>0</v>
      </c>
      <c r="AG220" s="26">
        <f>IF(AQ220="2",BI220,0)</f>
        <v>0</v>
      </c>
      <c r="AH220" s="26">
        <f>IF(AQ220="0",BJ220,0)</f>
        <v>0</v>
      </c>
      <c r="AI220" s="11" t="s">
        <v>45</v>
      </c>
      <c r="AJ220" s="26">
        <f>IF(AN220=0,H220,0)</f>
        <v>0</v>
      </c>
      <c r="AK220" s="26">
        <f>IF(AN220=12,H220,0)</f>
        <v>0</v>
      </c>
      <c r="AL220" s="26">
        <f>IF(AN220=21,H220,0)</f>
        <v>0</v>
      </c>
      <c r="AN220" s="26">
        <v>21</v>
      </c>
      <c r="AO220" s="26">
        <f>G220*0</f>
        <v>0</v>
      </c>
      <c r="AP220" s="26">
        <f>G220*(1-0)</f>
        <v>0</v>
      </c>
      <c r="AQ220" s="28" t="s">
        <v>48</v>
      </c>
      <c r="AV220" s="26">
        <f>AW220+AX220</f>
        <v>0</v>
      </c>
      <c r="AW220" s="26">
        <f>F220*AO220</f>
        <v>0</v>
      </c>
      <c r="AX220" s="26">
        <f>F220*AP220</f>
        <v>0</v>
      </c>
      <c r="AY220" s="28" t="s">
        <v>303</v>
      </c>
      <c r="AZ220" s="28" t="s">
        <v>296</v>
      </c>
      <c r="BA220" s="11" t="s">
        <v>55</v>
      </c>
      <c r="BC220" s="26">
        <f>AW220+AX220</f>
        <v>0</v>
      </c>
      <c r="BD220" s="26">
        <f>G220/(100-BE220)*100</f>
        <v>0</v>
      </c>
      <c r="BE220" s="26">
        <v>0</v>
      </c>
      <c r="BF220" s="26">
        <f>220</f>
        <v>220</v>
      </c>
      <c r="BH220" s="26">
        <f>F220*AO220</f>
        <v>0</v>
      </c>
      <c r="BI220" s="26">
        <f>F220*AP220</f>
        <v>0</v>
      </c>
      <c r="BJ220" s="26">
        <f>F220*G220</f>
        <v>0</v>
      </c>
      <c r="BK220" s="26"/>
      <c r="BL220" s="26">
        <v>94</v>
      </c>
      <c r="BW220" s="26">
        <v>21</v>
      </c>
    </row>
    <row r="221" spans="1:75" ht="13.5" customHeight="1" x14ac:dyDescent="0.25">
      <c r="A221" s="29"/>
      <c r="B221" s="30" t="s">
        <v>56</v>
      </c>
      <c r="C221" s="143" t="s">
        <v>331</v>
      </c>
      <c r="D221" s="144"/>
      <c r="E221" s="144"/>
      <c r="F221" s="144"/>
      <c r="G221" s="145"/>
      <c r="H221" s="144"/>
      <c r="I221" s="144"/>
      <c r="J221" s="146"/>
    </row>
    <row r="222" spans="1:75" x14ac:dyDescent="0.25">
      <c r="A222" s="29"/>
      <c r="C222" s="31" t="s">
        <v>111</v>
      </c>
      <c r="D222" s="31" t="s">
        <v>45</v>
      </c>
      <c r="F222" s="32">
        <v>7</v>
      </c>
      <c r="J222" s="25"/>
    </row>
    <row r="223" spans="1:75" ht="13.5" customHeight="1" x14ac:dyDescent="0.25">
      <c r="A223" s="2" t="s">
        <v>332</v>
      </c>
      <c r="B223" s="3" t="s">
        <v>333</v>
      </c>
      <c r="C223" s="70" t="s">
        <v>334</v>
      </c>
      <c r="D223" s="71"/>
      <c r="E223" s="3" t="s">
        <v>330</v>
      </c>
      <c r="F223" s="26">
        <v>7</v>
      </c>
      <c r="G223" s="27">
        <v>0</v>
      </c>
      <c r="H223" s="26">
        <f>F223*G223</f>
        <v>0</v>
      </c>
      <c r="I223" s="28" t="s">
        <v>52</v>
      </c>
      <c r="J223" s="25"/>
      <c r="Z223" s="26">
        <f>IF(AQ223="5",BJ223,0)</f>
        <v>0</v>
      </c>
      <c r="AB223" s="26">
        <f>IF(AQ223="1",BH223,0)</f>
        <v>0</v>
      </c>
      <c r="AC223" s="26">
        <f>IF(AQ223="1",BI223,0)</f>
        <v>0</v>
      </c>
      <c r="AD223" s="26">
        <f>IF(AQ223="7",BH223,0)</f>
        <v>0</v>
      </c>
      <c r="AE223" s="26">
        <f>IF(AQ223="7",BI223,0)</f>
        <v>0</v>
      </c>
      <c r="AF223" s="26">
        <f>IF(AQ223="2",BH223,0)</f>
        <v>0</v>
      </c>
      <c r="AG223" s="26">
        <f>IF(AQ223="2",BI223,0)</f>
        <v>0</v>
      </c>
      <c r="AH223" s="26">
        <f>IF(AQ223="0",BJ223,0)</f>
        <v>0</v>
      </c>
      <c r="AI223" s="11" t="s">
        <v>45</v>
      </c>
      <c r="AJ223" s="26">
        <f>IF(AN223=0,H223,0)</f>
        <v>0</v>
      </c>
      <c r="AK223" s="26">
        <f>IF(AN223=12,H223,0)</f>
        <v>0</v>
      </c>
      <c r="AL223" s="26">
        <f>IF(AN223=21,H223,0)</f>
        <v>0</v>
      </c>
      <c r="AN223" s="26">
        <v>21</v>
      </c>
      <c r="AO223" s="26">
        <f>G223*0</f>
        <v>0</v>
      </c>
      <c r="AP223" s="26">
        <f>G223*(1-0)</f>
        <v>0</v>
      </c>
      <c r="AQ223" s="28" t="s">
        <v>48</v>
      </c>
      <c r="AV223" s="26">
        <f>AW223+AX223</f>
        <v>0</v>
      </c>
      <c r="AW223" s="26">
        <f>F223*AO223</f>
        <v>0</v>
      </c>
      <c r="AX223" s="26">
        <f>F223*AP223</f>
        <v>0</v>
      </c>
      <c r="AY223" s="28" t="s">
        <v>303</v>
      </c>
      <c r="AZ223" s="28" t="s">
        <v>296</v>
      </c>
      <c r="BA223" s="11" t="s">
        <v>55</v>
      </c>
      <c r="BC223" s="26">
        <f>AW223+AX223</f>
        <v>0</v>
      </c>
      <c r="BD223" s="26">
        <f>G223/(100-BE223)*100</f>
        <v>0</v>
      </c>
      <c r="BE223" s="26">
        <v>0</v>
      </c>
      <c r="BF223" s="26">
        <f>223</f>
        <v>223</v>
      </c>
      <c r="BH223" s="26">
        <f>F223*AO223</f>
        <v>0</v>
      </c>
      <c r="BI223" s="26">
        <f>F223*AP223</f>
        <v>0</v>
      </c>
      <c r="BJ223" s="26">
        <f>F223*G223</f>
        <v>0</v>
      </c>
      <c r="BK223" s="26"/>
      <c r="BL223" s="26">
        <v>94</v>
      </c>
      <c r="BW223" s="26">
        <v>21</v>
      </c>
    </row>
    <row r="224" spans="1:75" ht="13.5" customHeight="1" x14ac:dyDescent="0.25">
      <c r="A224" s="29"/>
      <c r="B224" s="30" t="s">
        <v>56</v>
      </c>
      <c r="C224" s="143" t="s">
        <v>335</v>
      </c>
      <c r="D224" s="144"/>
      <c r="E224" s="144"/>
      <c r="F224" s="144"/>
      <c r="G224" s="145"/>
      <c r="H224" s="144"/>
      <c r="I224" s="144"/>
      <c r="J224" s="146"/>
    </row>
    <row r="225" spans="1:75" x14ac:dyDescent="0.25">
      <c r="A225" s="29"/>
      <c r="C225" s="31" t="s">
        <v>111</v>
      </c>
      <c r="D225" s="31" t="s">
        <v>45</v>
      </c>
      <c r="F225" s="32">
        <v>7</v>
      </c>
      <c r="J225" s="25"/>
    </row>
    <row r="226" spans="1:75" ht="13.5" customHeight="1" x14ac:dyDescent="0.25">
      <c r="A226" s="2" t="s">
        <v>336</v>
      </c>
      <c r="B226" s="3" t="s">
        <v>337</v>
      </c>
      <c r="C226" s="70" t="s">
        <v>338</v>
      </c>
      <c r="D226" s="71"/>
      <c r="E226" s="3" t="s">
        <v>339</v>
      </c>
      <c r="F226" s="26">
        <v>2</v>
      </c>
      <c r="G226" s="27">
        <v>0</v>
      </c>
      <c r="H226" s="26">
        <f>F226*G226</f>
        <v>0</v>
      </c>
      <c r="I226" s="28" t="s">
        <v>52</v>
      </c>
      <c r="J226" s="25"/>
      <c r="Z226" s="26">
        <f>IF(AQ226="5",BJ226,0)</f>
        <v>0</v>
      </c>
      <c r="AB226" s="26">
        <f>IF(AQ226="1",BH226,0)</f>
        <v>0</v>
      </c>
      <c r="AC226" s="26">
        <f>IF(AQ226="1",BI226,0)</f>
        <v>0</v>
      </c>
      <c r="AD226" s="26">
        <f>IF(AQ226="7",BH226,0)</f>
        <v>0</v>
      </c>
      <c r="AE226" s="26">
        <f>IF(AQ226="7",BI226,0)</f>
        <v>0</v>
      </c>
      <c r="AF226" s="26">
        <f>IF(AQ226="2",BH226,0)</f>
        <v>0</v>
      </c>
      <c r="AG226" s="26">
        <f>IF(AQ226="2",BI226,0)</f>
        <v>0</v>
      </c>
      <c r="AH226" s="26">
        <f>IF(AQ226="0",BJ226,0)</f>
        <v>0</v>
      </c>
      <c r="AI226" s="11" t="s">
        <v>45</v>
      </c>
      <c r="AJ226" s="26">
        <f>IF(AN226=0,H226,0)</f>
        <v>0</v>
      </c>
      <c r="AK226" s="26">
        <f>IF(AN226=12,H226,0)</f>
        <v>0</v>
      </c>
      <c r="AL226" s="26">
        <f>IF(AN226=21,H226,0)</f>
        <v>0</v>
      </c>
      <c r="AN226" s="26">
        <v>21</v>
      </c>
      <c r="AO226" s="26">
        <f>G226*0</f>
        <v>0</v>
      </c>
      <c r="AP226" s="26">
        <f>G226*(1-0)</f>
        <v>0</v>
      </c>
      <c r="AQ226" s="28" t="s">
        <v>48</v>
      </c>
      <c r="AV226" s="26">
        <f>AW226+AX226</f>
        <v>0</v>
      </c>
      <c r="AW226" s="26">
        <f>F226*AO226</f>
        <v>0</v>
      </c>
      <c r="AX226" s="26">
        <f>F226*AP226</f>
        <v>0</v>
      </c>
      <c r="AY226" s="28" t="s">
        <v>303</v>
      </c>
      <c r="AZ226" s="28" t="s">
        <v>296</v>
      </c>
      <c r="BA226" s="11" t="s">
        <v>55</v>
      </c>
      <c r="BC226" s="26">
        <f>AW226+AX226</f>
        <v>0</v>
      </c>
      <c r="BD226" s="26">
        <f>G226/(100-BE226)*100</f>
        <v>0</v>
      </c>
      <c r="BE226" s="26">
        <v>0</v>
      </c>
      <c r="BF226" s="26">
        <f>226</f>
        <v>226</v>
      </c>
      <c r="BH226" s="26">
        <f>F226*AO226</f>
        <v>0</v>
      </c>
      <c r="BI226" s="26">
        <f>F226*AP226</f>
        <v>0</v>
      </c>
      <c r="BJ226" s="26">
        <f>F226*G226</f>
        <v>0</v>
      </c>
      <c r="BK226" s="26"/>
      <c r="BL226" s="26">
        <v>94</v>
      </c>
      <c r="BW226" s="26">
        <v>21</v>
      </c>
    </row>
    <row r="227" spans="1:75" x14ac:dyDescent="0.25">
      <c r="A227" s="29"/>
      <c r="C227" s="31" t="s">
        <v>61</v>
      </c>
      <c r="D227" s="31" t="s">
        <v>45</v>
      </c>
      <c r="F227" s="32">
        <v>2</v>
      </c>
      <c r="J227" s="25"/>
    </row>
    <row r="228" spans="1:75" x14ac:dyDescent="0.25">
      <c r="A228" s="33" t="s">
        <v>45</v>
      </c>
      <c r="B228" s="34" t="s">
        <v>340</v>
      </c>
      <c r="C228" s="141" t="s">
        <v>341</v>
      </c>
      <c r="D228" s="142"/>
      <c r="E228" s="35" t="s">
        <v>4</v>
      </c>
      <c r="F228" s="35" t="s">
        <v>4</v>
      </c>
      <c r="G228" s="36" t="s">
        <v>4</v>
      </c>
      <c r="H228" s="1">
        <f>SUM(H229:H229)</f>
        <v>0</v>
      </c>
      <c r="I228" s="11" t="s">
        <v>45</v>
      </c>
      <c r="J228" s="25"/>
      <c r="AI228" s="11" t="s">
        <v>45</v>
      </c>
      <c r="AS228" s="1">
        <f>SUM(AJ229:AJ229)</f>
        <v>0</v>
      </c>
      <c r="AT228" s="1">
        <f>SUM(AK229:AK229)</f>
        <v>0</v>
      </c>
      <c r="AU228" s="1">
        <f>SUM(AL229:AL229)</f>
        <v>0</v>
      </c>
    </row>
    <row r="229" spans="1:75" ht="13.5" customHeight="1" x14ac:dyDescent="0.25">
      <c r="A229" s="2" t="s">
        <v>342</v>
      </c>
      <c r="B229" s="3" t="s">
        <v>343</v>
      </c>
      <c r="C229" s="70" t="s">
        <v>344</v>
      </c>
      <c r="D229" s="71"/>
      <c r="E229" s="3" t="s">
        <v>51</v>
      </c>
      <c r="F229" s="26">
        <v>149.13120000000001</v>
      </c>
      <c r="G229" s="27">
        <v>0</v>
      </c>
      <c r="H229" s="26">
        <f>F229*G229</f>
        <v>0</v>
      </c>
      <c r="I229" s="28" t="s">
        <v>52</v>
      </c>
      <c r="J229" s="25"/>
      <c r="Z229" s="26">
        <f>IF(AQ229="5",BJ229,0)</f>
        <v>0</v>
      </c>
      <c r="AB229" s="26">
        <f>IF(AQ229="1",BH229,0)</f>
        <v>0</v>
      </c>
      <c r="AC229" s="26">
        <f>IF(AQ229="1",BI229,0)</f>
        <v>0</v>
      </c>
      <c r="AD229" s="26">
        <f>IF(AQ229="7",BH229,0)</f>
        <v>0</v>
      </c>
      <c r="AE229" s="26">
        <f>IF(AQ229="7",BI229,0)</f>
        <v>0</v>
      </c>
      <c r="AF229" s="26">
        <f>IF(AQ229="2",BH229,0)</f>
        <v>0</v>
      </c>
      <c r="AG229" s="26">
        <f>IF(AQ229="2",BI229,0)</f>
        <v>0</v>
      </c>
      <c r="AH229" s="26">
        <f>IF(AQ229="0",BJ229,0)</f>
        <v>0</v>
      </c>
      <c r="AI229" s="11" t="s">
        <v>45</v>
      </c>
      <c r="AJ229" s="26">
        <f>IF(AN229=0,H229,0)</f>
        <v>0</v>
      </c>
      <c r="AK229" s="26">
        <f>IF(AN229=12,H229,0)</f>
        <v>0</v>
      </c>
      <c r="AL229" s="26">
        <f>IF(AN229=21,H229,0)</f>
        <v>0</v>
      </c>
      <c r="AN229" s="26">
        <v>21</v>
      </c>
      <c r="AO229" s="26">
        <f>G229*0.0223</f>
        <v>0</v>
      </c>
      <c r="AP229" s="26">
        <f>G229*(1-0.0223)</f>
        <v>0</v>
      </c>
      <c r="AQ229" s="28" t="s">
        <v>48</v>
      </c>
      <c r="AV229" s="26">
        <f>AW229+AX229</f>
        <v>0</v>
      </c>
      <c r="AW229" s="26">
        <f>F229*AO229</f>
        <v>0</v>
      </c>
      <c r="AX229" s="26">
        <f>F229*AP229</f>
        <v>0</v>
      </c>
      <c r="AY229" s="28" t="s">
        <v>345</v>
      </c>
      <c r="AZ229" s="28" t="s">
        <v>296</v>
      </c>
      <c r="BA229" s="11" t="s">
        <v>55</v>
      </c>
      <c r="BC229" s="26">
        <f>AW229+AX229</f>
        <v>0</v>
      </c>
      <c r="BD229" s="26">
        <f>G229/(100-BE229)*100</f>
        <v>0</v>
      </c>
      <c r="BE229" s="26">
        <v>0</v>
      </c>
      <c r="BF229" s="26">
        <f>229</f>
        <v>229</v>
      </c>
      <c r="BH229" s="26">
        <f>F229*AO229</f>
        <v>0</v>
      </c>
      <c r="BI229" s="26">
        <f>F229*AP229</f>
        <v>0</v>
      </c>
      <c r="BJ229" s="26">
        <f>F229*G229</f>
        <v>0</v>
      </c>
      <c r="BK229" s="26"/>
      <c r="BL229" s="26">
        <v>95</v>
      </c>
      <c r="BW229" s="26">
        <v>21</v>
      </c>
    </row>
    <row r="230" spans="1:75" ht="13.5" customHeight="1" x14ac:dyDescent="0.25">
      <c r="A230" s="29"/>
      <c r="B230" s="30" t="s">
        <v>56</v>
      </c>
      <c r="C230" s="143" t="s">
        <v>346</v>
      </c>
      <c r="D230" s="144"/>
      <c r="E230" s="144"/>
      <c r="F230" s="144"/>
      <c r="G230" s="145"/>
      <c r="H230" s="144"/>
      <c r="I230" s="144"/>
      <c r="J230" s="146"/>
    </row>
    <row r="231" spans="1:75" x14ac:dyDescent="0.25">
      <c r="A231" s="29"/>
      <c r="C231" s="31" t="s">
        <v>347</v>
      </c>
      <c r="D231" s="31" t="s">
        <v>45</v>
      </c>
      <c r="F231" s="32">
        <v>3</v>
      </c>
      <c r="J231" s="25"/>
    </row>
    <row r="232" spans="1:75" x14ac:dyDescent="0.25">
      <c r="A232" s="29"/>
      <c r="C232" s="31" t="s">
        <v>348</v>
      </c>
      <c r="D232" s="31" t="s">
        <v>45</v>
      </c>
      <c r="F232" s="32">
        <v>1.8</v>
      </c>
      <c r="J232" s="25"/>
    </row>
    <row r="233" spans="1:75" x14ac:dyDescent="0.25">
      <c r="A233" s="29"/>
      <c r="C233" s="31" t="s">
        <v>349</v>
      </c>
      <c r="D233" s="31" t="s">
        <v>45</v>
      </c>
      <c r="F233" s="32">
        <v>6.4</v>
      </c>
      <c r="J233" s="25"/>
    </row>
    <row r="234" spans="1:75" x14ac:dyDescent="0.25">
      <c r="A234" s="29"/>
      <c r="C234" s="31" t="s">
        <v>350</v>
      </c>
      <c r="D234" s="31" t="s">
        <v>45</v>
      </c>
      <c r="F234" s="32">
        <v>9.4</v>
      </c>
      <c r="J234" s="25"/>
    </row>
    <row r="235" spans="1:75" x14ac:dyDescent="0.25">
      <c r="A235" s="29"/>
      <c r="C235" s="31" t="s">
        <v>351</v>
      </c>
      <c r="D235" s="31" t="s">
        <v>45</v>
      </c>
      <c r="F235" s="32">
        <v>32.700000000000003</v>
      </c>
      <c r="J235" s="25"/>
    </row>
    <row r="236" spans="1:75" x14ac:dyDescent="0.25">
      <c r="A236" s="29"/>
      <c r="C236" s="31" t="s">
        <v>352</v>
      </c>
      <c r="D236" s="31" t="s">
        <v>45</v>
      </c>
      <c r="F236" s="32">
        <v>3.7</v>
      </c>
      <c r="J236" s="25"/>
    </row>
    <row r="237" spans="1:75" x14ac:dyDescent="0.25">
      <c r="A237" s="29"/>
      <c r="C237" s="31" t="s">
        <v>353</v>
      </c>
      <c r="D237" s="31" t="s">
        <v>45</v>
      </c>
      <c r="F237" s="32">
        <v>2.5</v>
      </c>
      <c r="J237" s="25"/>
    </row>
    <row r="238" spans="1:75" x14ac:dyDescent="0.25">
      <c r="A238" s="29"/>
      <c r="C238" s="31" t="s">
        <v>354</v>
      </c>
      <c r="D238" s="31" t="s">
        <v>45</v>
      </c>
      <c r="F238" s="32">
        <v>1.5</v>
      </c>
      <c r="J238" s="25"/>
    </row>
    <row r="239" spans="1:75" x14ac:dyDescent="0.25">
      <c r="A239" s="29"/>
      <c r="C239" s="31" t="s">
        <v>355</v>
      </c>
      <c r="D239" s="31" t="s">
        <v>45</v>
      </c>
      <c r="F239" s="32">
        <v>5.6</v>
      </c>
      <c r="J239" s="25"/>
    </row>
    <row r="240" spans="1:75" x14ac:dyDescent="0.25">
      <c r="A240" s="29"/>
      <c r="C240" s="31" t="s">
        <v>356</v>
      </c>
      <c r="D240" s="31" t="s">
        <v>45</v>
      </c>
      <c r="F240" s="32">
        <v>7.4</v>
      </c>
      <c r="J240" s="25"/>
    </row>
    <row r="241" spans="1:75" x14ac:dyDescent="0.25">
      <c r="A241" s="29"/>
      <c r="C241" s="31" t="s">
        <v>357</v>
      </c>
      <c r="D241" s="31" t="s">
        <v>45</v>
      </c>
      <c r="F241" s="32">
        <v>19.600000000000001</v>
      </c>
      <c r="J241" s="25"/>
    </row>
    <row r="242" spans="1:75" x14ac:dyDescent="0.25">
      <c r="A242" s="29"/>
      <c r="C242" s="31" t="s">
        <v>358</v>
      </c>
      <c r="D242" s="31" t="s">
        <v>45</v>
      </c>
      <c r="F242" s="32">
        <v>3.1</v>
      </c>
      <c r="J242" s="25"/>
    </row>
    <row r="243" spans="1:75" x14ac:dyDescent="0.25">
      <c r="A243" s="29"/>
      <c r="C243" s="31" t="s">
        <v>359</v>
      </c>
      <c r="D243" s="31" t="s">
        <v>45</v>
      </c>
      <c r="F243" s="32">
        <v>2.6</v>
      </c>
      <c r="J243" s="25"/>
    </row>
    <row r="244" spans="1:75" x14ac:dyDescent="0.25">
      <c r="A244" s="29"/>
      <c r="C244" s="31" t="s">
        <v>354</v>
      </c>
      <c r="D244" s="31" t="s">
        <v>45</v>
      </c>
      <c r="F244" s="32">
        <v>1.5</v>
      </c>
      <c r="J244" s="25"/>
    </row>
    <row r="245" spans="1:75" x14ac:dyDescent="0.25">
      <c r="A245" s="29"/>
      <c r="C245" s="31" t="s">
        <v>360</v>
      </c>
      <c r="D245" s="31" t="s">
        <v>45</v>
      </c>
      <c r="F245" s="32">
        <v>23.4</v>
      </c>
      <c r="J245" s="25"/>
    </row>
    <row r="246" spans="1:75" x14ac:dyDescent="0.25">
      <c r="A246" s="29"/>
      <c r="C246" s="31" t="s">
        <v>361</v>
      </c>
      <c r="D246" s="31" t="s">
        <v>45</v>
      </c>
      <c r="F246" s="32">
        <v>9</v>
      </c>
      <c r="J246" s="25"/>
    </row>
    <row r="247" spans="1:75" x14ac:dyDescent="0.25">
      <c r="A247" s="29"/>
      <c r="C247" s="31" t="s">
        <v>362</v>
      </c>
      <c r="D247" s="31" t="s">
        <v>45</v>
      </c>
      <c r="F247" s="32">
        <v>11</v>
      </c>
      <c r="J247" s="25"/>
    </row>
    <row r="248" spans="1:75" x14ac:dyDescent="0.25">
      <c r="A248" s="29"/>
      <c r="C248" s="31" t="s">
        <v>363</v>
      </c>
      <c r="D248" s="31" t="s">
        <v>45</v>
      </c>
      <c r="F248" s="32">
        <v>4.9311999999999996</v>
      </c>
      <c r="J248" s="25"/>
    </row>
    <row r="249" spans="1:75" x14ac:dyDescent="0.25">
      <c r="A249" s="33" t="s">
        <v>45</v>
      </c>
      <c r="B249" s="34" t="s">
        <v>364</v>
      </c>
      <c r="C249" s="141" t="s">
        <v>365</v>
      </c>
      <c r="D249" s="142"/>
      <c r="E249" s="35" t="s">
        <v>4</v>
      </c>
      <c r="F249" s="35" t="s">
        <v>4</v>
      </c>
      <c r="G249" s="36" t="s">
        <v>4</v>
      </c>
      <c r="H249" s="1">
        <f>SUM(H250:H276)</f>
        <v>0</v>
      </c>
      <c r="I249" s="11" t="s">
        <v>45</v>
      </c>
      <c r="J249" s="25"/>
      <c r="AI249" s="11" t="s">
        <v>45</v>
      </c>
      <c r="AS249" s="1">
        <f>SUM(AJ250:AJ276)</f>
        <v>0</v>
      </c>
      <c r="AT249" s="1">
        <f>SUM(AK250:AK276)</f>
        <v>0</v>
      </c>
      <c r="AU249" s="1">
        <f>SUM(AL250:AL276)</f>
        <v>0</v>
      </c>
    </row>
    <row r="250" spans="1:75" ht="13.5" customHeight="1" x14ac:dyDescent="0.25">
      <c r="A250" s="2" t="s">
        <v>366</v>
      </c>
      <c r="B250" s="3" t="s">
        <v>367</v>
      </c>
      <c r="C250" s="70" t="s">
        <v>368</v>
      </c>
      <c r="D250" s="71"/>
      <c r="E250" s="3" t="s">
        <v>119</v>
      </c>
      <c r="F250" s="26">
        <v>140</v>
      </c>
      <c r="G250" s="27">
        <v>0</v>
      </c>
      <c r="H250" s="26">
        <f>F250*G250</f>
        <v>0</v>
      </c>
      <c r="I250" s="28" t="s">
        <v>52</v>
      </c>
      <c r="J250" s="25"/>
      <c r="Z250" s="26">
        <f>IF(AQ250="5",BJ250,0)</f>
        <v>0</v>
      </c>
      <c r="AB250" s="26">
        <f>IF(AQ250="1",BH250,0)</f>
        <v>0</v>
      </c>
      <c r="AC250" s="26">
        <f>IF(AQ250="1",BI250,0)</f>
        <v>0</v>
      </c>
      <c r="AD250" s="26">
        <f>IF(AQ250="7",BH250,0)</f>
        <v>0</v>
      </c>
      <c r="AE250" s="26">
        <f>IF(AQ250="7",BI250,0)</f>
        <v>0</v>
      </c>
      <c r="AF250" s="26">
        <f>IF(AQ250="2",BH250,0)</f>
        <v>0</v>
      </c>
      <c r="AG250" s="26">
        <f>IF(AQ250="2",BI250,0)</f>
        <v>0</v>
      </c>
      <c r="AH250" s="26">
        <f>IF(AQ250="0",BJ250,0)</f>
        <v>0</v>
      </c>
      <c r="AI250" s="11" t="s">
        <v>45</v>
      </c>
      <c r="AJ250" s="26">
        <f>IF(AN250=0,H250,0)</f>
        <v>0</v>
      </c>
      <c r="AK250" s="26">
        <f>IF(AN250=12,H250,0)</f>
        <v>0</v>
      </c>
      <c r="AL250" s="26">
        <f>IF(AN250=21,H250,0)</f>
        <v>0</v>
      </c>
      <c r="AN250" s="26">
        <v>21</v>
      </c>
      <c r="AO250" s="26">
        <f>G250*0</f>
        <v>0</v>
      </c>
      <c r="AP250" s="26">
        <f>G250*(1-0)</f>
        <v>0</v>
      </c>
      <c r="AQ250" s="28" t="s">
        <v>48</v>
      </c>
      <c r="AV250" s="26">
        <f>AW250+AX250</f>
        <v>0</v>
      </c>
      <c r="AW250" s="26">
        <f>F250*AO250</f>
        <v>0</v>
      </c>
      <c r="AX250" s="26">
        <f>F250*AP250</f>
        <v>0</v>
      </c>
      <c r="AY250" s="28" t="s">
        <v>369</v>
      </c>
      <c r="AZ250" s="28" t="s">
        <v>296</v>
      </c>
      <c r="BA250" s="11" t="s">
        <v>55</v>
      </c>
      <c r="BC250" s="26">
        <f>AW250+AX250</f>
        <v>0</v>
      </c>
      <c r="BD250" s="26">
        <f>G250/(100-BE250)*100</f>
        <v>0</v>
      </c>
      <c r="BE250" s="26">
        <v>0</v>
      </c>
      <c r="BF250" s="26">
        <f>250</f>
        <v>250</v>
      </c>
      <c r="BH250" s="26">
        <f>F250*AO250</f>
        <v>0</v>
      </c>
      <c r="BI250" s="26">
        <f>F250*AP250</f>
        <v>0</v>
      </c>
      <c r="BJ250" s="26">
        <f>F250*G250</f>
        <v>0</v>
      </c>
      <c r="BK250" s="26"/>
      <c r="BL250" s="26">
        <v>96</v>
      </c>
      <c r="BW250" s="26">
        <v>21</v>
      </c>
    </row>
    <row r="251" spans="1:75" ht="13.5" customHeight="1" x14ac:dyDescent="0.25">
      <c r="A251" s="29"/>
      <c r="B251" s="30" t="s">
        <v>56</v>
      </c>
      <c r="C251" s="143" t="s">
        <v>370</v>
      </c>
      <c r="D251" s="144"/>
      <c r="E251" s="144"/>
      <c r="F251" s="144"/>
      <c r="G251" s="145"/>
      <c r="H251" s="144"/>
      <c r="I251" s="144"/>
      <c r="J251" s="146"/>
    </row>
    <row r="252" spans="1:75" x14ac:dyDescent="0.25">
      <c r="A252" s="29"/>
      <c r="C252" s="31" t="s">
        <v>371</v>
      </c>
      <c r="D252" s="31" t="s">
        <v>372</v>
      </c>
      <c r="F252" s="32">
        <v>4</v>
      </c>
      <c r="J252" s="25"/>
    </row>
    <row r="253" spans="1:75" x14ac:dyDescent="0.25">
      <c r="A253" s="29"/>
      <c r="C253" s="31" t="s">
        <v>61</v>
      </c>
      <c r="D253" s="31" t="s">
        <v>373</v>
      </c>
      <c r="F253" s="32">
        <v>2</v>
      </c>
      <c r="J253" s="25"/>
    </row>
    <row r="254" spans="1:75" x14ac:dyDescent="0.25">
      <c r="A254" s="29"/>
      <c r="C254" s="31" t="s">
        <v>61</v>
      </c>
      <c r="D254" s="31" t="s">
        <v>374</v>
      </c>
      <c r="F254" s="32">
        <v>2</v>
      </c>
      <c r="J254" s="25"/>
    </row>
    <row r="255" spans="1:75" x14ac:dyDescent="0.25">
      <c r="A255" s="29"/>
      <c r="C255" s="31" t="s">
        <v>375</v>
      </c>
      <c r="D255" s="31" t="s">
        <v>376</v>
      </c>
      <c r="F255" s="32">
        <v>8</v>
      </c>
      <c r="J255" s="25"/>
    </row>
    <row r="256" spans="1:75" x14ac:dyDescent="0.25">
      <c r="A256" s="29"/>
      <c r="C256" s="31" t="s">
        <v>377</v>
      </c>
      <c r="D256" s="31" t="s">
        <v>378</v>
      </c>
      <c r="F256" s="32">
        <v>15</v>
      </c>
      <c r="J256" s="25"/>
    </row>
    <row r="257" spans="1:75" x14ac:dyDescent="0.25">
      <c r="A257" s="29"/>
      <c r="C257" s="31" t="s">
        <v>121</v>
      </c>
      <c r="D257" s="31" t="s">
        <v>379</v>
      </c>
      <c r="F257" s="32">
        <v>6</v>
      </c>
      <c r="J257" s="25"/>
    </row>
    <row r="258" spans="1:75" x14ac:dyDescent="0.25">
      <c r="A258" s="29"/>
      <c r="C258" s="31" t="s">
        <v>371</v>
      </c>
      <c r="D258" s="31" t="s">
        <v>380</v>
      </c>
      <c r="F258" s="32">
        <v>4</v>
      </c>
      <c r="J258" s="25"/>
    </row>
    <row r="259" spans="1:75" x14ac:dyDescent="0.25">
      <c r="A259" s="29"/>
      <c r="C259" s="31" t="s">
        <v>61</v>
      </c>
      <c r="D259" s="31" t="s">
        <v>381</v>
      </c>
      <c r="F259" s="32">
        <v>2</v>
      </c>
      <c r="J259" s="25"/>
    </row>
    <row r="260" spans="1:75" x14ac:dyDescent="0.25">
      <c r="A260" s="29"/>
      <c r="C260" s="31" t="s">
        <v>382</v>
      </c>
      <c r="D260" s="31" t="s">
        <v>383</v>
      </c>
      <c r="F260" s="32">
        <v>8</v>
      </c>
      <c r="J260" s="25"/>
    </row>
    <row r="261" spans="1:75" x14ac:dyDescent="0.25">
      <c r="A261" s="29"/>
      <c r="C261" s="31" t="s">
        <v>242</v>
      </c>
      <c r="D261" s="31" t="s">
        <v>384</v>
      </c>
      <c r="F261" s="32">
        <v>12</v>
      </c>
      <c r="J261" s="25"/>
    </row>
    <row r="262" spans="1:75" x14ac:dyDescent="0.25">
      <c r="A262" s="29"/>
      <c r="C262" s="31" t="s">
        <v>385</v>
      </c>
      <c r="D262" s="31" t="s">
        <v>386</v>
      </c>
      <c r="F262" s="32">
        <v>24</v>
      </c>
      <c r="J262" s="25"/>
    </row>
    <row r="263" spans="1:75" x14ac:dyDescent="0.25">
      <c r="A263" s="29"/>
      <c r="C263" s="31" t="s">
        <v>48</v>
      </c>
      <c r="D263" s="31" t="s">
        <v>387</v>
      </c>
      <c r="F263" s="32">
        <v>1</v>
      </c>
      <c r="J263" s="25"/>
    </row>
    <row r="264" spans="1:75" x14ac:dyDescent="0.25">
      <c r="A264" s="29"/>
      <c r="C264" s="31" t="s">
        <v>371</v>
      </c>
      <c r="D264" s="31" t="s">
        <v>388</v>
      </c>
      <c r="F264" s="32">
        <v>4</v>
      </c>
      <c r="J264" s="25"/>
    </row>
    <row r="265" spans="1:75" x14ac:dyDescent="0.25">
      <c r="A265" s="29"/>
      <c r="C265" s="31" t="s">
        <v>61</v>
      </c>
      <c r="D265" s="31" t="s">
        <v>45</v>
      </c>
      <c r="F265" s="32">
        <v>2</v>
      </c>
      <c r="J265" s="25"/>
    </row>
    <row r="266" spans="1:75" x14ac:dyDescent="0.25">
      <c r="A266" s="29"/>
      <c r="C266" s="31" t="s">
        <v>389</v>
      </c>
      <c r="D266" s="31" t="s">
        <v>390</v>
      </c>
      <c r="F266" s="32">
        <v>36</v>
      </c>
      <c r="J266" s="25"/>
    </row>
    <row r="267" spans="1:75" x14ac:dyDescent="0.25">
      <c r="A267" s="29"/>
      <c r="C267" s="31" t="s">
        <v>247</v>
      </c>
      <c r="D267" s="31" t="s">
        <v>391</v>
      </c>
      <c r="F267" s="32">
        <v>10</v>
      </c>
      <c r="J267" s="25"/>
    </row>
    <row r="268" spans="1:75" ht="13.5" customHeight="1" x14ac:dyDescent="0.25">
      <c r="A268" s="2" t="s">
        <v>392</v>
      </c>
      <c r="B268" s="3" t="s">
        <v>393</v>
      </c>
      <c r="C268" s="70" t="s">
        <v>394</v>
      </c>
      <c r="D268" s="71"/>
      <c r="E268" s="3" t="s">
        <v>119</v>
      </c>
      <c r="F268" s="26">
        <v>9</v>
      </c>
      <c r="G268" s="27">
        <v>0</v>
      </c>
      <c r="H268" s="26">
        <f>F268*G268</f>
        <v>0</v>
      </c>
      <c r="I268" s="28" t="s">
        <v>52</v>
      </c>
      <c r="J268" s="25"/>
      <c r="Z268" s="26">
        <f>IF(AQ268="5",BJ268,0)</f>
        <v>0</v>
      </c>
      <c r="AB268" s="26">
        <f>IF(AQ268="1",BH268,0)</f>
        <v>0</v>
      </c>
      <c r="AC268" s="26">
        <f>IF(AQ268="1",BI268,0)</f>
        <v>0</v>
      </c>
      <c r="AD268" s="26">
        <f>IF(AQ268="7",BH268,0)</f>
        <v>0</v>
      </c>
      <c r="AE268" s="26">
        <f>IF(AQ268="7",BI268,0)</f>
        <v>0</v>
      </c>
      <c r="AF268" s="26">
        <f>IF(AQ268="2",BH268,0)</f>
        <v>0</v>
      </c>
      <c r="AG268" s="26">
        <f>IF(AQ268="2",BI268,0)</f>
        <v>0</v>
      </c>
      <c r="AH268" s="26">
        <f>IF(AQ268="0",BJ268,0)</f>
        <v>0</v>
      </c>
      <c r="AI268" s="11" t="s">
        <v>45</v>
      </c>
      <c r="AJ268" s="26">
        <f>IF(AN268=0,H268,0)</f>
        <v>0</v>
      </c>
      <c r="AK268" s="26">
        <f>IF(AN268=12,H268,0)</f>
        <v>0</v>
      </c>
      <c r="AL268" s="26">
        <f>IF(AN268=21,H268,0)</f>
        <v>0</v>
      </c>
      <c r="AN268" s="26">
        <v>21</v>
      </c>
      <c r="AO268" s="26">
        <f>G268*0</f>
        <v>0</v>
      </c>
      <c r="AP268" s="26">
        <f>G268*(1-0)</f>
        <v>0</v>
      </c>
      <c r="AQ268" s="28" t="s">
        <v>48</v>
      </c>
      <c r="AV268" s="26">
        <f>AW268+AX268</f>
        <v>0</v>
      </c>
      <c r="AW268" s="26">
        <f>F268*AO268</f>
        <v>0</v>
      </c>
      <c r="AX268" s="26">
        <f>F268*AP268</f>
        <v>0</v>
      </c>
      <c r="AY268" s="28" t="s">
        <v>369</v>
      </c>
      <c r="AZ268" s="28" t="s">
        <v>296</v>
      </c>
      <c r="BA268" s="11" t="s">
        <v>55</v>
      </c>
      <c r="BC268" s="26">
        <f>AW268+AX268</f>
        <v>0</v>
      </c>
      <c r="BD268" s="26">
        <f>G268/(100-BE268)*100</f>
        <v>0</v>
      </c>
      <c r="BE268" s="26">
        <v>0</v>
      </c>
      <c r="BF268" s="26">
        <f>268</f>
        <v>268</v>
      </c>
      <c r="BH268" s="26">
        <f>F268*AO268</f>
        <v>0</v>
      </c>
      <c r="BI268" s="26">
        <f>F268*AP268</f>
        <v>0</v>
      </c>
      <c r="BJ268" s="26">
        <f>F268*G268</f>
        <v>0</v>
      </c>
      <c r="BK268" s="26"/>
      <c r="BL268" s="26">
        <v>96</v>
      </c>
      <c r="BW268" s="26">
        <v>21</v>
      </c>
    </row>
    <row r="269" spans="1:75" ht="13.5" customHeight="1" x14ac:dyDescent="0.25">
      <c r="A269" s="29"/>
      <c r="B269" s="30" t="s">
        <v>56</v>
      </c>
      <c r="C269" s="143" t="s">
        <v>370</v>
      </c>
      <c r="D269" s="144"/>
      <c r="E269" s="144"/>
      <c r="F269" s="144"/>
      <c r="G269" s="145"/>
      <c r="H269" s="144"/>
      <c r="I269" s="144"/>
      <c r="J269" s="146"/>
    </row>
    <row r="270" spans="1:75" x14ac:dyDescent="0.25">
      <c r="A270" s="29"/>
      <c r="C270" s="31" t="s">
        <v>85</v>
      </c>
      <c r="D270" s="31" t="s">
        <v>395</v>
      </c>
      <c r="F270" s="32">
        <v>3</v>
      </c>
      <c r="J270" s="25"/>
    </row>
    <row r="271" spans="1:75" x14ac:dyDescent="0.25">
      <c r="A271" s="29"/>
      <c r="C271" s="31" t="s">
        <v>61</v>
      </c>
      <c r="D271" s="31" t="s">
        <v>396</v>
      </c>
      <c r="F271" s="32">
        <v>2</v>
      </c>
      <c r="J271" s="25"/>
    </row>
    <row r="272" spans="1:75" x14ac:dyDescent="0.25">
      <c r="A272" s="29"/>
      <c r="C272" s="31" t="s">
        <v>61</v>
      </c>
      <c r="D272" s="31" t="s">
        <v>397</v>
      </c>
      <c r="F272" s="32">
        <v>2</v>
      </c>
      <c r="J272" s="25"/>
    </row>
    <row r="273" spans="1:75" x14ac:dyDescent="0.25">
      <c r="A273" s="29"/>
      <c r="C273" s="31" t="s">
        <v>398</v>
      </c>
      <c r="D273" s="31" t="s">
        <v>399</v>
      </c>
      <c r="F273" s="32">
        <v>2</v>
      </c>
      <c r="J273" s="25"/>
    </row>
    <row r="274" spans="1:75" ht="13.5" customHeight="1" x14ac:dyDescent="0.25">
      <c r="A274" s="2" t="s">
        <v>400</v>
      </c>
      <c r="B274" s="3" t="s">
        <v>401</v>
      </c>
      <c r="C274" s="70" t="s">
        <v>402</v>
      </c>
      <c r="D274" s="71"/>
      <c r="E274" s="3" t="s">
        <v>119</v>
      </c>
      <c r="F274" s="26">
        <v>0</v>
      </c>
      <c r="G274" s="27">
        <v>0</v>
      </c>
      <c r="H274" s="26">
        <f>F274*G274</f>
        <v>0</v>
      </c>
      <c r="I274" s="28" t="s">
        <v>52</v>
      </c>
      <c r="J274" s="25"/>
      <c r="Z274" s="26">
        <f>IF(AQ274="5",BJ274,0)</f>
        <v>0</v>
      </c>
      <c r="AB274" s="26">
        <f>IF(AQ274="1",BH274,0)</f>
        <v>0</v>
      </c>
      <c r="AC274" s="26">
        <f>IF(AQ274="1",BI274,0)</f>
        <v>0</v>
      </c>
      <c r="AD274" s="26">
        <f>IF(AQ274="7",BH274,0)</f>
        <v>0</v>
      </c>
      <c r="AE274" s="26">
        <f>IF(AQ274="7",BI274,0)</f>
        <v>0</v>
      </c>
      <c r="AF274" s="26">
        <f>IF(AQ274="2",BH274,0)</f>
        <v>0</v>
      </c>
      <c r="AG274" s="26">
        <f>IF(AQ274="2",BI274,0)</f>
        <v>0</v>
      </c>
      <c r="AH274" s="26">
        <f>IF(AQ274="0",BJ274,0)</f>
        <v>0</v>
      </c>
      <c r="AI274" s="11" t="s">
        <v>45</v>
      </c>
      <c r="AJ274" s="26">
        <f>IF(AN274=0,H274,0)</f>
        <v>0</v>
      </c>
      <c r="AK274" s="26">
        <f>IF(AN274=12,H274,0)</f>
        <v>0</v>
      </c>
      <c r="AL274" s="26">
        <f>IF(AN274=21,H274,0)</f>
        <v>0</v>
      </c>
      <c r="AN274" s="26">
        <v>21</v>
      </c>
      <c r="AO274" s="26">
        <f>G274*0</f>
        <v>0</v>
      </c>
      <c r="AP274" s="26">
        <f>G274*(1-0)</f>
        <v>0</v>
      </c>
      <c r="AQ274" s="28" t="s">
        <v>48</v>
      </c>
      <c r="AV274" s="26">
        <f>AW274+AX274</f>
        <v>0</v>
      </c>
      <c r="AW274" s="26">
        <f>F274*AO274</f>
        <v>0</v>
      </c>
      <c r="AX274" s="26">
        <f>F274*AP274</f>
        <v>0</v>
      </c>
      <c r="AY274" s="28" t="s">
        <v>369</v>
      </c>
      <c r="AZ274" s="28" t="s">
        <v>296</v>
      </c>
      <c r="BA274" s="11" t="s">
        <v>55</v>
      </c>
      <c r="BC274" s="26">
        <f>AW274+AX274</f>
        <v>0</v>
      </c>
      <c r="BD274" s="26">
        <f>G274/(100-BE274)*100</f>
        <v>0</v>
      </c>
      <c r="BE274" s="26">
        <v>0</v>
      </c>
      <c r="BF274" s="26">
        <f>274</f>
        <v>274</v>
      </c>
      <c r="BH274" s="26">
        <f>F274*AO274</f>
        <v>0</v>
      </c>
      <c r="BI274" s="26">
        <f>F274*AP274</f>
        <v>0</v>
      </c>
      <c r="BJ274" s="26">
        <f>F274*G274</f>
        <v>0</v>
      </c>
      <c r="BK274" s="26"/>
      <c r="BL274" s="26">
        <v>96</v>
      </c>
      <c r="BW274" s="26">
        <v>21</v>
      </c>
    </row>
    <row r="275" spans="1:75" ht="13.5" customHeight="1" x14ac:dyDescent="0.25">
      <c r="A275" s="29"/>
      <c r="B275" s="30" t="s">
        <v>56</v>
      </c>
      <c r="C275" s="143" t="s">
        <v>370</v>
      </c>
      <c r="D275" s="144"/>
      <c r="E275" s="144"/>
      <c r="F275" s="144"/>
      <c r="G275" s="145"/>
      <c r="H275" s="144"/>
      <c r="I275" s="144"/>
      <c r="J275" s="146"/>
    </row>
    <row r="276" spans="1:75" ht="13.5" customHeight="1" x14ac:dyDescent="0.25">
      <c r="A276" s="2" t="s">
        <v>403</v>
      </c>
      <c r="B276" s="3" t="s">
        <v>404</v>
      </c>
      <c r="C276" s="70" t="s">
        <v>405</v>
      </c>
      <c r="D276" s="71"/>
      <c r="E276" s="3" t="s">
        <v>51</v>
      </c>
      <c r="F276" s="26">
        <v>124.017</v>
      </c>
      <c r="G276" s="27">
        <v>0</v>
      </c>
      <c r="H276" s="26">
        <f>F276*G276</f>
        <v>0</v>
      </c>
      <c r="I276" s="28" t="s">
        <v>133</v>
      </c>
      <c r="J276" s="25"/>
      <c r="Z276" s="26">
        <f>IF(AQ276="5",BJ276,0)</f>
        <v>0</v>
      </c>
      <c r="AB276" s="26">
        <f>IF(AQ276="1",BH276,0)</f>
        <v>0</v>
      </c>
      <c r="AC276" s="26">
        <f>IF(AQ276="1",BI276,0)</f>
        <v>0</v>
      </c>
      <c r="AD276" s="26">
        <f>IF(AQ276="7",BH276,0)</f>
        <v>0</v>
      </c>
      <c r="AE276" s="26">
        <f>IF(AQ276="7",BI276,0)</f>
        <v>0</v>
      </c>
      <c r="AF276" s="26">
        <f>IF(AQ276="2",BH276,0)</f>
        <v>0</v>
      </c>
      <c r="AG276" s="26">
        <f>IF(AQ276="2",BI276,0)</f>
        <v>0</v>
      </c>
      <c r="AH276" s="26">
        <f>IF(AQ276="0",BJ276,0)</f>
        <v>0</v>
      </c>
      <c r="AI276" s="11" t="s">
        <v>45</v>
      </c>
      <c r="AJ276" s="26">
        <f>IF(AN276=0,H276,0)</f>
        <v>0</v>
      </c>
      <c r="AK276" s="26">
        <f>IF(AN276=12,H276,0)</f>
        <v>0</v>
      </c>
      <c r="AL276" s="26">
        <f>IF(AN276=21,H276,0)</f>
        <v>0</v>
      </c>
      <c r="AN276" s="26">
        <v>21</v>
      </c>
      <c r="AO276" s="26">
        <f>G276*0</f>
        <v>0</v>
      </c>
      <c r="AP276" s="26">
        <f>G276*(1-0)</f>
        <v>0</v>
      </c>
      <c r="AQ276" s="28" t="s">
        <v>48</v>
      </c>
      <c r="AV276" s="26">
        <f>AW276+AX276</f>
        <v>0</v>
      </c>
      <c r="AW276" s="26">
        <f>F276*AO276</f>
        <v>0</v>
      </c>
      <c r="AX276" s="26">
        <f>F276*AP276</f>
        <v>0</v>
      </c>
      <c r="AY276" s="28" t="s">
        <v>369</v>
      </c>
      <c r="AZ276" s="28" t="s">
        <v>296</v>
      </c>
      <c r="BA276" s="11" t="s">
        <v>55</v>
      </c>
      <c r="BC276" s="26">
        <f>AW276+AX276</f>
        <v>0</v>
      </c>
      <c r="BD276" s="26">
        <f>G276/(100-BE276)*100</f>
        <v>0</v>
      </c>
      <c r="BE276" s="26">
        <v>0</v>
      </c>
      <c r="BF276" s="26">
        <f>276</f>
        <v>276</v>
      </c>
      <c r="BH276" s="26">
        <f>F276*AO276</f>
        <v>0</v>
      </c>
      <c r="BI276" s="26">
        <f>F276*AP276</f>
        <v>0</v>
      </c>
      <c r="BJ276" s="26">
        <f>F276*G276</f>
        <v>0</v>
      </c>
      <c r="BK276" s="26"/>
      <c r="BL276" s="26">
        <v>96</v>
      </c>
      <c r="BW276" s="26">
        <v>21</v>
      </c>
    </row>
    <row r="277" spans="1:75" ht="13.5" customHeight="1" x14ac:dyDescent="0.25">
      <c r="A277" s="29"/>
      <c r="B277" s="30" t="s">
        <v>56</v>
      </c>
      <c r="C277" s="143" t="s">
        <v>406</v>
      </c>
      <c r="D277" s="144"/>
      <c r="E277" s="144"/>
      <c r="F277" s="144"/>
      <c r="G277" s="145"/>
      <c r="H277" s="144"/>
      <c r="I277" s="144"/>
      <c r="J277" s="146"/>
    </row>
    <row r="278" spans="1:75" x14ac:dyDescent="0.25">
      <c r="A278" s="29"/>
      <c r="C278" s="31" t="s">
        <v>407</v>
      </c>
      <c r="D278" s="31" t="s">
        <v>408</v>
      </c>
      <c r="F278" s="32">
        <v>2.8559999999999999</v>
      </c>
      <c r="J278" s="25"/>
    </row>
    <row r="279" spans="1:75" x14ac:dyDescent="0.25">
      <c r="A279" s="29"/>
      <c r="C279" s="31" t="s">
        <v>137</v>
      </c>
      <c r="D279" s="31" t="s">
        <v>409</v>
      </c>
      <c r="F279" s="32">
        <v>1.7595000000000001</v>
      </c>
      <c r="J279" s="25"/>
    </row>
    <row r="280" spans="1:75" x14ac:dyDescent="0.25">
      <c r="A280" s="29"/>
      <c r="C280" s="31" t="s">
        <v>410</v>
      </c>
      <c r="D280" s="31" t="s">
        <v>411</v>
      </c>
      <c r="F280" s="32">
        <v>6.3239999999999998</v>
      </c>
      <c r="J280" s="25"/>
    </row>
    <row r="281" spans="1:75" x14ac:dyDescent="0.25">
      <c r="A281" s="29"/>
      <c r="C281" s="31" t="s">
        <v>412</v>
      </c>
      <c r="D281" s="31" t="s">
        <v>413</v>
      </c>
      <c r="F281" s="32">
        <v>9.282</v>
      </c>
      <c r="J281" s="25"/>
    </row>
    <row r="282" spans="1:75" x14ac:dyDescent="0.25">
      <c r="A282" s="29"/>
      <c r="C282" s="31" t="s">
        <v>414</v>
      </c>
      <c r="D282" s="31" t="s">
        <v>415</v>
      </c>
      <c r="F282" s="32">
        <v>22.252500000000001</v>
      </c>
      <c r="J282" s="25"/>
    </row>
    <row r="283" spans="1:75" x14ac:dyDescent="0.25">
      <c r="A283" s="29"/>
      <c r="C283" s="31" t="s">
        <v>168</v>
      </c>
      <c r="D283" s="31" t="s">
        <v>416</v>
      </c>
      <c r="F283" s="32">
        <v>8.0640000000000001</v>
      </c>
      <c r="J283" s="25"/>
    </row>
    <row r="284" spans="1:75" x14ac:dyDescent="0.25">
      <c r="A284" s="29"/>
      <c r="C284" s="31" t="s">
        <v>417</v>
      </c>
      <c r="D284" s="31" t="s">
        <v>418</v>
      </c>
      <c r="F284" s="32">
        <v>2.3664000000000001</v>
      </c>
      <c r="J284" s="25"/>
    </row>
    <row r="285" spans="1:75" x14ac:dyDescent="0.25">
      <c r="A285" s="29"/>
      <c r="C285" s="31" t="s">
        <v>180</v>
      </c>
      <c r="D285" s="31" t="s">
        <v>419</v>
      </c>
      <c r="F285" s="32">
        <v>1.4279999999999999</v>
      </c>
      <c r="J285" s="25"/>
    </row>
    <row r="286" spans="1:75" x14ac:dyDescent="0.25">
      <c r="A286" s="29"/>
      <c r="C286" s="31" t="s">
        <v>420</v>
      </c>
      <c r="D286" s="31" t="s">
        <v>421</v>
      </c>
      <c r="F286" s="32">
        <v>5.2224000000000004</v>
      </c>
      <c r="J286" s="25"/>
    </row>
    <row r="287" spans="1:75" x14ac:dyDescent="0.25">
      <c r="A287" s="29"/>
      <c r="C287" s="31" t="s">
        <v>422</v>
      </c>
      <c r="D287" s="31" t="s">
        <v>423</v>
      </c>
      <c r="F287" s="32">
        <v>7.0175999999999998</v>
      </c>
      <c r="J287" s="25"/>
    </row>
    <row r="288" spans="1:75" x14ac:dyDescent="0.25">
      <c r="A288" s="29"/>
      <c r="C288" s="31" t="s">
        <v>424</v>
      </c>
      <c r="D288" s="31" t="s">
        <v>425</v>
      </c>
      <c r="F288" s="32">
        <v>19.4208</v>
      </c>
      <c r="J288" s="25"/>
    </row>
    <row r="289" spans="1:75" x14ac:dyDescent="0.25">
      <c r="A289" s="29"/>
      <c r="C289" s="31" t="s">
        <v>426</v>
      </c>
      <c r="D289" s="31" t="s">
        <v>427</v>
      </c>
      <c r="F289" s="32">
        <v>3.3639999999999999</v>
      </c>
      <c r="J289" s="25"/>
    </row>
    <row r="290" spans="1:75" x14ac:dyDescent="0.25">
      <c r="A290" s="29"/>
      <c r="C290" s="31" t="s">
        <v>428</v>
      </c>
      <c r="D290" s="31" t="s">
        <v>429</v>
      </c>
      <c r="F290" s="32">
        <v>2.3548</v>
      </c>
      <c r="J290" s="25"/>
    </row>
    <row r="291" spans="1:75" x14ac:dyDescent="0.25">
      <c r="A291" s="29"/>
      <c r="C291" s="31" t="s">
        <v>210</v>
      </c>
      <c r="D291" s="31" t="s">
        <v>430</v>
      </c>
      <c r="F291" s="32">
        <v>1.421</v>
      </c>
      <c r="J291" s="25"/>
    </row>
    <row r="292" spans="1:75" x14ac:dyDescent="0.25">
      <c r="A292" s="29"/>
      <c r="C292" s="31" t="s">
        <v>431</v>
      </c>
      <c r="D292" s="31" t="s">
        <v>432</v>
      </c>
      <c r="F292" s="32">
        <v>21.923999999999999</v>
      </c>
      <c r="J292" s="25"/>
    </row>
    <row r="293" spans="1:75" x14ac:dyDescent="0.25">
      <c r="A293" s="29"/>
      <c r="C293" s="31" t="s">
        <v>433</v>
      </c>
      <c r="D293" s="31" t="s">
        <v>434</v>
      </c>
      <c r="F293" s="32">
        <v>8.9600000000000009</v>
      </c>
      <c r="J293" s="25"/>
    </row>
    <row r="294" spans="1:75" x14ac:dyDescent="0.25">
      <c r="A294" s="33" t="s">
        <v>45</v>
      </c>
      <c r="B294" s="34" t="s">
        <v>435</v>
      </c>
      <c r="C294" s="141" t="s">
        <v>106</v>
      </c>
      <c r="D294" s="142"/>
      <c r="E294" s="35" t="s">
        <v>4</v>
      </c>
      <c r="F294" s="35" t="s">
        <v>4</v>
      </c>
      <c r="G294" s="36" t="s">
        <v>4</v>
      </c>
      <c r="H294" s="1">
        <f>SUM(H295:H295)</f>
        <v>0</v>
      </c>
      <c r="I294" s="11" t="s">
        <v>45</v>
      </c>
      <c r="J294" s="25"/>
      <c r="AI294" s="11" t="s">
        <v>45</v>
      </c>
      <c r="AS294" s="1">
        <f>SUM(AJ295:AJ295)</f>
        <v>0</v>
      </c>
      <c r="AT294" s="1">
        <f>SUM(AK295:AK295)</f>
        <v>0</v>
      </c>
      <c r="AU294" s="1">
        <f>SUM(AL295:AL295)</f>
        <v>0</v>
      </c>
    </row>
    <row r="295" spans="1:75" ht="13.5" customHeight="1" x14ac:dyDescent="0.25">
      <c r="A295" s="2" t="s">
        <v>436</v>
      </c>
      <c r="B295" s="3" t="s">
        <v>437</v>
      </c>
      <c r="C295" s="70" t="s">
        <v>438</v>
      </c>
      <c r="D295" s="71"/>
      <c r="E295" s="3" t="s">
        <v>439</v>
      </c>
      <c r="F295" s="26">
        <v>10</v>
      </c>
      <c r="G295" s="27">
        <v>0</v>
      </c>
      <c r="H295" s="26">
        <f>F295*G295</f>
        <v>0</v>
      </c>
      <c r="I295" s="28" t="s">
        <v>52</v>
      </c>
      <c r="J295" s="25"/>
      <c r="Z295" s="26">
        <f>IF(AQ295="5",BJ295,0)</f>
        <v>0</v>
      </c>
      <c r="AB295" s="26">
        <f>IF(AQ295="1",BH295,0)</f>
        <v>0</v>
      </c>
      <c r="AC295" s="26">
        <f>IF(AQ295="1",BI295,0)</f>
        <v>0</v>
      </c>
      <c r="AD295" s="26">
        <f>IF(AQ295="7",BH295,0)</f>
        <v>0</v>
      </c>
      <c r="AE295" s="26">
        <f>IF(AQ295="7",BI295,0)</f>
        <v>0</v>
      </c>
      <c r="AF295" s="26">
        <f>IF(AQ295="2",BH295,0)</f>
        <v>0</v>
      </c>
      <c r="AG295" s="26">
        <f>IF(AQ295="2",BI295,0)</f>
        <v>0</v>
      </c>
      <c r="AH295" s="26">
        <f>IF(AQ295="0",BJ295,0)</f>
        <v>0</v>
      </c>
      <c r="AI295" s="11" t="s">
        <v>45</v>
      </c>
      <c r="AJ295" s="26">
        <f>IF(AN295=0,H295,0)</f>
        <v>0</v>
      </c>
      <c r="AK295" s="26">
        <f>IF(AN295=12,H295,0)</f>
        <v>0</v>
      </c>
      <c r="AL295" s="26">
        <f>IF(AN295=21,H295,0)</f>
        <v>0</v>
      </c>
      <c r="AN295" s="26">
        <v>21</v>
      </c>
      <c r="AO295" s="26">
        <f>G295*0</f>
        <v>0</v>
      </c>
      <c r="AP295" s="26">
        <f>G295*(1-0)</f>
        <v>0</v>
      </c>
      <c r="AQ295" s="28" t="s">
        <v>116</v>
      </c>
      <c r="AV295" s="26">
        <f>AW295+AX295</f>
        <v>0</v>
      </c>
      <c r="AW295" s="26">
        <f>F295*AO295</f>
        <v>0</v>
      </c>
      <c r="AX295" s="26">
        <f>F295*AP295</f>
        <v>0</v>
      </c>
      <c r="AY295" s="28" t="s">
        <v>440</v>
      </c>
      <c r="AZ295" s="28" t="s">
        <v>296</v>
      </c>
      <c r="BA295" s="11" t="s">
        <v>55</v>
      </c>
      <c r="BC295" s="26">
        <f>AW295+AX295</f>
        <v>0</v>
      </c>
      <c r="BD295" s="26">
        <f>G295/(100-BE295)*100</f>
        <v>0</v>
      </c>
      <c r="BE295" s="26">
        <v>0</v>
      </c>
      <c r="BF295" s="26">
        <f>295</f>
        <v>295</v>
      </c>
      <c r="BH295" s="26">
        <f>F295*AO295</f>
        <v>0</v>
      </c>
      <c r="BI295" s="26">
        <f>F295*AP295</f>
        <v>0</v>
      </c>
      <c r="BJ295" s="26">
        <f>F295*G295</f>
        <v>0</v>
      </c>
      <c r="BK295" s="26"/>
      <c r="BL295" s="26"/>
      <c r="BW295" s="26">
        <v>21</v>
      </c>
    </row>
    <row r="296" spans="1:75" x14ac:dyDescent="0.25">
      <c r="A296" s="29"/>
      <c r="C296" s="31" t="s">
        <v>138</v>
      </c>
      <c r="D296" s="31" t="s">
        <v>45</v>
      </c>
      <c r="F296" s="32">
        <v>10</v>
      </c>
      <c r="J296" s="25"/>
    </row>
    <row r="297" spans="1:75" x14ac:dyDescent="0.25">
      <c r="A297" s="33" t="s">
        <v>45</v>
      </c>
      <c r="B297" s="34" t="s">
        <v>441</v>
      </c>
      <c r="C297" s="141" t="s">
        <v>442</v>
      </c>
      <c r="D297" s="142"/>
      <c r="E297" s="35" t="s">
        <v>4</v>
      </c>
      <c r="F297" s="35" t="s">
        <v>4</v>
      </c>
      <c r="G297" s="36" t="s">
        <v>4</v>
      </c>
      <c r="H297" s="1">
        <f>SUM(H298:H298)</f>
        <v>0</v>
      </c>
      <c r="I297" s="11" t="s">
        <v>45</v>
      </c>
      <c r="J297" s="25"/>
      <c r="AI297" s="11" t="s">
        <v>45</v>
      </c>
      <c r="AS297" s="1">
        <f>SUM(AJ298:AJ298)</f>
        <v>0</v>
      </c>
      <c r="AT297" s="1">
        <f>SUM(AK298:AK298)</f>
        <v>0</v>
      </c>
      <c r="AU297" s="1">
        <f>SUM(AL298:AL298)</f>
        <v>0</v>
      </c>
    </row>
    <row r="298" spans="1:75" ht="13.5" customHeight="1" x14ac:dyDescent="0.25">
      <c r="A298" s="2" t="s">
        <v>288</v>
      </c>
      <c r="B298" s="3" t="s">
        <v>443</v>
      </c>
      <c r="C298" s="70" t="s">
        <v>444</v>
      </c>
      <c r="D298" s="71"/>
      <c r="E298" s="3" t="s">
        <v>439</v>
      </c>
      <c r="F298" s="26">
        <v>10</v>
      </c>
      <c r="G298" s="27">
        <v>0</v>
      </c>
      <c r="H298" s="26">
        <f>F298*G298</f>
        <v>0</v>
      </c>
      <c r="I298" s="28" t="s">
        <v>52</v>
      </c>
      <c r="J298" s="25"/>
      <c r="Z298" s="26">
        <f>IF(AQ298="5",BJ298,0)</f>
        <v>0</v>
      </c>
      <c r="AB298" s="26">
        <f>IF(AQ298="1",BH298,0)</f>
        <v>0</v>
      </c>
      <c r="AC298" s="26">
        <f>IF(AQ298="1",BI298,0)</f>
        <v>0</v>
      </c>
      <c r="AD298" s="26">
        <f>IF(AQ298="7",BH298,0)</f>
        <v>0</v>
      </c>
      <c r="AE298" s="26">
        <f>IF(AQ298="7",BI298,0)</f>
        <v>0</v>
      </c>
      <c r="AF298" s="26">
        <f>IF(AQ298="2",BH298,0)</f>
        <v>0</v>
      </c>
      <c r="AG298" s="26">
        <f>IF(AQ298="2",BI298,0)</f>
        <v>0</v>
      </c>
      <c r="AH298" s="26">
        <f>IF(AQ298="0",BJ298,0)</f>
        <v>0</v>
      </c>
      <c r="AI298" s="11" t="s">
        <v>45</v>
      </c>
      <c r="AJ298" s="26">
        <f>IF(AN298=0,H298,0)</f>
        <v>0</v>
      </c>
      <c r="AK298" s="26">
        <f>IF(AN298=12,H298,0)</f>
        <v>0</v>
      </c>
      <c r="AL298" s="26">
        <f>IF(AN298=21,H298,0)</f>
        <v>0</v>
      </c>
      <c r="AN298" s="26">
        <v>21</v>
      </c>
      <c r="AO298" s="26">
        <f>G298*0</f>
        <v>0</v>
      </c>
      <c r="AP298" s="26">
        <f>G298*(1-0)</f>
        <v>0</v>
      </c>
      <c r="AQ298" s="28" t="s">
        <v>116</v>
      </c>
      <c r="AV298" s="26">
        <f>AW298+AX298</f>
        <v>0</v>
      </c>
      <c r="AW298" s="26">
        <f>F298*AO298</f>
        <v>0</v>
      </c>
      <c r="AX298" s="26">
        <f>F298*AP298</f>
        <v>0</v>
      </c>
      <c r="AY298" s="28" t="s">
        <v>445</v>
      </c>
      <c r="AZ298" s="28" t="s">
        <v>296</v>
      </c>
      <c r="BA298" s="11" t="s">
        <v>55</v>
      </c>
      <c r="BC298" s="26">
        <f>AW298+AX298</f>
        <v>0</v>
      </c>
      <c r="BD298" s="26">
        <f>G298/(100-BE298)*100</f>
        <v>0</v>
      </c>
      <c r="BE298" s="26">
        <v>0</v>
      </c>
      <c r="BF298" s="26">
        <f>298</f>
        <v>298</v>
      </c>
      <c r="BH298" s="26">
        <f>F298*AO298</f>
        <v>0</v>
      </c>
      <c r="BI298" s="26">
        <f>F298*AP298</f>
        <v>0</v>
      </c>
      <c r="BJ298" s="26">
        <f>F298*G298</f>
        <v>0</v>
      </c>
      <c r="BK298" s="26"/>
      <c r="BL298" s="26"/>
      <c r="BW298" s="26">
        <v>21</v>
      </c>
    </row>
    <row r="299" spans="1:75" x14ac:dyDescent="0.25">
      <c r="A299" s="29"/>
      <c r="C299" s="31" t="s">
        <v>138</v>
      </c>
      <c r="D299" s="31" t="s">
        <v>45</v>
      </c>
      <c r="F299" s="32">
        <v>10</v>
      </c>
      <c r="J299" s="25"/>
    </row>
    <row r="300" spans="1:75" x14ac:dyDescent="0.25">
      <c r="A300" s="33" t="s">
        <v>45</v>
      </c>
      <c r="B300" s="34" t="s">
        <v>446</v>
      </c>
      <c r="C300" s="141" t="s">
        <v>447</v>
      </c>
      <c r="D300" s="142"/>
      <c r="E300" s="35" t="s">
        <v>4</v>
      </c>
      <c r="F300" s="35" t="s">
        <v>4</v>
      </c>
      <c r="G300" s="36" t="s">
        <v>4</v>
      </c>
      <c r="H300" s="1">
        <f>SUM(H301:H309)</f>
        <v>0</v>
      </c>
      <c r="I300" s="11" t="s">
        <v>45</v>
      </c>
      <c r="J300" s="25"/>
      <c r="AI300" s="11" t="s">
        <v>45</v>
      </c>
      <c r="AS300" s="1">
        <f>SUM(AJ301:AJ309)</f>
        <v>0</v>
      </c>
      <c r="AT300" s="1">
        <f>SUM(AK301:AK309)</f>
        <v>0</v>
      </c>
      <c r="AU300" s="1">
        <f>SUM(AL301:AL309)</f>
        <v>0</v>
      </c>
    </row>
    <row r="301" spans="1:75" ht="13.5" customHeight="1" x14ac:dyDescent="0.25">
      <c r="A301" s="2" t="s">
        <v>46</v>
      </c>
      <c r="B301" s="3" t="s">
        <v>448</v>
      </c>
      <c r="C301" s="70" t="s">
        <v>449</v>
      </c>
      <c r="D301" s="71"/>
      <c r="E301" s="3" t="s">
        <v>439</v>
      </c>
      <c r="F301" s="26">
        <v>10</v>
      </c>
      <c r="G301" s="27">
        <v>0</v>
      </c>
      <c r="H301" s="26">
        <f>F301*G301</f>
        <v>0</v>
      </c>
      <c r="I301" s="28" t="s">
        <v>52</v>
      </c>
      <c r="J301" s="25"/>
      <c r="Z301" s="26">
        <f>IF(AQ301="5",BJ301,0)</f>
        <v>0</v>
      </c>
      <c r="AB301" s="26">
        <f>IF(AQ301="1",BH301,0)</f>
        <v>0</v>
      </c>
      <c r="AC301" s="26">
        <f>IF(AQ301="1",BI301,0)</f>
        <v>0</v>
      </c>
      <c r="AD301" s="26">
        <f>IF(AQ301="7",BH301,0)</f>
        <v>0</v>
      </c>
      <c r="AE301" s="26">
        <f>IF(AQ301="7",BI301,0)</f>
        <v>0</v>
      </c>
      <c r="AF301" s="26">
        <f>IF(AQ301="2",BH301,0)</f>
        <v>0</v>
      </c>
      <c r="AG301" s="26">
        <f>IF(AQ301="2",BI301,0)</f>
        <v>0</v>
      </c>
      <c r="AH301" s="26">
        <f>IF(AQ301="0",BJ301,0)</f>
        <v>0</v>
      </c>
      <c r="AI301" s="11" t="s">
        <v>45</v>
      </c>
      <c r="AJ301" s="26">
        <f>IF(AN301=0,H301,0)</f>
        <v>0</v>
      </c>
      <c r="AK301" s="26">
        <f>IF(AN301=12,H301,0)</f>
        <v>0</v>
      </c>
      <c r="AL301" s="26">
        <f>IF(AN301=21,H301,0)</f>
        <v>0</v>
      </c>
      <c r="AN301" s="26">
        <v>21</v>
      </c>
      <c r="AO301" s="26">
        <f>G301*0</f>
        <v>0</v>
      </c>
      <c r="AP301" s="26">
        <f>G301*(1-0)</f>
        <v>0</v>
      </c>
      <c r="AQ301" s="28" t="s">
        <v>116</v>
      </c>
      <c r="AV301" s="26">
        <f>AW301+AX301</f>
        <v>0</v>
      </c>
      <c r="AW301" s="26">
        <f>F301*AO301</f>
        <v>0</v>
      </c>
      <c r="AX301" s="26">
        <f>F301*AP301</f>
        <v>0</v>
      </c>
      <c r="AY301" s="28" t="s">
        <v>450</v>
      </c>
      <c r="AZ301" s="28" t="s">
        <v>296</v>
      </c>
      <c r="BA301" s="11" t="s">
        <v>55</v>
      </c>
      <c r="BC301" s="26">
        <f>AW301+AX301</f>
        <v>0</v>
      </c>
      <c r="BD301" s="26">
        <f>G301/(100-BE301)*100</f>
        <v>0</v>
      </c>
      <c r="BE301" s="26">
        <v>0</v>
      </c>
      <c r="BF301" s="26">
        <f>301</f>
        <v>301</v>
      </c>
      <c r="BH301" s="26">
        <f>F301*AO301</f>
        <v>0</v>
      </c>
      <c r="BI301" s="26">
        <f>F301*AP301</f>
        <v>0</v>
      </c>
      <c r="BJ301" s="26">
        <f>F301*G301</f>
        <v>0</v>
      </c>
      <c r="BK301" s="26"/>
      <c r="BL301" s="26"/>
      <c r="BW301" s="26">
        <v>21</v>
      </c>
    </row>
    <row r="302" spans="1:75" ht="13.5" customHeight="1" x14ac:dyDescent="0.25">
      <c r="A302" s="29"/>
      <c r="B302" s="30" t="s">
        <v>56</v>
      </c>
      <c r="C302" s="143" t="s">
        <v>451</v>
      </c>
      <c r="D302" s="144"/>
      <c r="E302" s="144"/>
      <c r="F302" s="144"/>
      <c r="G302" s="145"/>
      <c r="H302" s="144"/>
      <c r="I302" s="144"/>
      <c r="J302" s="146"/>
    </row>
    <row r="303" spans="1:75" x14ac:dyDescent="0.25">
      <c r="A303" s="29"/>
      <c r="C303" s="31" t="s">
        <v>138</v>
      </c>
      <c r="D303" s="31" t="s">
        <v>45</v>
      </c>
      <c r="F303" s="32">
        <v>10</v>
      </c>
      <c r="J303" s="25"/>
    </row>
    <row r="304" spans="1:75" ht="13.5" customHeight="1" x14ac:dyDescent="0.25">
      <c r="A304" s="2" t="s">
        <v>59</v>
      </c>
      <c r="B304" s="3" t="s">
        <v>452</v>
      </c>
      <c r="C304" s="70" t="s">
        <v>453</v>
      </c>
      <c r="D304" s="71"/>
      <c r="E304" s="3" t="s">
        <v>439</v>
      </c>
      <c r="F304" s="26">
        <v>10</v>
      </c>
      <c r="G304" s="27">
        <v>0</v>
      </c>
      <c r="H304" s="26">
        <f>F304*G304</f>
        <v>0</v>
      </c>
      <c r="I304" s="28" t="s">
        <v>52</v>
      </c>
      <c r="J304" s="25"/>
      <c r="Z304" s="26">
        <f>IF(AQ304="5",BJ304,0)</f>
        <v>0</v>
      </c>
      <c r="AB304" s="26">
        <f>IF(AQ304="1",BH304,0)</f>
        <v>0</v>
      </c>
      <c r="AC304" s="26">
        <f>IF(AQ304="1",BI304,0)</f>
        <v>0</v>
      </c>
      <c r="AD304" s="26">
        <f>IF(AQ304="7",BH304,0)</f>
        <v>0</v>
      </c>
      <c r="AE304" s="26">
        <f>IF(AQ304="7",BI304,0)</f>
        <v>0</v>
      </c>
      <c r="AF304" s="26">
        <f>IF(AQ304="2",BH304,0)</f>
        <v>0</v>
      </c>
      <c r="AG304" s="26">
        <f>IF(AQ304="2",BI304,0)</f>
        <v>0</v>
      </c>
      <c r="AH304" s="26">
        <f>IF(AQ304="0",BJ304,0)</f>
        <v>0</v>
      </c>
      <c r="AI304" s="11" t="s">
        <v>45</v>
      </c>
      <c r="AJ304" s="26">
        <f>IF(AN304=0,H304,0)</f>
        <v>0</v>
      </c>
      <c r="AK304" s="26">
        <f>IF(AN304=12,H304,0)</f>
        <v>0</v>
      </c>
      <c r="AL304" s="26">
        <f>IF(AN304=21,H304,0)</f>
        <v>0</v>
      </c>
      <c r="AN304" s="26">
        <v>21</v>
      </c>
      <c r="AO304" s="26">
        <f>G304*0</f>
        <v>0</v>
      </c>
      <c r="AP304" s="26">
        <f>G304*(1-0)</f>
        <v>0</v>
      </c>
      <c r="AQ304" s="28" t="s">
        <v>116</v>
      </c>
      <c r="AV304" s="26">
        <f>AW304+AX304</f>
        <v>0</v>
      </c>
      <c r="AW304" s="26">
        <f>F304*AO304</f>
        <v>0</v>
      </c>
      <c r="AX304" s="26">
        <f>F304*AP304</f>
        <v>0</v>
      </c>
      <c r="AY304" s="28" t="s">
        <v>450</v>
      </c>
      <c r="AZ304" s="28" t="s">
        <v>296</v>
      </c>
      <c r="BA304" s="11" t="s">
        <v>55</v>
      </c>
      <c r="BC304" s="26">
        <f>AW304+AX304</f>
        <v>0</v>
      </c>
      <c r="BD304" s="26">
        <f>G304/(100-BE304)*100</f>
        <v>0</v>
      </c>
      <c r="BE304" s="26">
        <v>0</v>
      </c>
      <c r="BF304" s="26">
        <f>304</f>
        <v>304</v>
      </c>
      <c r="BH304" s="26">
        <f>F304*AO304</f>
        <v>0</v>
      </c>
      <c r="BI304" s="26">
        <f>F304*AP304</f>
        <v>0</v>
      </c>
      <c r="BJ304" s="26">
        <f>F304*G304</f>
        <v>0</v>
      </c>
      <c r="BK304" s="26"/>
      <c r="BL304" s="26"/>
      <c r="BW304" s="26">
        <v>21</v>
      </c>
    </row>
    <row r="305" spans="1:75" ht="13.5" customHeight="1" x14ac:dyDescent="0.25">
      <c r="A305" s="29"/>
      <c r="B305" s="30" t="s">
        <v>56</v>
      </c>
      <c r="C305" s="143" t="s">
        <v>451</v>
      </c>
      <c r="D305" s="144"/>
      <c r="E305" s="144"/>
      <c r="F305" s="144"/>
      <c r="G305" s="145"/>
      <c r="H305" s="144"/>
      <c r="I305" s="144"/>
      <c r="J305" s="146"/>
    </row>
    <row r="306" spans="1:75" x14ac:dyDescent="0.25">
      <c r="A306" s="29"/>
      <c r="C306" s="31" t="s">
        <v>138</v>
      </c>
      <c r="D306" s="31" t="s">
        <v>45</v>
      </c>
      <c r="F306" s="32">
        <v>10</v>
      </c>
      <c r="J306" s="25"/>
    </row>
    <row r="307" spans="1:75" ht="13.5" customHeight="1" x14ac:dyDescent="0.25">
      <c r="A307" s="2" t="s">
        <v>454</v>
      </c>
      <c r="B307" s="3" t="s">
        <v>455</v>
      </c>
      <c r="C307" s="70" t="s">
        <v>456</v>
      </c>
      <c r="D307" s="71"/>
      <c r="E307" s="3" t="s">
        <v>439</v>
      </c>
      <c r="F307" s="26">
        <v>9</v>
      </c>
      <c r="G307" s="27">
        <v>0</v>
      </c>
      <c r="H307" s="26">
        <f>F307*G307</f>
        <v>0</v>
      </c>
      <c r="I307" s="28" t="s">
        <v>52</v>
      </c>
      <c r="J307" s="25"/>
      <c r="Z307" s="26">
        <f>IF(AQ307="5",BJ307,0)</f>
        <v>0</v>
      </c>
      <c r="AB307" s="26">
        <f>IF(AQ307="1",BH307,0)</f>
        <v>0</v>
      </c>
      <c r="AC307" s="26">
        <f>IF(AQ307="1",BI307,0)</f>
        <v>0</v>
      </c>
      <c r="AD307" s="26">
        <f>IF(AQ307="7",BH307,0)</f>
        <v>0</v>
      </c>
      <c r="AE307" s="26">
        <f>IF(AQ307="7",BI307,0)</f>
        <v>0</v>
      </c>
      <c r="AF307" s="26">
        <f>IF(AQ307="2",BH307,0)</f>
        <v>0</v>
      </c>
      <c r="AG307" s="26">
        <f>IF(AQ307="2",BI307,0)</f>
        <v>0</v>
      </c>
      <c r="AH307" s="26">
        <f>IF(AQ307="0",BJ307,0)</f>
        <v>0</v>
      </c>
      <c r="AI307" s="11" t="s">
        <v>45</v>
      </c>
      <c r="AJ307" s="26">
        <f>IF(AN307=0,H307,0)</f>
        <v>0</v>
      </c>
      <c r="AK307" s="26">
        <f>IF(AN307=12,H307,0)</f>
        <v>0</v>
      </c>
      <c r="AL307" s="26">
        <f>IF(AN307=21,H307,0)</f>
        <v>0</v>
      </c>
      <c r="AN307" s="26">
        <v>21</v>
      </c>
      <c r="AO307" s="26">
        <f>G307*0</f>
        <v>0</v>
      </c>
      <c r="AP307" s="26">
        <f>G307*(1-0)</f>
        <v>0</v>
      </c>
      <c r="AQ307" s="28" t="s">
        <v>116</v>
      </c>
      <c r="AV307" s="26">
        <f>AW307+AX307</f>
        <v>0</v>
      </c>
      <c r="AW307" s="26">
        <f>F307*AO307</f>
        <v>0</v>
      </c>
      <c r="AX307" s="26">
        <f>F307*AP307</f>
        <v>0</v>
      </c>
      <c r="AY307" s="28" t="s">
        <v>450</v>
      </c>
      <c r="AZ307" s="28" t="s">
        <v>296</v>
      </c>
      <c r="BA307" s="11" t="s">
        <v>55</v>
      </c>
      <c r="BC307" s="26">
        <f>AW307+AX307</f>
        <v>0</v>
      </c>
      <c r="BD307" s="26">
        <f>G307/(100-BE307)*100</f>
        <v>0</v>
      </c>
      <c r="BE307" s="26">
        <v>0</v>
      </c>
      <c r="BF307" s="26">
        <f>307</f>
        <v>307</v>
      </c>
      <c r="BH307" s="26">
        <f>F307*AO307</f>
        <v>0</v>
      </c>
      <c r="BI307" s="26">
        <f>F307*AP307</f>
        <v>0</v>
      </c>
      <c r="BJ307" s="26">
        <f>F307*G307</f>
        <v>0</v>
      </c>
      <c r="BK307" s="26"/>
      <c r="BL307" s="26"/>
      <c r="BW307" s="26">
        <v>21</v>
      </c>
    </row>
    <row r="308" spans="1:75" x14ac:dyDescent="0.25">
      <c r="A308" s="29"/>
      <c r="C308" s="31" t="s">
        <v>134</v>
      </c>
      <c r="D308" s="31" t="s">
        <v>45</v>
      </c>
      <c r="F308" s="32">
        <v>9</v>
      </c>
      <c r="J308" s="25"/>
    </row>
    <row r="309" spans="1:75" ht="13.5" customHeight="1" x14ac:dyDescent="0.25">
      <c r="A309" s="2" t="s">
        <v>457</v>
      </c>
      <c r="B309" s="3" t="s">
        <v>458</v>
      </c>
      <c r="C309" s="70" t="s">
        <v>459</v>
      </c>
      <c r="D309" s="71"/>
      <c r="E309" s="3" t="s">
        <v>439</v>
      </c>
      <c r="F309" s="26">
        <v>1</v>
      </c>
      <c r="G309" s="27">
        <v>0</v>
      </c>
      <c r="H309" s="26">
        <f>F309*G309</f>
        <v>0</v>
      </c>
      <c r="I309" s="28" t="s">
        <v>52</v>
      </c>
      <c r="J309" s="25"/>
      <c r="Z309" s="26">
        <f>IF(AQ309="5",BJ309,0)</f>
        <v>0</v>
      </c>
      <c r="AB309" s="26">
        <f>IF(AQ309="1",BH309,0)</f>
        <v>0</v>
      </c>
      <c r="AC309" s="26">
        <f>IF(AQ309="1",BI309,0)</f>
        <v>0</v>
      </c>
      <c r="AD309" s="26">
        <f>IF(AQ309="7",BH309,0)</f>
        <v>0</v>
      </c>
      <c r="AE309" s="26">
        <f>IF(AQ309="7",BI309,0)</f>
        <v>0</v>
      </c>
      <c r="AF309" s="26">
        <f>IF(AQ309="2",BH309,0)</f>
        <v>0</v>
      </c>
      <c r="AG309" s="26">
        <f>IF(AQ309="2",BI309,0)</f>
        <v>0</v>
      </c>
      <c r="AH309" s="26">
        <f>IF(AQ309="0",BJ309,0)</f>
        <v>0</v>
      </c>
      <c r="AI309" s="11" t="s">
        <v>45</v>
      </c>
      <c r="AJ309" s="26">
        <f>IF(AN309=0,H309,0)</f>
        <v>0</v>
      </c>
      <c r="AK309" s="26">
        <f>IF(AN309=12,H309,0)</f>
        <v>0</v>
      </c>
      <c r="AL309" s="26">
        <f>IF(AN309=21,H309,0)</f>
        <v>0</v>
      </c>
      <c r="AN309" s="26">
        <v>21</v>
      </c>
      <c r="AO309" s="26">
        <f>G309*0</f>
        <v>0</v>
      </c>
      <c r="AP309" s="26">
        <f>G309*(1-0)</f>
        <v>0</v>
      </c>
      <c r="AQ309" s="28" t="s">
        <v>116</v>
      </c>
      <c r="AV309" s="26">
        <f>AW309+AX309</f>
        <v>0</v>
      </c>
      <c r="AW309" s="26">
        <f>F309*AO309</f>
        <v>0</v>
      </c>
      <c r="AX309" s="26">
        <f>F309*AP309</f>
        <v>0</v>
      </c>
      <c r="AY309" s="28" t="s">
        <v>450</v>
      </c>
      <c r="AZ309" s="28" t="s">
        <v>296</v>
      </c>
      <c r="BA309" s="11" t="s">
        <v>55</v>
      </c>
      <c r="BC309" s="26">
        <f>AW309+AX309</f>
        <v>0</v>
      </c>
      <c r="BD309" s="26">
        <f>G309/(100-BE309)*100</f>
        <v>0</v>
      </c>
      <c r="BE309" s="26">
        <v>0</v>
      </c>
      <c r="BF309" s="26">
        <f>309</f>
        <v>309</v>
      </c>
      <c r="BH309" s="26">
        <f>F309*AO309</f>
        <v>0</v>
      </c>
      <c r="BI309" s="26">
        <f>F309*AP309</f>
        <v>0</v>
      </c>
      <c r="BJ309" s="26">
        <f>F309*G309</f>
        <v>0</v>
      </c>
      <c r="BK309" s="26"/>
      <c r="BL309" s="26"/>
      <c r="BW309" s="26">
        <v>21</v>
      </c>
    </row>
    <row r="310" spans="1:75" x14ac:dyDescent="0.25">
      <c r="A310" s="37"/>
      <c r="B310" s="38"/>
      <c r="C310" s="39" t="s">
        <v>48</v>
      </c>
      <c r="D310" s="39" t="s">
        <v>45</v>
      </c>
      <c r="E310" s="38"/>
      <c r="F310" s="40">
        <v>1</v>
      </c>
      <c r="G310" s="41"/>
      <c r="H310" s="38"/>
      <c r="I310" s="38"/>
      <c r="J310" s="42"/>
    </row>
    <row r="311" spans="1:75" x14ac:dyDescent="0.25">
      <c r="H311" s="43">
        <f>H12+H16+H55+H178+H197+H200+H203+H228+H249+H294+H297+H300</f>
        <v>0</v>
      </c>
    </row>
    <row r="312" spans="1:75" x14ac:dyDescent="0.25">
      <c r="A312" s="44" t="s">
        <v>460</v>
      </c>
    </row>
    <row r="313" spans="1:75" ht="12.75" customHeight="1" x14ac:dyDescent="0.25">
      <c r="A313" s="70" t="s">
        <v>45</v>
      </c>
      <c r="B313" s="71"/>
      <c r="C313" s="71"/>
      <c r="D313" s="71"/>
      <c r="E313" s="71"/>
      <c r="F313" s="71"/>
      <c r="G313" s="71"/>
      <c r="H313" s="71"/>
      <c r="I313" s="71"/>
      <c r="J313" s="71"/>
    </row>
  </sheetData>
  <sheetProtection password="E93C" sheet="1"/>
  <mergeCells count="149"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C17:D17"/>
    <mergeCell ref="C36:D36"/>
    <mergeCell ref="C37:J37"/>
    <mergeCell ref="C55:D55"/>
    <mergeCell ref="C56:D56"/>
    <mergeCell ref="C11:D11"/>
    <mergeCell ref="C12:D12"/>
    <mergeCell ref="C13:D13"/>
    <mergeCell ref="C14:J14"/>
    <mergeCell ref="C16:D16"/>
    <mergeCell ref="C65:J65"/>
    <mergeCell ref="C67:D67"/>
    <mergeCell ref="C68:J68"/>
    <mergeCell ref="C70:D70"/>
    <mergeCell ref="C71:J71"/>
    <mergeCell ref="C57:J57"/>
    <mergeCell ref="C59:D59"/>
    <mergeCell ref="C61:D61"/>
    <mergeCell ref="C62:J62"/>
    <mergeCell ref="C64:D64"/>
    <mergeCell ref="C80:J80"/>
    <mergeCell ref="C82:D82"/>
    <mergeCell ref="C83:J83"/>
    <mergeCell ref="C85:D85"/>
    <mergeCell ref="C86:J86"/>
    <mergeCell ref="C73:D73"/>
    <mergeCell ref="C74:J74"/>
    <mergeCell ref="C76:D76"/>
    <mergeCell ref="C77:J77"/>
    <mergeCell ref="C79:D79"/>
    <mergeCell ref="C95:J95"/>
    <mergeCell ref="C98:D98"/>
    <mergeCell ref="C99:J99"/>
    <mergeCell ref="C101:D101"/>
    <mergeCell ref="C102:J102"/>
    <mergeCell ref="C88:D88"/>
    <mergeCell ref="C89:J89"/>
    <mergeCell ref="C91:D91"/>
    <mergeCell ref="C92:J92"/>
    <mergeCell ref="C94:D94"/>
    <mergeCell ref="C112:J112"/>
    <mergeCell ref="C114:D114"/>
    <mergeCell ref="C115:J115"/>
    <mergeCell ref="C119:D119"/>
    <mergeCell ref="C120:J120"/>
    <mergeCell ref="C104:D104"/>
    <mergeCell ref="C105:J105"/>
    <mergeCell ref="C108:D108"/>
    <mergeCell ref="C109:J109"/>
    <mergeCell ref="C111:D111"/>
    <mergeCell ref="C130:J130"/>
    <mergeCell ref="C132:D132"/>
    <mergeCell ref="C133:J133"/>
    <mergeCell ref="C135:D135"/>
    <mergeCell ref="C136:J136"/>
    <mergeCell ref="C123:D123"/>
    <mergeCell ref="C124:J124"/>
    <mergeCell ref="C126:D126"/>
    <mergeCell ref="C127:J127"/>
    <mergeCell ref="C129:D129"/>
    <mergeCell ref="C145:J145"/>
    <mergeCell ref="C147:D147"/>
    <mergeCell ref="C148:J148"/>
    <mergeCell ref="C150:D150"/>
    <mergeCell ref="C151:J151"/>
    <mergeCell ref="C138:D138"/>
    <mergeCell ref="C139:J139"/>
    <mergeCell ref="C141:D141"/>
    <mergeCell ref="C142:J142"/>
    <mergeCell ref="C144:D144"/>
    <mergeCell ref="C178:D178"/>
    <mergeCell ref="C179:D179"/>
    <mergeCell ref="C185:D185"/>
    <mergeCell ref="C186:J186"/>
    <mergeCell ref="C191:D191"/>
    <mergeCell ref="C153:D153"/>
    <mergeCell ref="C154:J154"/>
    <mergeCell ref="C156:D156"/>
    <mergeCell ref="C157:J157"/>
    <mergeCell ref="C159:D159"/>
    <mergeCell ref="C203:D203"/>
    <mergeCell ref="C204:D204"/>
    <mergeCell ref="C206:D206"/>
    <mergeCell ref="C208:D208"/>
    <mergeCell ref="C210:D210"/>
    <mergeCell ref="C192:J192"/>
    <mergeCell ref="C197:D197"/>
    <mergeCell ref="C198:D198"/>
    <mergeCell ref="C200:D200"/>
    <mergeCell ref="C201:D201"/>
    <mergeCell ref="C221:J221"/>
    <mergeCell ref="C223:D223"/>
    <mergeCell ref="C224:J224"/>
    <mergeCell ref="C226:D226"/>
    <mergeCell ref="C228:D228"/>
    <mergeCell ref="C212:D212"/>
    <mergeCell ref="C214:D214"/>
    <mergeCell ref="C216:D216"/>
    <mergeCell ref="C218:D218"/>
    <mergeCell ref="C220:D220"/>
    <mergeCell ref="C268:D268"/>
    <mergeCell ref="C269:J269"/>
    <mergeCell ref="C274:D274"/>
    <mergeCell ref="C275:J275"/>
    <mergeCell ref="C276:D276"/>
    <mergeCell ref="C229:D229"/>
    <mergeCell ref="C230:J230"/>
    <mergeCell ref="C249:D249"/>
    <mergeCell ref="C250:D250"/>
    <mergeCell ref="C251:J251"/>
    <mergeCell ref="C307:D307"/>
    <mergeCell ref="C309:D309"/>
    <mergeCell ref="A313:J313"/>
    <mergeCell ref="C300:D300"/>
    <mergeCell ref="C301:D301"/>
    <mergeCell ref="C302:J302"/>
    <mergeCell ref="C304:D304"/>
    <mergeCell ref="C305:J305"/>
    <mergeCell ref="C277:J277"/>
    <mergeCell ref="C294:D294"/>
    <mergeCell ref="C295:D295"/>
    <mergeCell ref="C297:D297"/>
    <mergeCell ref="C298:D298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Jiří Bárta</cp:lastModifiedBy>
  <dcterms:created xsi:type="dcterms:W3CDTF">2021-06-10T20:06:38Z</dcterms:created>
  <dcterms:modified xsi:type="dcterms:W3CDTF">2024-11-20T13:07:53Z</dcterms:modified>
</cp:coreProperties>
</file>