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22695" windowHeight="10425"/>
  </bookViews>
  <sheets>
    <sheet name="Stavební rozpočet" sheetId="1" r:id="rId1"/>
    <sheet name="Stavební rozpočet - součet" sheetId="2" r:id="rId2"/>
    <sheet name="Krycí list rozpočtu" sheetId="3" r:id="rId3"/>
    <sheet name="VORN" sheetId="4" state="hidden" r:id="rId4"/>
  </sheets>
  <definedNames>
    <definedName name="vorn_sum">VORN!$I$45</definedName>
  </definedNames>
  <calcPr calcId="144525"/>
</workbook>
</file>

<file path=xl/calcChain.xml><?xml version="1.0" encoding="utf-8"?>
<calcChain xmlns="http://schemas.openxmlformats.org/spreadsheetml/2006/main">
  <c r="F44" i="4" l="1"/>
  <c r="I44" i="4" s="1"/>
  <c r="F43" i="4"/>
  <c r="I43" i="4" s="1"/>
  <c r="F42" i="4"/>
  <c r="I42" i="4" s="1"/>
  <c r="F41" i="4"/>
  <c r="I41" i="4" s="1"/>
  <c r="F40" i="4"/>
  <c r="I40" i="4" s="1"/>
  <c r="F36" i="4"/>
  <c r="I36" i="4" s="1"/>
  <c r="F35" i="4"/>
  <c r="I35" i="4" s="1"/>
  <c r="I26" i="4"/>
  <c r="I25" i="4"/>
  <c r="I24" i="4"/>
  <c r="I23" i="4"/>
  <c r="I22" i="4"/>
  <c r="I21" i="4"/>
  <c r="I27" i="4" s="1"/>
  <c r="I17" i="4"/>
  <c r="I16" i="4"/>
  <c r="I15" i="4"/>
  <c r="I18" i="4" s="1"/>
  <c r="F29" i="4" s="1"/>
  <c r="I10" i="4"/>
  <c r="F10" i="4"/>
  <c r="C10" i="4"/>
  <c r="F8" i="4"/>
  <c r="C8" i="4"/>
  <c r="F6" i="4"/>
  <c r="C6" i="4"/>
  <c r="F4" i="4"/>
  <c r="C4" i="4"/>
  <c r="F2" i="4"/>
  <c r="C2" i="4"/>
  <c r="I19" i="3"/>
  <c r="I18" i="3"/>
  <c r="I17" i="3"/>
  <c r="I16" i="3"/>
  <c r="F16" i="3"/>
  <c r="I15" i="3"/>
  <c r="F15" i="3"/>
  <c r="F22" i="3" s="1"/>
  <c r="I14" i="3"/>
  <c r="I22" i="3" s="1"/>
  <c r="F14" i="3"/>
  <c r="I10" i="3"/>
  <c r="F10" i="3"/>
  <c r="C10" i="3"/>
  <c r="F8" i="3"/>
  <c r="C8" i="3"/>
  <c r="F6" i="3"/>
  <c r="C6" i="3"/>
  <c r="F4" i="3"/>
  <c r="C4" i="3"/>
  <c r="F2" i="3"/>
  <c r="C2" i="3"/>
  <c r="F42" i="2"/>
  <c r="F40" i="2"/>
  <c r="I39" i="2"/>
  <c r="G8" i="2"/>
  <c r="C8" i="2"/>
  <c r="G6" i="2"/>
  <c r="C6" i="2"/>
  <c r="G4" i="2"/>
  <c r="C4" i="2"/>
  <c r="G2" i="2"/>
  <c r="C2" i="2"/>
  <c r="BW412" i="1"/>
  <c r="BQ412" i="1"/>
  <c r="F39" i="4" s="1"/>
  <c r="I39" i="4" s="1"/>
  <c r="BJ412" i="1"/>
  <c r="BF412" i="1"/>
  <c r="BD412" i="1"/>
  <c r="AX412" i="1"/>
  <c r="AP412" i="1"/>
  <c r="BI412" i="1" s="1"/>
  <c r="AO412" i="1"/>
  <c r="AW412" i="1" s="1"/>
  <c r="BC412" i="1" s="1"/>
  <c r="AL412" i="1"/>
  <c r="AJ412" i="1"/>
  <c r="AH412" i="1"/>
  <c r="AG412" i="1"/>
  <c r="AF412" i="1"/>
  <c r="AE412" i="1"/>
  <c r="AD412" i="1"/>
  <c r="AC412" i="1"/>
  <c r="AB412" i="1"/>
  <c r="Z412" i="1"/>
  <c r="K412" i="1"/>
  <c r="AK412" i="1" s="1"/>
  <c r="AT411" i="1" s="1"/>
  <c r="J412" i="1"/>
  <c r="I412" i="1"/>
  <c r="AU411" i="1"/>
  <c r="AS411" i="1"/>
  <c r="K411" i="1"/>
  <c r="G42" i="2" s="1"/>
  <c r="I42" i="2" s="1"/>
  <c r="J411" i="1"/>
  <c r="I411" i="1"/>
  <c r="E42" i="2" s="1"/>
  <c r="BW409" i="1"/>
  <c r="BP409" i="1"/>
  <c r="F38" i="4" s="1"/>
  <c r="I38" i="4" s="1"/>
  <c r="BJ409" i="1"/>
  <c r="BI409" i="1"/>
  <c r="BF409" i="1"/>
  <c r="BD409" i="1"/>
  <c r="AW409" i="1"/>
  <c r="AV409" i="1" s="1"/>
  <c r="AP409" i="1"/>
  <c r="AX409" i="1" s="1"/>
  <c r="AO409" i="1"/>
  <c r="BH409" i="1" s="1"/>
  <c r="AL409" i="1"/>
  <c r="AJ409" i="1"/>
  <c r="AS408" i="1" s="1"/>
  <c r="AH409" i="1"/>
  <c r="AG409" i="1"/>
  <c r="AF409" i="1"/>
  <c r="AE409" i="1"/>
  <c r="AD409" i="1"/>
  <c r="AC409" i="1"/>
  <c r="AB409" i="1"/>
  <c r="Z409" i="1"/>
  <c r="K409" i="1"/>
  <c r="AK409" i="1" s="1"/>
  <c r="AT408" i="1" s="1"/>
  <c r="J409" i="1"/>
  <c r="J408" i="1" s="1"/>
  <c r="I409" i="1"/>
  <c r="AU408" i="1"/>
  <c r="K408" i="1"/>
  <c r="G41" i="2" s="1"/>
  <c r="I41" i="2" s="1"/>
  <c r="I408" i="1"/>
  <c r="E41" i="2" s="1"/>
  <c r="BW406" i="1"/>
  <c r="BO406" i="1"/>
  <c r="F37" i="4" s="1"/>
  <c r="I37" i="4" s="1"/>
  <c r="BJ406" i="1"/>
  <c r="BF406" i="1"/>
  <c r="BD406" i="1"/>
  <c r="AX406" i="1"/>
  <c r="AP406" i="1"/>
  <c r="BI406" i="1" s="1"/>
  <c r="AO406" i="1"/>
  <c r="AW406" i="1" s="1"/>
  <c r="BC406" i="1" s="1"/>
  <c r="AL406" i="1"/>
  <c r="AJ406" i="1"/>
  <c r="AH406" i="1"/>
  <c r="AG406" i="1"/>
  <c r="AF406" i="1"/>
  <c r="AE406" i="1"/>
  <c r="AD406" i="1"/>
  <c r="AC406" i="1"/>
  <c r="AB406" i="1"/>
  <c r="Z406" i="1"/>
  <c r="K406" i="1"/>
  <c r="AK406" i="1" s="1"/>
  <c r="AT405" i="1" s="1"/>
  <c r="J406" i="1"/>
  <c r="I406" i="1"/>
  <c r="AU405" i="1"/>
  <c r="AS405" i="1"/>
  <c r="K405" i="1"/>
  <c r="J405" i="1"/>
  <c r="I405" i="1"/>
  <c r="BW402" i="1"/>
  <c r="BJ402" i="1"/>
  <c r="BI402" i="1"/>
  <c r="BF402" i="1"/>
  <c r="BD402" i="1"/>
  <c r="AW402" i="1"/>
  <c r="AV402" i="1" s="1"/>
  <c r="AP402" i="1"/>
  <c r="AX402" i="1" s="1"/>
  <c r="AO402" i="1"/>
  <c r="BH402" i="1" s="1"/>
  <c r="AL402" i="1"/>
  <c r="AJ402" i="1"/>
  <c r="AH402" i="1"/>
  <c r="AG402" i="1"/>
  <c r="AF402" i="1"/>
  <c r="AE402" i="1"/>
  <c r="AD402" i="1"/>
  <c r="AC402" i="1"/>
  <c r="AB402" i="1"/>
  <c r="Z402" i="1"/>
  <c r="K402" i="1"/>
  <c r="AK402" i="1" s="1"/>
  <c r="J402" i="1"/>
  <c r="I402" i="1"/>
  <c r="BW399" i="1"/>
  <c r="BJ399" i="1"/>
  <c r="BI399" i="1"/>
  <c r="BF399" i="1"/>
  <c r="BD399" i="1"/>
  <c r="AW399" i="1"/>
  <c r="AV399" i="1" s="1"/>
  <c r="AP399" i="1"/>
  <c r="AX399" i="1" s="1"/>
  <c r="AO399" i="1"/>
  <c r="BH399" i="1" s="1"/>
  <c r="AL399" i="1"/>
  <c r="AJ399" i="1"/>
  <c r="AH399" i="1"/>
  <c r="AG399" i="1"/>
  <c r="AF399" i="1"/>
  <c r="AE399" i="1"/>
  <c r="AD399" i="1"/>
  <c r="AC399" i="1"/>
  <c r="AB399" i="1"/>
  <c r="Z399" i="1"/>
  <c r="K399" i="1"/>
  <c r="AK399" i="1" s="1"/>
  <c r="J399" i="1"/>
  <c r="I399" i="1"/>
  <c r="BW397" i="1"/>
  <c r="BJ397" i="1"/>
  <c r="BI397" i="1"/>
  <c r="BF397" i="1"/>
  <c r="BD397" i="1"/>
  <c r="AW397" i="1"/>
  <c r="AV397" i="1" s="1"/>
  <c r="AP397" i="1"/>
  <c r="AX397" i="1" s="1"/>
  <c r="AO397" i="1"/>
  <c r="BH397" i="1" s="1"/>
  <c r="AL397" i="1"/>
  <c r="AJ397" i="1"/>
  <c r="AH397" i="1"/>
  <c r="AG397" i="1"/>
  <c r="AF397" i="1"/>
  <c r="AE397" i="1"/>
  <c r="AD397" i="1"/>
  <c r="AC397" i="1"/>
  <c r="AB397" i="1"/>
  <c r="Z397" i="1"/>
  <c r="K397" i="1"/>
  <c r="AK397" i="1" s="1"/>
  <c r="J397" i="1"/>
  <c r="I397" i="1"/>
  <c r="BW394" i="1"/>
  <c r="BJ394" i="1"/>
  <c r="BI394" i="1"/>
  <c r="BF394" i="1"/>
  <c r="BD394" i="1"/>
  <c r="AW394" i="1"/>
  <c r="AV394" i="1" s="1"/>
  <c r="AP394" i="1"/>
  <c r="AX394" i="1" s="1"/>
  <c r="AO394" i="1"/>
  <c r="BH394" i="1" s="1"/>
  <c r="AL394" i="1"/>
  <c r="AJ394" i="1"/>
  <c r="AH394" i="1"/>
  <c r="AG394" i="1"/>
  <c r="AF394" i="1"/>
  <c r="AE394" i="1"/>
  <c r="AD394" i="1"/>
  <c r="AC394" i="1"/>
  <c r="AB394" i="1"/>
  <c r="Z394" i="1"/>
  <c r="K394" i="1"/>
  <c r="AK394" i="1" s="1"/>
  <c r="J394" i="1"/>
  <c r="I394" i="1"/>
  <c r="BW391" i="1"/>
  <c r="BJ391" i="1"/>
  <c r="BI391" i="1"/>
  <c r="BF391" i="1"/>
  <c r="BD391" i="1"/>
  <c r="AW391" i="1"/>
  <c r="AV391" i="1" s="1"/>
  <c r="AP391" i="1"/>
  <c r="AX391" i="1" s="1"/>
  <c r="AO391" i="1"/>
  <c r="BH391" i="1" s="1"/>
  <c r="AL391" i="1"/>
  <c r="AJ391" i="1"/>
  <c r="AS390" i="1" s="1"/>
  <c r="AH391" i="1"/>
  <c r="AG391" i="1"/>
  <c r="AF391" i="1"/>
  <c r="AE391" i="1"/>
  <c r="AD391" i="1"/>
  <c r="AC391" i="1"/>
  <c r="AB391" i="1"/>
  <c r="Z391" i="1"/>
  <c r="K391" i="1"/>
  <c r="AK391" i="1" s="1"/>
  <c r="AT390" i="1" s="1"/>
  <c r="J391" i="1"/>
  <c r="J390" i="1" s="1"/>
  <c r="F38" i="2" s="1"/>
  <c r="I391" i="1"/>
  <c r="AU390" i="1"/>
  <c r="K390" i="1"/>
  <c r="G38" i="2" s="1"/>
  <c r="I38" i="2" s="1"/>
  <c r="I390" i="1"/>
  <c r="E38" i="2" s="1"/>
  <c r="BW388" i="1"/>
  <c r="BJ388" i="1"/>
  <c r="BF388" i="1"/>
  <c r="BD388" i="1"/>
  <c r="AW388" i="1"/>
  <c r="AP388" i="1"/>
  <c r="AX388" i="1" s="1"/>
  <c r="BC388" i="1" s="1"/>
  <c r="AO388" i="1"/>
  <c r="BH388" i="1" s="1"/>
  <c r="AF388" i="1" s="1"/>
  <c r="AL388" i="1"/>
  <c r="AJ388" i="1"/>
  <c r="AH388" i="1"/>
  <c r="AE388" i="1"/>
  <c r="AD388" i="1"/>
  <c r="AC388" i="1"/>
  <c r="AB388" i="1"/>
  <c r="Z388" i="1"/>
  <c r="K388" i="1"/>
  <c r="AK388" i="1" s="1"/>
  <c r="J388" i="1"/>
  <c r="I388" i="1"/>
  <c r="BW386" i="1"/>
  <c r="BJ386" i="1"/>
  <c r="BI386" i="1"/>
  <c r="BF386" i="1"/>
  <c r="BD386" i="1"/>
  <c r="AW386" i="1"/>
  <c r="AV386" i="1" s="1"/>
  <c r="AP386" i="1"/>
  <c r="AX386" i="1" s="1"/>
  <c r="AO386" i="1"/>
  <c r="BH386" i="1" s="1"/>
  <c r="AF386" i="1" s="1"/>
  <c r="AL386" i="1"/>
  <c r="AJ386" i="1"/>
  <c r="AH386" i="1"/>
  <c r="AG386" i="1"/>
  <c r="AE386" i="1"/>
  <c r="AD386" i="1"/>
  <c r="AC386" i="1"/>
  <c r="AB386" i="1"/>
  <c r="Z386" i="1"/>
  <c r="K386" i="1"/>
  <c r="AK386" i="1" s="1"/>
  <c r="J386" i="1"/>
  <c r="I386" i="1"/>
  <c r="BW384" i="1"/>
  <c r="BJ384" i="1"/>
  <c r="BF384" i="1"/>
  <c r="BD384" i="1"/>
  <c r="AW384" i="1"/>
  <c r="AP384" i="1"/>
  <c r="AX384" i="1" s="1"/>
  <c r="BC384" i="1" s="1"/>
  <c r="AO384" i="1"/>
  <c r="BH384" i="1" s="1"/>
  <c r="AF384" i="1" s="1"/>
  <c r="AL384" i="1"/>
  <c r="AJ384" i="1"/>
  <c r="AH384" i="1"/>
  <c r="AE384" i="1"/>
  <c r="AD384" i="1"/>
  <c r="AC384" i="1"/>
  <c r="AB384" i="1"/>
  <c r="Z384" i="1"/>
  <c r="K384" i="1"/>
  <c r="AK384" i="1" s="1"/>
  <c r="J384" i="1"/>
  <c r="I384" i="1"/>
  <c r="BW382" i="1"/>
  <c r="BJ382" i="1"/>
  <c r="BI382" i="1"/>
  <c r="BF382" i="1"/>
  <c r="BD382" i="1"/>
  <c r="AW382" i="1"/>
  <c r="AV382" i="1" s="1"/>
  <c r="AP382" i="1"/>
  <c r="AX382" i="1" s="1"/>
  <c r="AO382" i="1"/>
  <c r="BH382" i="1" s="1"/>
  <c r="AF382" i="1" s="1"/>
  <c r="AL382" i="1"/>
  <c r="AJ382" i="1"/>
  <c r="AH382" i="1"/>
  <c r="AG382" i="1"/>
  <c r="AE382" i="1"/>
  <c r="AD382" i="1"/>
  <c r="AC382" i="1"/>
  <c r="AB382" i="1"/>
  <c r="Z382" i="1"/>
  <c r="K382" i="1"/>
  <c r="AK382" i="1" s="1"/>
  <c r="J382" i="1"/>
  <c r="I382" i="1"/>
  <c r="BW379" i="1"/>
  <c r="BJ379" i="1"/>
  <c r="BF379" i="1"/>
  <c r="BD379" i="1"/>
  <c r="AW379" i="1"/>
  <c r="AP379" i="1"/>
  <c r="AX379" i="1" s="1"/>
  <c r="AO379" i="1"/>
  <c r="BH379" i="1" s="1"/>
  <c r="AF379" i="1" s="1"/>
  <c r="AL379" i="1"/>
  <c r="AJ379" i="1"/>
  <c r="AH379" i="1"/>
  <c r="AE379" i="1"/>
  <c r="AD379" i="1"/>
  <c r="AC379" i="1"/>
  <c r="AB379" i="1"/>
  <c r="Z379" i="1"/>
  <c r="K379" i="1"/>
  <c r="AK379" i="1" s="1"/>
  <c r="J379" i="1"/>
  <c r="I379" i="1"/>
  <c r="BW376" i="1"/>
  <c r="BJ376" i="1"/>
  <c r="BF376" i="1"/>
  <c r="BD376" i="1"/>
  <c r="AW376" i="1"/>
  <c r="AP376" i="1"/>
  <c r="AX376" i="1" s="1"/>
  <c r="AO376" i="1"/>
  <c r="BH376" i="1" s="1"/>
  <c r="AF376" i="1" s="1"/>
  <c r="AL376" i="1"/>
  <c r="AJ376" i="1"/>
  <c r="AH376" i="1"/>
  <c r="AE376" i="1"/>
  <c r="AD376" i="1"/>
  <c r="AC376" i="1"/>
  <c r="AB376" i="1"/>
  <c r="Z376" i="1"/>
  <c r="K376" i="1"/>
  <c r="AK376" i="1" s="1"/>
  <c r="J376" i="1"/>
  <c r="I376" i="1"/>
  <c r="BW373" i="1"/>
  <c r="BJ373" i="1"/>
  <c r="BF373" i="1"/>
  <c r="BD373" i="1"/>
  <c r="AW373" i="1"/>
  <c r="AP373" i="1"/>
  <c r="AX373" i="1" s="1"/>
  <c r="AO373" i="1"/>
  <c r="BH373" i="1" s="1"/>
  <c r="AB373" i="1" s="1"/>
  <c r="AL373" i="1"/>
  <c r="AJ373" i="1"/>
  <c r="AH373" i="1"/>
  <c r="AG373" i="1"/>
  <c r="AF373" i="1"/>
  <c r="AE373" i="1"/>
  <c r="AD373" i="1"/>
  <c r="Z373" i="1"/>
  <c r="K373" i="1"/>
  <c r="AK373" i="1" s="1"/>
  <c r="J373" i="1"/>
  <c r="I373" i="1"/>
  <c r="BW371" i="1"/>
  <c r="BJ371" i="1"/>
  <c r="BF371" i="1"/>
  <c r="BD371" i="1"/>
  <c r="AW371" i="1"/>
  <c r="AP371" i="1"/>
  <c r="AX371" i="1" s="1"/>
  <c r="AO371" i="1"/>
  <c r="BH371" i="1" s="1"/>
  <c r="AF371" i="1" s="1"/>
  <c r="AL371" i="1"/>
  <c r="AJ371" i="1"/>
  <c r="AH371" i="1"/>
  <c r="AE371" i="1"/>
  <c r="AD371" i="1"/>
  <c r="AC371" i="1"/>
  <c r="AB371" i="1"/>
  <c r="Z371" i="1"/>
  <c r="K371" i="1"/>
  <c r="AK371" i="1" s="1"/>
  <c r="J371" i="1"/>
  <c r="I371" i="1"/>
  <c r="BW369" i="1"/>
  <c r="BJ369" i="1"/>
  <c r="BF369" i="1"/>
  <c r="BD369" i="1"/>
  <c r="AW369" i="1"/>
  <c r="AP369" i="1"/>
  <c r="AX369" i="1" s="1"/>
  <c r="AO369" i="1"/>
  <c r="BH369" i="1" s="1"/>
  <c r="AF369" i="1" s="1"/>
  <c r="AL369" i="1"/>
  <c r="AJ369" i="1"/>
  <c r="AH369" i="1"/>
  <c r="AE369" i="1"/>
  <c r="AD369" i="1"/>
  <c r="AC369" i="1"/>
  <c r="AB369" i="1"/>
  <c r="Z369" i="1"/>
  <c r="K369" i="1"/>
  <c r="AK369" i="1" s="1"/>
  <c r="J369" i="1"/>
  <c r="I369" i="1"/>
  <c r="BW367" i="1"/>
  <c r="BJ367" i="1"/>
  <c r="BF367" i="1"/>
  <c r="BD367" i="1"/>
  <c r="AW367" i="1"/>
  <c r="AP367" i="1"/>
  <c r="AX367" i="1" s="1"/>
  <c r="AO367" i="1"/>
  <c r="BH367" i="1" s="1"/>
  <c r="AF367" i="1" s="1"/>
  <c r="AL367" i="1"/>
  <c r="AJ367" i="1"/>
  <c r="AH367" i="1"/>
  <c r="AE367" i="1"/>
  <c r="AD367" i="1"/>
  <c r="AC367" i="1"/>
  <c r="AB367" i="1"/>
  <c r="Z367" i="1"/>
  <c r="K367" i="1"/>
  <c r="AK367" i="1" s="1"/>
  <c r="J367" i="1"/>
  <c r="I367" i="1"/>
  <c r="BW365" i="1"/>
  <c r="BJ365" i="1"/>
  <c r="BF365" i="1"/>
  <c r="BD365" i="1"/>
  <c r="AW365" i="1"/>
  <c r="AP365" i="1"/>
  <c r="AX365" i="1" s="1"/>
  <c r="AO365" i="1"/>
  <c r="BH365" i="1" s="1"/>
  <c r="AF365" i="1" s="1"/>
  <c r="AL365" i="1"/>
  <c r="AJ365" i="1"/>
  <c r="AH365" i="1"/>
  <c r="AE365" i="1"/>
  <c r="AD365" i="1"/>
  <c r="AC365" i="1"/>
  <c r="AB365" i="1"/>
  <c r="Z365" i="1"/>
  <c r="K365" i="1"/>
  <c r="AK365" i="1" s="1"/>
  <c r="J365" i="1"/>
  <c r="I365" i="1"/>
  <c r="BW363" i="1"/>
  <c r="BJ363" i="1"/>
  <c r="BF363" i="1"/>
  <c r="BD363" i="1"/>
  <c r="AW363" i="1"/>
  <c r="AP363" i="1"/>
  <c r="AX363" i="1" s="1"/>
  <c r="AO363" i="1"/>
  <c r="BH363" i="1" s="1"/>
  <c r="AF363" i="1" s="1"/>
  <c r="AL363" i="1"/>
  <c r="AJ363" i="1"/>
  <c r="AH363" i="1"/>
  <c r="AE363" i="1"/>
  <c r="AD363" i="1"/>
  <c r="AC363" i="1"/>
  <c r="AB363" i="1"/>
  <c r="Z363" i="1"/>
  <c r="K363" i="1"/>
  <c r="AK363" i="1" s="1"/>
  <c r="J363" i="1"/>
  <c r="I363" i="1"/>
  <c r="BW360" i="1"/>
  <c r="BJ360" i="1"/>
  <c r="BF360" i="1"/>
  <c r="BD360" i="1"/>
  <c r="AW360" i="1"/>
  <c r="AP360" i="1"/>
  <c r="AX360" i="1" s="1"/>
  <c r="AO360" i="1"/>
  <c r="BH360" i="1" s="1"/>
  <c r="AF360" i="1" s="1"/>
  <c r="AL360" i="1"/>
  <c r="AJ360" i="1"/>
  <c r="AH360" i="1"/>
  <c r="AE360" i="1"/>
  <c r="AD360" i="1"/>
  <c r="AC360" i="1"/>
  <c r="AB360" i="1"/>
  <c r="Z360" i="1"/>
  <c r="K360" i="1"/>
  <c r="AK360" i="1" s="1"/>
  <c r="J360" i="1"/>
  <c r="I360" i="1"/>
  <c r="BW358" i="1"/>
  <c r="BJ358" i="1"/>
  <c r="BF358" i="1"/>
  <c r="BD358" i="1"/>
  <c r="AW358" i="1"/>
  <c r="AP358" i="1"/>
  <c r="AX358" i="1" s="1"/>
  <c r="AO358" i="1"/>
  <c r="BH358" i="1" s="1"/>
  <c r="AF358" i="1" s="1"/>
  <c r="AL358" i="1"/>
  <c r="AJ358" i="1"/>
  <c r="AH358" i="1"/>
  <c r="AE358" i="1"/>
  <c r="AD358" i="1"/>
  <c r="AC358" i="1"/>
  <c r="AB358" i="1"/>
  <c r="Z358" i="1"/>
  <c r="K358" i="1"/>
  <c r="AK358" i="1" s="1"/>
  <c r="J358" i="1"/>
  <c r="I358" i="1"/>
  <c r="BW355" i="1"/>
  <c r="BJ355" i="1"/>
  <c r="BF355" i="1"/>
  <c r="BD355" i="1"/>
  <c r="AW355" i="1"/>
  <c r="AP355" i="1"/>
  <c r="AX355" i="1" s="1"/>
  <c r="AO355" i="1"/>
  <c r="BH355" i="1" s="1"/>
  <c r="AF355" i="1" s="1"/>
  <c r="AL355" i="1"/>
  <c r="AJ355" i="1"/>
  <c r="AH355" i="1"/>
  <c r="AE355" i="1"/>
  <c r="AD355" i="1"/>
  <c r="AC355" i="1"/>
  <c r="AB355" i="1"/>
  <c r="Z355" i="1"/>
  <c r="K355" i="1"/>
  <c r="AK355" i="1" s="1"/>
  <c r="J355" i="1"/>
  <c r="I355" i="1"/>
  <c r="BW352" i="1"/>
  <c r="BJ352" i="1"/>
  <c r="BF352" i="1"/>
  <c r="BD352" i="1"/>
  <c r="AW352" i="1"/>
  <c r="AP352" i="1"/>
  <c r="AX352" i="1" s="1"/>
  <c r="AO352" i="1"/>
  <c r="BH352" i="1" s="1"/>
  <c r="AF352" i="1" s="1"/>
  <c r="AL352" i="1"/>
  <c r="AJ352" i="1"/>
  <c r="AH352" i="1"/>
  <c r="AE352" i="1"/>
  <c r="AD352" i="1"/>
  <c r="AC352" i="1"/>
  <c r="AB352" i="1"/>
  <c r="Z352" i="1"/>
  <c r="K352" i="1"/>
  <c r="AK352" i="1" s="1"/>
  <c r="J352" i="1"/>
  <c r="I352" i="1"/>
  <c r="BW349" i="1"/>
  <c r="BJ349" i="1"/>
  <c r="BF349" i="1"/>
  <c r="BD349" i="1"/>
  <c r="AW349" i="1"/>
  <c r="AP349" i="1"/>
  <c r="AX349" i="1" s="1"/>
  <c r="AO349" i="1"/>
  <c r="BH349" i="1" s="1"/>
  <c r="AF349" i="1" s="1"/>
  <c r="AL349" i="1"/>
  <c r="AJ349" i="1"/>
  <c r="AH349" i="1"/>
  <c r="AE349" i="1"/>
  <c r="AD349" i="1"/>
  <c r="AC349" i="1"/>
  <c r="AB349" i="1"/>
  <c r="Z349" i="1"/>
  <c r="K349" i="1"/>
  <c r="AK349" i="1" s="1"/>
  <c r="J349" i="1"/>
  <c r="I349" i="1"/>
  <c r="BW347" i="1"/>
  <c r="BJ347" i="1"/>
  <c r="BF347" i="1"/>
  <c r="BD347" i="1"/>
  <c r="AW347" i="1"/>
  <c r="AP347" i="1"/>
  <c r="AX347" i="1" s="1"/>
  <c r="AO347" i="1"/>
  <c r="BH347" i="1" s="1"/>
  <c r="AF347" i="1" s="1"/>
  <c r="AL347" i="1"/>
  <c r="AJ347" i="1"/>
  <c r="AH347" i="1"/>
  <c r="AE347" i="1"/>
  <c r="AD347" i="1"/>
  <c r="AC347" i="1"/>
  <c r="AB347" i="1"/>
  <c r="Z347" i="1"/>
  <c r="K347" i="1"/>
  <c r="AK347" i="1" s="1"/>
  <c r="J347" i="1"/>
  <c r="I347" i="1"/>
  <c r="BW345" i="1"/>
  <c r="BJ345" i="1"/>
  <c r="BF345" i="1"/>
  <c r="BD345" i="1"/>
  <c r="AW345" i="1"/>
  <c r="AP345" i="1"/>
  <c r="AX345" i="1" s="1"/>
  <c r="AO345" i="1"/>
  <c r="BH345" i="1" s="1"/>
  <c r="AF345" i="1" s="1"/>
  <c r="AL345" i="1"/>
  <c r="AJ345" i="1"/>
  <c r="AH345" i="1"/>
  <c r="AE345" i="1"/>
  <c r="AD345" i="1"/>
  <c r="AC345" i="1"/>
  <c r="AB345" i="1"/>
  <c r="Z345" i="1"/>
  <c r="K345" i="1"/>
  <c r="AK345" i="1" s="1"/>
  <c r="J345" i="1"/>
  <c r="I345" i="1"/>
  <c r="BW343" i="1"/>
  <c r="BJ343" i="1"/>
  <c r="BF343" i="1"/>
  <c r="BD343" i="1"/>
  <c r="AW343" i="1"/>
  <c r="AP343" i="1"/>
  <c r="AX343" i="1" s="1"/>
  <c r="AO343" i="1"/>
  <c r="BH343" i="1" s="1"/>
  <c r="AF343" i="1" s="1"/>
  <c r="AL343" i="1"/>
  <c r="AJ343" i="1"/>
  <c r="AH343" i="1"/>
  <c r="AE343" i="1"/>
  <c r="AD343" i="1"/>
  <c r="AC343" i="1"/>
  <c r="AB343" i="1"/>
  <c r="Z343" i="1"/>
  <c r="K343" i="1"/>
  <c r="AK343" i="1" s="1"/>
  <c r="J343" i="1"/>
  <c r="I343" i="1"/>
  <c r="BW341" i="1"/>
  <c r="BJ341" i="1"/>
  <c r="BF341" i="1"/>
  <c r="BD341" i="1"/>
  <c r="AW341" i="1"/>
  <c r="AP341" i="1"/>
  <c r="AX341" i="1" s="1"/>
  <c r="AO341" i="1"/>
  <c r="BH341" i="1" s="1"/>
  <c r="AF341" i="1" s="1"/>
  <c r="AL341" i="1"/>
  <c r="AJ341" i="1"/>
  <c r="AH341" i="1"/>
  <c r="AE341" i="1"/>
  <c r="AD341" i="1"/>
  <c r="AC341" i="1"/>
  <c r="AB341" i="1"/>
  <c r="Z341" i="1"/>
  <c r="K341" i="1"/>
  <c r="AK341" i="1" s="1"/>
  <c r="J341" i="1"/>
  <c r="I341" i="1"/>
  <c r="BW339" i="1"/>
  <c r="BJ339" i="1"/>
  <c r="BF339" i="1"/>
  <c r="BD339" i="1"/>
  <c r="AW339" i="1"/>
  <c r="AP339" i="1"/>
  <c r="AX339" i="1" s="1"/>
  <c r="AO339" i="1"/>
  <c r="BH339" i="1" s="1"/>
  <c r="AF339" i="1" s="1"/>
  <c r="AL339" i="1"/>
  <c r="AJ339" i="1"/>
  <c r="AH339" i="1"/>
  <c r="AE339" i="1"/>
  <c r="AD339" i="1"/>
  <c r="AC339" i="1"/>
  <c r="AB339" i="1"/>
  <c r="Z339" i="1"/>
  <c r="K339" i="1"/>
  <c r="AK339" i="1" s="1"/>
  <c r="J339" i="1"/>
  <c r="I339" i="1"/>
  <c r="BW337" i="1"/>
  <c r="BJ337" i="1"/>
  <c r="BF337" i="1"/>
  <c r="BD337" i="1"/>
  <c r="AW337" i="1"/>
  <c r="AP337" i="1"/>
  <c r="AX337" i="1" s="1"/>
  <c r="AO337" i="1"/>
  <c r="BH337" i="1" s="1"/>
  <c r="AF337" i="1" s="1"/>
  <c r="AL337" i="1"/>
  <c r="AJ337" i="1"/>
  <c r="AH337" i="1"/>
  <c r="AE337" i="1"/>
  <c r="AD337" i="1"/>
  <c r="AC337" i="1"/>
  <c r="AB337" i="1"/>
  <c r="Z337" i="1"/>
  <c r="K337" i="1"/>
  <c r="AK337" i="1" s="1"/>
  <c r="J337" i="1"/>
  <c r="I337" i="1"/>
  <c r="BW335" i="1"/>
  <c r="BJ335" i="1"/>
  <c r="BF335" i="1"/>
  <c r="BD335" i="1"/>
  <c r="AW335" i="1"/>
  <c r="AP335" i="1"/>
  <c r="AX335" i="1" s="1"/>
  <c r="AO335" i="1"/>
  <c r="BH335" i="1" s="1"/>
  <c r="AF335" i="1" s="1"/>
  <c r="AL335" i="1"/>
  <c r="AJ335" i="1"/>
  <c r="AH335" i="1"/>
  <c r="AE335" i="1"/>
  <c r="AD335" i="1"/>
  <c r="AC335" i="1"/>
  <c r="AB335" i="1"/>
  <c r="Z335" i="1"/>
  <c r="K335" i="1"/>
  <c r="AK335" i="1" s="1"/>
  <c r="J335" i="1"/>
  <c r="I335" i="1"/>
  <c r="BW333" i="1"/>
  <c r="BJ333" i="1"/>
  <c r="BF333" i="1"/>
  <c r="BD333" i="1"/>
  <c r="AW333" i="1"/>
  <c r="AP333" i="1"/>
  <c r="AX333" i="1" s="1"/>
  <c r="AO333" i="1"/>
  <c r="BH333" i="1" s="1"/>
  <c r="AF333" i="1" s="1"/>
  <c r="AL333" i="1"/>
  <c r="AJ333" i="1"/>
  <c r="AH333" i="1"/>
  <c r="AE333" i="1"/>
  <c r="AD333" i="1"/>
  <c r="AC333" i="1"/>
  <c r="AB333" i="1"/>
  <c r="Z333" i="1"/>
  <c r="K333" i="1"/>
  <c r="AK333" i="1" s="1"/>
  <c r="J333" i="1"/>
  <c r="I333" i="1"/>
  <c r="BW331" i="1"/>
  <c r="BJ331" i="1"/>
  <c r="BF331" i="1"/>
  <c r="BD331" i="1"/>
  <c r="AW331" i="1"/>
  <c r="AP331" i="1"/>
  <c r="AX331" i="1" s="1"/>
  <c r="AO331" i="1"/>
  <c r="BH331" i="1" s="1"/>
  <c r="AF331" i="1" s="1"/>
  <c r="AL331" i="1"/>
  <c r="AJ331" i="1"/>
  <c r="AH331" i="1"/>
  <c r="AE331" i="1"/>
  <c r="AD331" i="1"/>
  <c r="AC331" i="1"/>
  <c r="AB331" i="1"/>
  <c r="Z331" i="1"/>
  <c r="K331" i="1"/>
  <c r="AK331" i="1" s="1"/>
  <c r="J331" i="1"/>
  <c r="I331" i="1"/>
  <c r="BW329" i="1"/>
  <c r="BJ329" i="1"/>
  <c r="BF329" i="1"/>
  <c r="BD329" i="1"/>
  <c r="AW329" i="1"/>
  <c r="AP329" i="1"/>
  <c r="AX329" i="1" s="1"/>
  <c r="AO329" i="1"/>
  <c r="BH329" i="1" s="1"/>
  <c r="AF329" i="1" s="1"/>
  <c r="AL329" i="1"/>
  <c r="AJ329" i="1"/>
  <c r="AH329" i="1"/>
  <c r="AE329" i="1"/>
  <c r="AD329" i="1"/>
  <c r="AC329" i="1"/>
  <c r="AB329" i="1"/>
  <c r="Z329" i="1"/>
  <c r="K329" i="1"/>
  <c r="AK329" i="1" s="1"/>
  <c r="J329" i="1"/>
  <c r="I329" i="1"/>
  <c r="BW327" i="1"/>
  <c r="BJ327" i="1"/>
  <c r="BF327" i="1"/>
  <c r="BD327" i="1"/>
  <c r="AW327" i="1"/>
  <c r="AP327" i="1"/>
  <c r="AX327" i="1" s="1"/>
  <c r="AO327" i="1"/>
  <c r="BH327" i="1" s="1"/>
  <c r="AF327" i="1" s="1"/>
  <c r="AL327" i="1"/>
  <c r="AJ327" i="1"/>
  <c r="AH327" i="1"/>
  <c r="AE327" i="1"/>
  <c r="AD327" i="1"/>
  <c r="AC327" i="1"/>
  <c r="AB327" i="1"/>
  <c r="Z327" i="1"/>
  <c r="K327" i="1"/>
  <c r="AK327" i="1" s="1"/>
  <c r="J327" i="1"/>
  <c r="I327" i="1"/>
  <c r="BW324" i="1"/>
  <c r="BJ324" i="1"/>
  <c r="BF324" i="1"/>
  <c r="BD324" i="1"/>
  <c r="AW324" i="1"/>
  <c r="AP324" i="1"/>
  <c r="AX324" i="1" s="1"/>
  <c r="AO324" i="1"/>
  <c r="BH324" i="1" s="1"/>
  <c r="AF324" i="1" s="1"/>
  <c r="AL324" i="1"/>
  <c r="AJ324" i="1"/>
  <c r="AH324" i="1"/>
  <c r="AE324" i="1"/>
  <c r="AD324" i="1"/>
  <c r="AC324" i="1"/>
  <c r="AB324" i="1"/>
  <c r="Z324" i="1"/>
  <c r="K324" i="1"/>
  <c r="AK324" i="1" s="1"/>
  <c r="J324" i="1"/>
  <c r="I324" i="1"/>
  <c r="BW321" i="1"/>
  <c r="BJ321" i="1"/>
  <c r="BF321" i="1"/>
  <c r="BD321" i="1"/>
  <c r="AW321" i="1"/>
  <c r="AP321" i="1"/>
  <c r="AX321" i="1" s="1"/>
  <c r="AO321" i="1"/>
  <c r="BH321" i="1" s="1"/>
  <c r="AF321" i="1" s="1"/>
  <c r="AL321" i="1"/>
  <c r="AJ321" i="1"/>
  <c r="AH321" i="1"/>
  <c r="AE321" i="1"/>
  <c r="AD321" i="1"/>
  <c r="AC321" i="1"/>
  <c r="AB321" i="1"/>
  <c r="Z321" i="1"/>
  <c r="K321" i="1"/>
  <c r="AK321" i="1" s="1"/>
  <c r="J321" i="1"/>
  <c r="I321" i="1"/>
  <c r="BW318" i="1"/>
  <c r="BJ318" i="1"/>
  <c r="BI318" i="1"/>
  <c r="BF318" i="1"/>
  <c r="BD318" i="1"/>
  <c r="AW318" i="1"/>
  <c r="AV318" i="1" s="1"/>
  <c r="AP318" i="1"/>
  <c r="AX318" i="1" s="1"/>
  <c r="AO318" i="1"/>
  <c r="BH318" i="1" s="1"/>
  <c r="AF318" i="1" s="1"/>
  <c r="AL318" i="1"/>
  <c r="AJ318" i="1"/>
  <c r="AH318" i="1"/>
  <c r="AG318" i="1"/>
  <c r="AE318" i="1"/>
  <c r="AD318" i="1"/>
  <c r="AC318" i="1"/>
  <c r="AB318" i="1"/>
  <c r="Z318" i="1"/>
  <c r="K318" i="1"/>
  <c r="AK318" i="1" s="1"/>
  <c r="J318" i="1"/>
  <c r="I318" i="1"/>
  <c r="BW315" i="1"/>
  <c r="BJ315" i="1"/>
  <c r="BF315" i="1"/>
  <c r="BD315" i="1"/>
  <c r="AX315" i="1"/>
  <c r="AP315" i="1"/>
  <c r="BI315" i="1" s="1"/>
  <c r="AG315" i="1" s="1"/>
  <c r="AO315" i="1"/>
  <c r="BH315" i="1" s="1"/>
  <c r="AF315" i="1" s="1"/>
  <c r="AL315" i="1"/>
  <c r="AJ315" i="1"/>
  <c r="AH315" i="1"/>
  <c r="AE315" i="1"/>
  <c r="AD315" i="1"/>
  <c r="AC315" i="1"/>
  <c r="AB315" i="1"/>
  <c r="Z315" i="1"/>
  <c r="K315" i="1"/>
  <c r="AK315" i="1" s="1"/>
  <c r="J315" i="1"/>
  <c r="I315" i="1"/>
  <c r="BW312" i="1"/>
  <c r="BJ312" i="1"/>
  <c r="BF312" i="1"/>
  <c r="BD312" i="1"/>
  <c r="AX312" i="1"/>
  <c r="AP312" i="1"/>
  <c r="BI312" i="1" s="1"/>
  <c r="AG312" i="1" s="1"/>
  <c r="AO312" i="1"/>
  <c r="BH312" i="1" s="1"/>
  <c r="AF312" i="1" s="1"/>
  <c r="AL312" i="1"/>
  <c r="AJ312" i="1"/>
  <c r="AH312" i="1"/>
  <c r="AE312" i="1"/>
  <c r="AD312" i="1"/>
  <c r="AC312" i="1"/>
  <c r="AB312" i="1"/>
  <c r="Z312" i="1"/>
  <c r="K312" i="1"/>
  <c r="AK312" i="1" s="1"/>
  <c r="J312" i="1"/>
  <c r="I312" i="1"/>
  <c r="BW309" i="1"/>
  <c r="BJ309" i="1"/>
  <c r="BF309" i="1"/>
  <c r="BD309" i="1"/>
  <c r="AX309" i="1"/>
  <c r="AP309" i="1"/>
  <c r="BI309" i="1" s="1"/>
  <c r="AG309" i="1" s="1"/>
  <c r="AO309" i="1"/>
  <c r="BH309" i="1" s="1"/>
  <c r="AF309" i="1" s="1"/>
  <c r="AL309" i="1"/>
  <c r="AJ309" i="1"/>
  <c r="AH309" i="1"/>
  <c r="AE309" i="1"/>
  <c r="AD309" i="1"/>
  <c r="AC309" i="1"/>
  <c r="AB309" i="1"/>
  <c r="Z309" i="1"/>
  <c r="K309" i="1"/>
  <c r="AK309" i="1" s="1"/>
  <c r="AT308" i="1" s="1"/>
  <c r="J309" i="1"/>
  <c r="I309" i="1"/>
  <c r="AU308" i="1"/>
  <c r="AS308" i="1"/>
  <c r="K308" i="1"/>
  <c r="G37" i="2" s="1"/>
  <c r="I37" i="2" s="1"/>
  <c r="J308" i="1"/>
  <c r="F37" i="2" s="1"/>
  <c r="I308" i="1"/>
  <c r="E37" i="2" s="1"/>
  <c r="BW306" i="1"/>
  <c r="BJ306" i="1"/>
  <c r="Z306" i="1" s="1"/>
  <c r="BF306" i="1"/>
  <c r="BD306" i="1"/>
  <c r="AX306" i="1"/>
  <c r="AP306" i="1"/>
  <c r="BI306" i="1" s="1"/>
  <c r="AO306" i="1"/>
  <c r="BH306" i="1" s="1"/>
  <c r="AL306" i="1"/>
  <c r="AJ306" i="1"/>
  <c r="AH306" i="1"/>
  <c r="AG306" i="1"/>
  <c r="AF306" i="1"/>
  <c r="AE306" i="1"/>
  <c r="AD306" i="1"/>
  <c r="AC306" i="1"/>
  <c r="AB306" i="1"/>
  <c r="K306" i="1"/>
  <c r="AK306" i="1" s="1"/>
  <c r="AT305" i="1" s="1"/>
  <c r="J306" i="1"/>
  <c r="I306" i="1"/>
  <c r="AU305" i="1"/>
  <c r="AS305" i="1"/>
  <c r="K305" i="1"/>
  <c r="G36" i="2" s="1"/>
  <c r="I36" i="2" s="1"/>
  <c r="J305" i="1"/>
  <c r="F36" i="2" s="1"/>
  <c r="I305" i="1"/>
  <c r="E36" i="2" s="1"/>
  <c r="BW302" i="1"/>
  <c r="BJ302" i="1"/>
  <c r="BF302" i="1"/>
  <c r="BD302" i="1"/>
  <c r="AX302" i="1"/>
  <c r="AP302" i="1"/>
  <c r="BI302" i="1" s="1"/>
  <c r="AC302" i="1" s="1"/>
  <c r="AO302" i="1"/>
  <c r="BH302" i="1" s="1"/>
  <c r="AB302" i="1" s="1"/>
  <c r="AL302" i="1"/>
  <c r="AJ302" i="1"/>
  <c r="AH302" i="1"/>
  <c r="AG302" i="1"/>
  <c r="AF302" i="1"/>
  <c r="AE302" i="1"/>
  <c r="AD302" i="1"/>
  <c r="Z302" i="1"/>
  <c r="K302" i="1"/>
  <c r="AK302" i="1" s="1"/>
  <c r="J302" i="1"/>
  <c r="I302" i="1"/>
  <c r="BW299" i="1"/>
  <c r="BJ299" i="1"/>
  <c r="BF299" i="1"/>
  <c r="BD299" i="1"/>
  <c r="AX299" i="1"/>
  <c r="AP299" i="1"/>
  <c r="BI299" i="1" s="1"/>
  <c r="AC299" i="1" s="1"/>
  <c r="AO299" i="1"/>
  <c r="BH299" i="1" s="1"/>
  <c r="AB299" i="1" s="1"/>
  <c r="AL299" i="1"/>
  <c r="AJ299" i="1"/>
  <c r="AH299" i="1"/>
  <c r="AG299" i="1"/>
  <c r="AF299" i="1"/>
  <c r="AE299" i="1"/>
  <c r="AD299" i="1"/>
  <c r="Z299" i="1"/>
  <c r="K299" i="1"/>
  <c r="AK299" i="1" s="1"/>
  <c r="J299" i="1"/>
  <c r="I299" i="1"/>
  <c r="BW285" i="1"/>
  <c r="BJ285" i="1"/>
  <c r="BF285" i="1"/>
  <c r="BD285" i="1"/>
  <c r="AX285" i="1"/>
  <c r="AP285" i="1"/>
  <c r="BI285" i="1" s="1"/>
  <c r="AC285" i="1" s="1"/>
  <c r="AO285" i="1"/>
  <c r="BH285" i="1" s="1"/>
  <c r="AB285" i="1" s="1"/>
  <c r="AL285" i="1"/>
  <c r="AJ285" i="1"/>
  <c r="AH285" i="1"/>
  <c r="AG285" i="1"/>
  <c r="AF285" i="1"/>
  <c r="AE285" i="1"/>
  <c r="AD285" i="1"/>
  <c r="Z285" i="1"/>
  <c r="K285" i="1"/>
  <c r="AK285" i="1" s="1"/>
  <c r="AT284" i="1" s="1"/>
  <c r="J285" i="1"/>
  <c r="I285" i="1"/>
  <c r="AU284" i="1"/>
  <c r="AS284" i="1"/>
  <c r="K284" i="1"/>
  <c r="G35" i="2" s="1"/>
  <c r="I35" i="2" s="1"/>
  <c r="J284" i="1"/>
  <c r="F35" i="2" s="1"/>
  <c r="I284" i="1"/>
  <c r="E35" i="2" s="1"/>
  <c r="BW281" i="1"/>
  <c r="BJ281" i="1"/>
  <c r="BF281" i="1"/>
  <c r="BD281" i="1"/>
  <c r="AX281" i="1"/>
  <c r="AP281" i="1"/>
  <c r="BI281" i="1" s="1"/>
  <c r="AC281" i="1" s="1"/>
  <c r="AO281" i="1"/>
  <c r="BH281" i="1" s="1"/>
  <c r="AB281" i="1" s="1"/>
  <c r="AL281" i="1"/>
  <c r="AJ281" i="1"/>
  <c r="AH281" i="1"/>
  <c r="AG281" i="1"/>
  <c r="AF281" i="1"/>
  <c r="AE281" i="1"/>
  <c r="AD281" i="1"/>
  <c r="Z281" i="1"/>
  <c r="K281" i="1"/>
  <c r="AK281" i="1" s="1"/>
  <c r="J281" i="1"/>
  <c r="I281" i="1"/>
  <c r="BW278" i="1"/>
  <c r="BJ278" i="1"/>
  <c r="BF278" i="1"/>
  <c r="BD278" i="1"/>
  <c r="AX278" i="1"/>
  <c r="AP278" i="1"/>
  <c r="BI278" i="1" s="1"/>
  <c r="AC278" i="1" s="1"/>
  <c r="AO278" i="1"/>
  <c r="BH278" i="1" s="1"/>
  <c r="AB278" i="1" s="1"/>
  <c r="AL278" i="1"/>
  <c r="AJ278" i="1"/>
  <c r="AH278" i="1"/>
  <c r="AG278" i="1"/>
  <c r="AF278" i="1"/>
  <c r="AE278" i="1"/>
  <c r="AD278" i="1"/>
  <c r="Z278" i="1"/>
  <c r="K278" i="1"/>
  <c r="AK278" i="1" s="1"/>
  <c r="AT277" i="1" s="1"/>
  <c r="J278" i="1"/>
  <c r="I278" i="1"/>
  <c r="AU277" i="1"/>
  <c r="AS277" i="1"/>
  <c r="K277" i="1"/>
  <c r="G34" i="2" s="1"/>
  <c r="I34" i="2" s="1"/>
  <c r="J277" i="1"/>
  <c r="F34" i="2" s="1"/>
  <c r="I277" i="1"/>
  <c r="E34" i="2" s="1"/>
  <c r="BW274" i="1"/>
  <c r="BJ274" i="1"/>
  <c r="BF274" i="1"/>
  <c r="BD274" i="1"/>
  <c r="AX274" i="1"/>
  <c r="AP274" i="1"/>
  <c r="BI274" i="1" s="1"/>
  <c r="AC274" i="1" s="1"/>
  <c r="AO274" i="1"/>
  <c r="BH274" i="1" s="1"/>
  <c r="AB274" i="1" s="1"/>
  <c r="AL274" i="1"/>
  <c r="AJ274" i="1"/>
  <c r="AH274" i="1"/>
  <c r="AG274" i="1"/>
  <c r="AF274" i="1"/>
  <c r="AE274" i="1"/>
  <c r="AD274" i="1"/>
  <c r="Z274" i="1"/>
  <c r="K274" i="1"/>
  <c r="AK274" i="1" s="1"/>
  <c r="AT273" i="1" s="1"/>
  <c r="J274" i="1"/>
  <c r="I274" i="1"/>
  <c r="AU273" i="1"/>
  <c r="AS273" i="1"/>
  <c r="K273" i="1"/>
  <c r="G33" i="2" s="1"/>
  <c r="I33" i="2" s="1"/>
  <c r="J273" i="1"/>
  <c r="F33" i="2" s="1"/>
  <c r="I273" i="1"/>
  <c r="E33" i="2" s="1"/>
  <c r="BW271" i="1"/>
  <c r="BJ271" i="1"/>
  <c r="BF271" i="1"/>
  <c r="BD271" i="1"/>
  <c r="AX271" i="1"/>
  <c r="AP271" i="1"/>
  <c r="BI271" i="1" s="1"/>
  <c r="AE271" i="1" s="1"/>
  <c r="AO271" i="1"/>
  <c r="BH271" i="1" s="1"/>
  <c r="AD271" i="1" s="1"/>
  <c r="AL271" i="1"/>
  <c r="AJ271" i="1"/>
  <c r="AH271" i="1"/>
  <c r="AG271" i="1"/>
  <c r="AF271" i="1"/>
  <c r="AC271" i="1"/>
  <c r="AB271" i="1"/>
  <c r="Z271" i="1"/>
  <c r="K271" i="1"/>
  <c r="AK271" i="1" s="1"/>
  <c r="J271" i="1"/>
  <c r="I271" i="1"/>
  <c r="BW268" i="1"/>
  <c r="BJ268" i="1"/>
  <c r="BF268" i="1"/>
  <c r="BD268" i="1"/>
  <c r="AX268" i="1"/>
  <c r="AP268" i="1"/>
  <c r="BI268" i="1" s="1"/>
  <c r="AE268" i="1" s="1"/>
  <c r="AO268" i="1"/>
  <c r="BH268" i="1" s="1"/>
  <c r="AD268" i="1" s="1"/>
  <c r="AL268" i="1"/>
  <c r="AJ268" i="1"/>
  <c r="AH268" i="1"/>
  <c r="AG268" i="1"/>
  <c r="AF268" i="1"/>
  <c r="AC268" i="1"/>
  <c r="AB268" i="1"/>
  <c r="Z268" i="1"/>
  <c r="K268" i="1"/>
  <c r="AK268" i="1" s="1"/>
  <c r="J268" i="1"/>
  <c r="I268" i="1"/>
  <c r="BW264" i="1"/>
  <c r="BJ264" i="1"/>
  <c r="BF264" i="1"/>
  <c r="BD264" i="1"/>
  <c r="AX264" i="1"/>
  <c r="AP264" i="1"/>
  <c r="BI264" i="1" s="1"/>
  <c r="AE264" i="1" s="1"/>
  <c r="AO264" i="1"/>
  <c r="BH264" i="1" s="1"/>
  <c r="AD264" i="1" s="1"/>
  <c r="AL264" i="1"/>
  <c r="AJ264" i="1"/>
  <c r="AH264" i="1"/>
  <c r="AG264" i="1"/>
  <c r="AF264" i="1"/>
  <c r="AC264" i="1"/>
  <c r="AB264" i="1"/>
  <c r="Z264" i="1"/>
  <c r="K264" i="1"/>
  <c r="AK264" i="1" s="1"/>
  <c r="AT263" i="1" s="1"/>
  <c r="J264" i="1"/>
  <c r="I264" i="1"/>
  <c r="AU263" i="1"/>
  <c r="AS263" i="1"/>
  <c r="K263" i="1"/>
  <c r="G32" i="2" s="1"/>
  <c r="I32" i="2" s="1"/>
  <c r="J263" i="1"/>
  <c r="F32" i="2" s="1"/>
  <c r="I263" i="1"/>
  <c r="E32" i="2" s="1"/>
  <c r="BW261" i="1"/>
  <c r="BJ261" i="1"/>
  <c r="Z261" i="1" s="1"/>
  <c r="BF261" i="1"/>
  <c r="BD261" i="1"/>
  <c r="AX261" i="1"/>
  <c r="AP261" i="1"/>
  <c r="BI261" i="1" s="1"/>
  <c r="AO261" i="1"/>
  <c r="BH261" i="1" s="1"/>
  <c r="AL261" i="1"/>
  <c r="AJ261" i="1"/>
  <c r="AH261" i="1"/>
  <c r="AG261" i="1"/>
  <c r="AF261" i="1"/>
  <c r="AE261" i="1"/>
  <c r="AD261" i="1"/>
  <c r="AC261" i="1"/>
  <c r="AB261" i="1"/>
  <c r="K261" i="1"/>
  <c r="AK261" i="1" s="1"/>
  <c r="J261" i="1"/>
  <c r="I261" i="1"/>
  <c r="BW257" i="1"/>
  <c r="BJ257" i="1"/>
  <c r="BF257" i="1"/>
  <c r="BD257" i="1"/>
  <c r="AX257" i="1"/>
  <c r="AP257" i="1"/>
  <c r="BI257" i="1" s="1"/>
  <c r="AE257" i="1" s="1"/>
  <c r="AO257" i="1"/>
  <c r="BH257" i="1" s="1"/>
  <c r="AD257" i="1" s="1"/>
  <c r="AL257" i="1"/>
  <c r="AJ257" i="1"/>
  <c r="AH257" i="1"/>
  <c r="AG257" i="1"/>
  <c r="AF257" i="1"/>
  <c r="AC257" i="1"/>
  <c r="AB257" i="1"/>
  <c r="Z257" i="1"/>
  <c r="K257" i="1"/>
  <c r="AK257" i="1" s="1"/>
  <c r="J257" i="1"/>
  <c r="I257" i="1"/>
  <c r="BW253" i="1"/>
  <c r="BJ253" i="1"/>
  <c r="BF253" i="1"/>
  <c r="BD253" i="1"/>
  <c r="AX253" i="1"/>
  <c r="AP253" i="1"/>
  <c r="BI253" i="1" s="1"/>
  <c r="AE253" i="1" s="1"/>
  <c r="AO253" i="1"/>
  <c r="BH253" i="1" s="1"/>
  <c r="AD253" i="1" s="1"/>
  <c r="AL253" i="1"/>
  <c r="AJ253" i="1"/>
  <c r="AH253" i="1"/>
  <c r="AG253" i="1"/>
  <c r="AF253" i="1"/>
  <c r="AC253" i="1"/>
  <c r="AB253" i="1"/>
  <c r="Z253" i="1"/>
  <c r="K253" i="1"/>
  <c r="AK253" i="1" s="1"/>
  <c r="AT252" i="1" s="1"/>
  <c r="J253" i="1"/>
  <c r="I253" i="1"/>
  <c r="AU252" i="1"/>
  <c r="AS252" i="1"/>
  <c r="K252" i="1"/>
  <c r="G31" i="2" s="1"/>
  <c r="I31" i="2" s="1"/>
  <c r="J252" i="1"/>
  <c r="F31" i="2" s="1"/>
  <c r="I252" i="1"/>
  <c r="E31" i="2" s="1"/>
  <c r="BW250" i="1"/>
  <c r="BJ250" i="1"/>
  <c r="Z250" i="1" s="1"/>
  <c r="BF250" i="1"/>
  <c r="BD250" i="1"/>
  <c r="AX250" i="1"/>
  <c r="AP250" i="1"/>
  <c r="BI250" i="1" s="1"/>
  <c r="AO250" i="1"/>
  <c r="BH250" i="1" s="1"/>
  <c r="AL250" i="1"/>
  <c r="AJ250" i="1"/>
  <c r="AH250" i="1"/>
  <c r="AG250" i="1"/>
  <c r="AF250" i="1"/>
  <c r="AE250" i="1"/>
  <c r="AD250" i="1"/>
  <c r="AC250" i="1"/>
  <c r="AB250" i="1"/>
  <c r="K250" i="1"/>
  <c r="AK250" i="1" s="1"/>
  <c r="J250" i="1"/>
  <c r="I250" i="1"/>
  <c r="BW244" i="1"/>
  <c r="BJ244" i="1"/>
  <c r="BF244" i="1"/>
  <c r="BD244" i="1"/>
  <c r="AX244" i="1"/>
  <c r="AP244" i="1"/>
  <c r="BI244" i="1" s="1"/>
  <c r="AE244" i="1" s="1"/>
  <c r="AO244" i="1"/>
  <c r="BH244" i="1" s="1"/>
  <c r="AD244" i="1" s="1"/>
  <c r="AL244" i="1"/>
  <c r="AJ244" i="1"/>
  <c r="AH244" i="1"/>
  <c r="AG244" i="1"/>
  <c r="AF244" i="1"/>
  <c r="AC244" i="1"/>
  <c r="AB244" i="1"/>
  <c r="Z244" i="1"/>
  <c r="K244" i="1"/>
  <c r="AK244" i="1" s="1"/>
  <c r="J244" i="1"/>
  <c r="I244" i="1"/>
  <c r="BW242" i="1"/>
  <c r="BJ242" i="1"/>
  <c r="BF242" i="1"/>
  <c r="BD242" i="1"/>
  <c r="AX242" i="1"/>
  <c r="AP242" i="1"/>
  <c r="BI242" i="1" s="1"/>
  <c r="AE242" i="1" s="1"/>
  <c r="AO242" i="1"/>
  <c r="BH242" i="1" s="1"/>
  <c r="AD242" i="1" s="1"/>
  <c r="AL242" i="1"/>
  <c r="AJ242" i="1"/>
  <c r="AH242" i="1"/>
  <c r="AG242" i="1"/>
  <c r="AF242" i="1"/>
  <c r="AC242" i="1"/>
  <c r="AB242" i="1"/>
  <c r="Z242" i="1"/>
  <c r="K242" i="1"/>
  <c r="AK242" i="1" s="1"/>
  <c r="AT241" i="1" s="1"/>
  <c r="J242" i="1"/>
  <c r="I242" i="1"/>
  <c r="AU241" i="1"/>
  <c r="AS241" i="1"/>
  <c r="K241" i="1"/>
  <c r="G30" i="2" s="1"/>
  <c r="I30" i="2" s="1"/>
  <c r="J241" i="1"/>
  <c r="F30" i="2" s="1"/>
  <c r="I241" i="1"/>
  <c r="E30" i="2" s="1"/>
  <c r="BW239" i="1"/>
  <c r="BJ239" i="1"/>
  <c r="Z239" i="1" s="1"/>
  <c r="BF239" i="1"/>
  <c r="BD239" i="1"/>
  <c r="AX239" i="1"/>
  <c r="AP239" i="1"/>
  <c r="BI239" i="1" s="1"/>
  <c r="AO239" i="1"/>
  <c r="BH239" i="1" s="1"/>
  <c r="AL239" i="1"/>
  <c r="AJ239" i="1"/>
  <c r="AH239" i="1"/>
  <c r="AG239" i="1"/>
  <c r="AF239" i="1"/>
  <c r="AE239" i="1"/>
  <c r="AD239" i="1"/>
  <c r="AC239" i="1"/>
  <c r="AB239" i="1"/>
  <c r="K239" i="1"/>
  <c r="AK239" i="1" s="1"/>
  <c r="J239" i="1"/>
  <c r="I239" i="1"/>
  <c r="BW237" i="1"/>
  <c r="BJ237" i="1"/>
  <c r="BF237" i="1"/>
  <c r="BD237" i="1"/>
  <c r="AX237" i="1"/>
  <c r="AP237" i="1"/>
  <c r="BI237" i="1" s="1"/>
  <c r="AE237" i="1" s="1"/>
  <c r="AO237" i="1"/>
  <c r="BH237" i="1" s="1"/>
  <c r="AD237" i="1" s="1"/>
  <c r="AL237" i="1"/>
  <c r="AJ237" i="1"/>
  <c r="AH237" i="1"/>
  <c r="AG237" i="1"/>
  <c r="AF237" i="1"/>
  <c r="AC237" i="1"/>
  <c r="AB237" i="1"/>
  <c r="Z237" i="1"/>
  <c r="K237" i="1"/>
  <c r="AK237" i="1" s="1"/>
  <c r="J237" i="1"/>
  <c r="I237" i="1"/>
  <c r="BW233" i="1"/>
  <c r="BJ233" i="1"/>
  <c r="BF233" i="1"/>
  <c r="BD233" i="1"/>
  <c r="AX233" i="1"/>
  <c r="AP233" i="1"/>
  <c r="BI233" i="1" s="1"/>
  <c r="AE233" i="1" s="1"/>
  <c r="AO233" i="1"/>
  <c r="BH233" i="1" s="1"/>
  <c r="AD233" i="1" s="1"/>
  <c r="AL233" i="1"/>
  <c r="AJ233" i="1"/>
  <c r="AH233" i="1"/>
  <c r="AG233" i="1"/>
  <c r="AF233" i="1"/>
  <c r="AC233" i="1"/>
  <c r="AB233" i="1"/>
  <c r="Z233" i="1"/>
  <c r="K233" i="1"/>
  <c r="AK233" i="1" s="1"/>
  <c r="J233" i="1"/>
  <c r="I233" i="1"/>
  <c r="BW231" i="1"/>
  <c r="BJ231" i="1"/>
  <c r="BF231" i="1"/>
  <c r="BD231" i="1"/>
  <c r="AX231" i="1"/>
  <c r="AP231" i="1"/>
  <c r="BI231" i="1" s="1"/>
  <c r="AE231" i="1" s="1"/>
  <c r="AO231" i="1"/>
  <c r="BH231" i="1" s="1"/>
  <c r="AD231" i="1" s="1"/>
  <c r="AL231" i="1"/>
  <c r="AJ231" i="1"/>
  <c r="AH231" i="1"/>
  <c r="AG231" i="1"/>
  <c r="AF231" i="1"/>
  <c r="AC231" i="1"/>
  <c r="AB231" i="1"/>
  <c r="Z231" i="1"/>
  <c r="K231" i="1"/>
  <c r="AK231" i="1" s="1"/>
  <c r="AT230" i="1" s="1"/>
  <c r="J231" i="1"/>
  <c r="I231" i="1"/>
  <c r="AU230" i="1"/>
  <c r="AS230" i="1"/>
  <c r="K230" i="1"/>
  <c r="G29" i="2" s="1"/>
  <c r="I29" i="2" s="1"/>
  <c r="J230" i="1"/>
  <c r="F29" i="2" s="1"/>
  <c r="I230" i="1"/>
  <c r="E29" i="2" s="1"/>
  <c r="BW228" i="1"/>
  <c r="BJ228" i="1"/>
  <c r="Z228" i="1" s="1"/>
  <c r="BF228" i="1"/>
  <c r="BD228" i="1"/>
  <c r="AX228" i="1"/>
  <c r="AP228" i="1"/>
  <c r="BI228" i="1" s="1"/>
  <c r="AO228" i="1"/>
  <c r="BH228" i="1" s="1"/>
  <c r="AL228" i="1"/>
  <c r="AJ228" i="1"/>
  <c r="AH228" i="1"/>
  <c r="AG228" i="1"/>
  <c r="AF228" i="1"/>
  <c r="AE228" i="1"/>
  <c r="AD228" i="1"/>
  <c r="AC228" i="1"/>
  <c r="AB228" i="1"/>
  <c r="K228" i="1"/>
  <c r="AK228" i="1" s="1"/>
  <c r="J228" i="1"/>
  <c r="I228" i="1"/>
  <c r="BW225" i="1"/>
  <c r="BJ225" i="1"/>
  <c r="BF225" i="1"/>
  <c r="BD225" i="1"/>
  <c r="AX225" i="1"/>
  <c r="AP225" i="1"/>
  <c r="BI225" i="1" s="1"/>
  <c r="AE225" i="1" s="1"/>
  <c r="AO225" i="1"/>
  <c r="BH225" i="1" s="1"/>
  <c r="AD225" i="1" s="1"/>
  <c r="AL225" i="1"/>
  <c r="AJ225" i="1"/>
  <c r="AH225" i="1"/>
  <c r="AG225" i="1"/>
  <c r="AF225" i="1"/>
  <c r="AC225" i="1"/>
  <c r="AB225" i="1"/>
  <c r="Z225" i="1"/>
  <c r="K225" i="1"/>
  <c r="AK225" i="1" s="1"/>
  <c r="J225" i="1"/>
  <c r="I225" i="1"/>
  <c r="BW223" i="1"/>
  <c r="BJ223" i="1"/>
  <c r="BF223" i="1"/>
  <c r="BD223" i="1"/>
  <c r="AX223" i="1"/>
  <c r="AP223" i="1"/>
  <c r="BI223" i="1" s="1"/>
  <c r="AE223" i="1" s="1"/>
  <c r="AO223" i="1"/>
  <c r="BH223" i="1" s="1"/>
  <c r="AD223" i="1" s="1"/>
  <c r="AL223" i="1"/>
  <c r="AJ223" i="1"/>
  <c r="AH223" i="1"/>
  <c r="AG223" i="1"/>
  <c r="AF223" i="1"/>
  <c r="AC223" i="1"/>
  <c r="AB223" i="1"/>
  <c r="Z223" i="1"/>
  <c r="K223" i="1"/>
  <c r="AK223" i="1" s="1"/>
  <c r="J223" i="1"/>
  <c r="I223" i="1"/>
  <c r="BW221" i="1"/>
  <c r="BJ221" i="1"/>
  <c r="BF221" i="1"/>
  <c r="BD221" i="1"/>
  <c r="AX221" i="1"/>
  <c r="AP221" i="1"/>
  <c r="BI221" i="1" s="1"/>
  <c r="AE221" i="1" s="1"/>
  <c r="AO221" i="1"/>
  <c r="BH221" i="1" s="1"/>
  <c r="AD221" i="1" s="1"/>
  <c r="AL221" i="1"/>
  <c r="AJ221" i="1"/>
  <c r="AH221" i="1"/>
  <c r="AG221" i="1"/>
  <c r="AF221" i="1"/>
  <c r="AC221" i="1"/>
  <c r="AB221" i="1"/>
  <c r="Z221" i="1"/>
  <c r="K221" i="1"/>
  <c r="AK221" i="1" s="1"/>
  <c r="J221" i="1"/>
  <c r="I221" i="1"/>
  <c r="BW218" i="1"/>
  <c r="BJ218" i="1"/>
  <c r="BF218" i="1"/>
  <c r="BD218" i="1"/>
  <c r="AX218" i="1"/>
  <c r="AP218" i="1"/>
  <c r="BI218" i="1" s="1"/>
  <c r="AE218" i="1" s="1"/>
  <c r="AO218" i="1"/>
  <c r="BH218" i="1" s="1"/>
  <c r="AD218" i="1" s="1"/>
  <c r="AL218" i="1"/>
  <c r="AJ218" i="1"/>
  <c r="AH218" i="1"/>
  <c r="AG218" i="1"/>
  <c r="AF218" i="1"/>
  <c r="AC218" i="1"/>
  <c r="AB218" i="1"/>
  <c r="Z218" i="1"/>
  <c r="K218" i="1"/>
  <c r="AK218" i="1" s="1"/>
  <c r="J218" i="1"/>
  <c r="I218" i="1"/>
  <c r="BW215" i="1"/>
  <c r="BJ215" i="1"/>
  <c r="BF215" i="1"/>
  <c r="BD215" i="1"/>
  <c r="AX215" i="1"/>
  <c r="AP215" i="1"/>
  <c r="BI215" i="1" s="1"/>
  <c r="AE215" i="1" s="1"/>
  <c r="AO215" i="1"/>
  <c r="BH215" i="1" s="1"/>
  <c r="AD215" i="1" s="1"/>
  <c r="AL215" i="1"/>
  <c r="AJ215" i="1"/>
  <c r="AH215" i="1"/>
  <c r="AG215" i="1"/>
  <c r="AF215" i="1"/>
  <c r="AC215" i="1"/>
  <c r="AB215" i="1"/>
  <c r="Z215" i="1"/>
  <c r="K215" i="1"/>
  <c r="AK215" i="1" s="1"/>
  <c r="AT214" i="1" s="1"/>
  <c r="J215" i="1"/>
  <c r="I215" i="1"/>
  <c r="AU214" i="1"/>
  <c r="AS214" i="1"/>
  <c r="K214" i="1"/>
  <c r="G28" i="2" s="1"/>
  <c r="I28" i="2" s="1"/>
  <c r="J214" i="1"/>
  <c r="F28" i="2" s="1"/>
  <c r="I214" i="1"/>
  <c r="E28" i="2" s="1"/>
  <c r="BW212" i="1"/>
  <c r="BJ212" i="1"/>
  <c r="Z212" i="1" s="1"/>
  <c r="BF212" i="1"/>
  <c r="BD212" i="1"/>
  <c r="AX212" i="1"/>
  <c r="AP212" i="1"/>
  <c r="BI212" i="1" s="1"/>
  <c r="AO212" i="1"/>
  <c r="BH212" i="1" s="1"/>
  <c r="AL212" i="1"/>
  <c r="AJ212" i="1"/>
  <c r="AH212" i="1"/>
  <c r="AG212" i="1"/>
  <c r="AF212" i="1"/>
  <c r="AE212" i="1"/>
  <c r="AD212" i="1"/>
  <c r="AC212" i="1"/>
  <c r="AB212" i="1"/>
  <c r="K212" i="1"/>
  <c r="AK212" i="1" s="1"/>
  <c r="J212" i="1"/>
  <c r="I212" i="1"/>
  <c r="BW208" i="1"/>
  <c r="BJ208" i="1"/>
  <c r="BF208" i="1"/>
  <c r="BD208" i="1"/>
  <c r="AX208" i="1"/>
  <c r="AP208" i="1"/>
  <c r="BI208" i="1" s="1"/>
  <c r="AE208" i="1" s="1"/>
  <c r="AO208" i="1"/>
  <c r="BH208" i="1" s="1"/>
  <c r="AD208" i="1" s="1"/>
  <c r="AL208" i="1"/>
  <c r="AJ208" i="1"/>
  <c r="AH208" i="1"/>
  <c r="AG208" i="1"/>
  <c r="AF208" i="1"/>
  <c r="AC208" i="1"/>
  <c r="AB208" i="1"/>
  <c r="Z208" i="1"/>
  <c r="K208" i="1"/>
  <c r="AK208" i="1" s="1"/>
  <c r="J208" i="1"/>
  <c r="I208" i="1"/>
  <c r="BW205" i="1"/>
  <c r="BJ205" i="1"/>
  <c r="BF205" i="1"/>
  <c r="BD205" i="1"/>
  <c r="AX205" i="1"/>
  <c r="AP205" i="1"/>
  <c r="BI205" i="1" s="1"/>
  <c r="AE205" i="1" s="1"/>
  <c r="AO205" i="1"/>
  <c r="BH205" i="1" s="1"/>
  <c r="AD205" i="1" s="1"/>
  <c r="AL205" i="1"/>
  <c r="AJ205" i="1"/>
  <c r="AH205" i="1"/>
  <c r="AG205" i="1"/>
  <c r="AF205" i="1"/>
  <c r="AC205" i="1"/>
  <c r="AB205" i="1"/>
  <c r="Z205" i="1"/>
  <c r="K205" i="1"/>
  <c r="AK205" i="1" s="1"/>
  <c r="J205" i="1"/>
  <c r="I205" i="1"/>
  <c r="BW199" i="1"/>
  <c r="BJ199" i="1"/>
  <c r="BF199" i="1"/>
  <c r="BD199" i="1"/>
  <c r="AX199" i="1"/>
  <c r="AP199" i="1"/>
  <c r="BI199" i="1" s="1"/>
  <c r="AE199" i="1" s="1"/>
  <c r="AO199" i="1"/>
  <c r="BH199" i="1" s="1"/>
  <c r="AD199" i="1" s="1"/>
  <c r="AL199" i="1"/>
  <c r="AJ199" i="1"/>
  <c r="AH199" i="1"/>
  <c r="AG199" i="1"/>
  <c r="AF199" i="1"/>
  <c r="AC199" i="1"/>
  <c r="AB199" i="1"/>
  <c r="Z199" i="1"/>
  <c r="K199" i="1"/>
  <c r="AK199" i="1" s="1"/>
  <c r="AT198" i="1" s="1"/>
  <c r="J199" i="1"/>
  <c r="I199" i="1"/>
  <c r="AU198" i="1"/>
  <c r="AS198" i="1"/>
  <c r="K198" i="1"/>
  <c r="G27" i="2" s="1"/>
  <c r="I27" i="2" s="1"/>
  <c r="J198" i="1"/>
  <c r="F27" i="2" s="1"/>
  <c r="I198" i="1"/>
  <c r="E27" i="2" s="1"/>
  <c r="BW196" i="1"/>
  <c r="BJ196" i="1"/>
  <c r="Z196" i="1" s="1"/>
  <c r="BF196" i="1"/>
  <c r="BD196" i="1"/>
  <c r="AX196" i="1"/>
  <c r="AP196" i="1"/>
  <c r="BI196" i="1" s="1"/>
  <c r="AO196" i="1"/>
  <c r="BH196" i="1" s="1"/>
  <c r="AL196" i="1"/>
  <c r="AJ196" i="1"/>
  <c r="AH196" i="1"/>
  <c r="AG196" i="1"/>
  <c r="AF196" i="1"/>
  <c r="AE196" i="1"/>
  <c r="AD196" i="1"/>
  <c r="AC196" i="1"/>
  <c r="AB196" i="1"/>
  <c r="K196" i="1"/>
  <c r="AK196" i="1" s="1"/>
  <c r="J196" i="1"/>
  <c r="I196" i="1"/>
  <c r="BW194" i="1"/>
  <c r="BJ194" i="1"/>
  <c r="BF194" i="1"/>
  <c r="BD194" i="1"/>
  <c r="AX194" i="1"/>
  <c r="AP194" i="1"/>
  <c r="BI194" i="1" s="1"/>
  <c r="AE194" i="1" s="1"/>
  <c r="AO194" i="1"/>
  <c r="AW194" i="1" s="1"/>
  <c r="AL194" i="1"/>
  <c r="AJ194" i="1"/>
  <c r="AH194" i="1"/>
  <c r="AG194" i="1"/>
  <c r="AF194" i="1"/>
  <c r="AC194" i="1"/>
  <c r="AB194" i="1"/>
  <c r="Z194" i="1"/>
  <c r="K194" i="1"/>
  <c r="AK194" i="1" s="1"/>
  <c r="J194" i="1"/>
  <c r="I194" i="1"/>
  <c r="BW192" i="1"/>
  <c r="BJ192" i="1"/>
  <c r="BF192" i="1"/>
  <c r="BD192" i="1"/>
  <c r="AX192" i="1"/>
  <c r="AP192" i="1"/>
  <c r="BI192" i="1" s="1"/>
  <c r="AO192" i="1"/>
  <c r="BH192" i="1" s="1"/>
  <c r="AD192" i="1" s="1"/>
  <c r="AL192" i="1"/>
  <c r="AJ192" i="1"/>
  <c r="AH192" i="1"/>
  <c r="AG192" i="1"/>
  <c r="AF192" i="1"/>
  <c r="AE192" i="1"/>
  <c r="AC192" i="1"/>
  <c r="AB192" i="1"/>
  <c r="Z192" i="1"/>
  <c r="K192" i="1"/>
  <c r="AK192" i="1" s="1"/>
  <c r="J192" i="1"/>
  <c r="I192" i="1"/>
  <c r="BW190" i="1"/>
  <c r="BJ190" i="1"/>
  <c r="BF190" i="1"/>
  <c r="BD190" i="1"/>
  <c r="AX190" i="1"/>
  <c r="AP190" i="1"/>
  <c r="BI190" i="1" s="1"/>
  <c r="AE190" i="1" s="1"/>
  <c r="AO190" i="1"/>
  <c r="BH190" i="1" s="1"/>
  <c r="AD190" i="1" s="1"/>
  <c r="AL190" i="1"/>
  <c r="AJ190" i="1"/>
  <c r="AH190" i="1"/>
  <c r="AG190" i="1"/>
  <c r="AF190" i="1"/>
  <c r="AC190" i="1"/>
  <c r="AB190" i="1"/>
  <c r="Z190" i="1"/>
  <c r="K190" i="1"/>
  <c r="AK190" i="1" s="1"/>
  <c r="J190" i="1"/>
  <c r="I190" i="1"/>
  <c r="BW188" i="1"/>
  <c r="BJ188" i="1"/>
  <c r="BF188" i="1"/>
  <c r="BD188" i="1"/>
  <c r="AX188" i="1"/>
  <c r="AP188" i="1"/>
  <c r="BI188" i="1" s="1"/>
  <c r="AE188" i="1" s="1"/>
  <c r="AO188" i="1"/>
  <c r="BH188" i="1" s="1"/>
  <c r="AD188" i="1" s="1"/>
  <c r="AL188" i="1"/>
  <c r="AJ188" i="1"/>
  <c r="AH188" i="1"/>
  <c r="AG188" i="1"/>
  <c r="AF188" i="1"/>
  <c r="AC188" i="1"/>
  <c r="AB188" i="1"/>
  <c r="Z188" i="1"/>
  <c r="K188" i="1"/>
  <c r="AK188" i="1" s="1"/>
  <c r="J188" i="1"/>
  <c r="I188" i="1"/>
  <c r="BW186" i="1"/>
  <c r="BJ186" i="1"/>
  <c r="BF186" i="1"/>
  <c r="BD186" i="1"/>
  <c r="AX186" i="1"/>
  <c r="AP186" i="1"/>
  <c r="BI186" i="1" s="1"/>
  <c r="AE186" i="1" s="1"/>
  <c r="AO186" i="1"/>
  <c r="BH186" i="1" s="1"/>
  <c r="AD186" i="1" s="1"/>
  <c r="AL186" i="1"/>
  <c r="AJ186" i="1"/>
  <c r="AH186" i="1"/>
  <c r="AG186" i="1"/>
  <c r="AF186" i="1"/>
  <c r="AC186" i="1"/>
  <c r="AB186" i="1"/>
  <c r="Z186" i="1"/>
  <c r="K186" i="1"/>
  <c r="AK186" i="1" s="1"/>
  <c r="J186" i="1"/>
  <c r="I186" i="1"/>
  <c r="BW184" i="1"/>
  <c r="BJ184" i="1"/>
  <c r="BF184" i="1"/>
  <c r="BD184" i="1"/>
  <c r="AX184" i="1"/>
  <c r="AP184" i="1"/>
  <c r="BI184" i="1" s="1"/>
  <c r="AE184" i="1" s="1"/>
  <c r="AO184" i="1"/>
  <c r="BH184" i="1" s="1"/>
  <c r="AD184" i="1" s="1"/>
  <c r="AL184" i="1"/>
  <c r="AJ184" i="1"/>
  <c r="AH184" i="1"/>
  <c r="AG184" i="1"/>
  <c r="AF184" i="1"/>
  <c r="AC184" i="1"/>
  <c r="AB184" i="1"/>
  <c r="Z184" i="1"/>
  <c r="K184" i="1"/>
  <c r="AK184" i="1" s="1"/>
  <c r="AT183" i="1" s="1"/>
  <c r="J184" i="1"/>
  <c r="I184" i="1"/>
  <c r="AU183" i="1"/>
  <c r="AS183" i="1"/>
  <c r="K183" i="1"/>
  <c r="G26" i="2" s="1"/>
  <c r="I26" i="2" s="1"/>
  <c r="J183" i="1"/>
  <c r="F26" i="2" s="1"/>
  <c r="I183" i="1"/>
  <c r="E26" i="2" s="1"/>
  <c r="BW181" i="1"/>
  <c r="BJ181" i="1"/>
  <c r="Z181" i="1" s="1"/>
  <c r="BF181" i="1"/>
  <c r="BD181" i="1"/>
  <c r="AX181" i="1"/>
  <c r="AP181" i="1"/>
  <c r="BI181" i="1" s="1"/>
  <c r="AO181" i="1"/>
  <c r="BH181" i="1" s="1"/>
  <c r="AL181" i="1"/>
  <c r="AJ181" i="1"/>
  <c r="AH181" i="1"/>
  <c r="AG181" i="1"/>
  <c r="AF181" i="1"/>
  <c r="AE181" i="1"/>
  <c r="AD181" i="1"/>
  <c r="AC181" i="1"/>
  <c r="AB181" i="1"/>
  <c r="K181" i="1"/>
  <c r="AK181" i="1" s="1"/>
  <c r="J181" i="1"/>
  <c r="I181" i="1"/>
  <c r="BW179" i="1"/>
  <c r="BJ179" i="1"/>
  <c r="BF179" i="1"/>
  <c r="BD179" i="1"/>
  <c r="AX179" i="1"/>
  <c r="AP179" i="1"/>
  <c r="BI179" i="1" s="1"/>
  <c r="AE179" i="1" s="1"/>
  <c r="AO179" i="1"/>
  <c r="BH179" i="1" s="1"/>
  <c r="AD179" i="1" s="1"/>
  <c r="AL179" i="1"/>
  <c r="AJ179" i="1"/>
  <c r="AH179" i="1"/>
  <c r="AG179" i="1"/>
  <c r="AF179" i="1"/>
  <c r="AC179" i="1"/>
  <c r="AB179" i="1"/>
  <c r="Z179" i="1"/>
  <c r="K179" i="1"/>
  <c r="AK179" i="1" s="1"/>
  <c r="J179" i="1"/>
  <c r="I179" i="1"/>
  <c r="BW177" i="1"/>
  <c r="BJ177" i="1"/>
  <c r="BF177" i="1"/>
  <c r="BD177" i="1"/>
  <c r="AX177" i="1"/>
  <c r="AP177" i="1"/>
  <c r="BI177" i="1" s="1"/>
  <c r="AE177" i="1" s="1"/>
  <c r="AO177" i="1"/>
  <c r="BH177" i="1" s="1"/>
  <c r="AD177" i="1" s="1"/>
  <c r="AL177" i="1"/>
  <c r="AJ177" i="1"/>
  <c r="AH177" i="1"/>
  <c r="AG177" i="1"/>
  <c r="AF177" i="1"/>
  <c r="AC177" i="1"/>
  <c r="AB177" i="1"/>
  <c r="Z177" i="1"/>
  <c r="K177" i="1"/>
  <c r="AK177" i="1" s="1"/>
  <c r="J177" i="1"/>
  <c r="I177" i="1"/>
  <c r="BW175" i="1"/>
  <c r="BJ175" i="1"/>
  <c r="BF175" i="1"/>
  <c r="BD175" i="1"/>
  <c r="AX175" i="1"/>
  <c r="AP175" i="1"/>
  <c r="BI175" i="1" s="1"/>
  <c r="AE175" i="1" s="1"/>
  <c r="AO175" i="1"/>
  <c r="BH175" i="1" s="1"/>
  <c r="AD175" i="1" s="1"/>
  <c r="AL175" i="1"/>
  <c r="AJ175" i="1"/>
  <c r="AH175" i="1"/>
  <c r="AG175" i="1"/>
  <c r="AF175" i="1"/>
  <c r="AC175" i="1"/>
  <c r="AB175" i="1"/>
  <c r="Z175" i="1"/>
  <c r="K175" i="1"/>
  <c r="AK175" i="1" s="1"/>
  <c r="AT174" i="1" s="1"/>
  <c r="J175" i="1"/>
  <c r="I175" i="1"/>
  <c r="AU174" i="1"/>
  <c r="AS174" i="1"/>
  <c r="K174" i="1"/>
  <c r="G25" i="2" s="1"/>
  <c r="I25" i="2" s="1"/>
  <c r="J174" i="1"/>
  <c r="F25" i="2" s="1"/>
  <c r="I174" i="1"/>
  <c r="E25" i="2" s="1"/>
  <c r="BW172" i="1"/>
  <c r="BJ172" i="1"/>
  <c r="Z172" i="1" s="1"/>
  <c r="BF172" i="1"/>
  <c r="BD172" i="1"/>
  <c r="AX172" i="1"/>
  <c r="AP172" i="1"/>
  <c r="BI172" i="1" s="1"/>
  <c r="AO172" i="1"/>
  <c r="BH172" i="1" s="1"/>
  <c r="AL172" i="1"/>
  <c r="AJ172" i="1"/>
  <c r="AH172" i="1"/>
  <c r="AG172" i="1"/>
  <c r="AF172" i="1"/>
  <c r="AE172" i="1"/>
  <c r="AD172" i="1"/>
  <c r="AC172" i="1"/>
  <c r="AB172" i="1"/>
  <c r="K172" i="1"/>
  <c r="AK172" i="1" s="1"/>
  <c r="J172" i="1"/>
  <c r="I172" i="1"/>
  <c r="BW170" i="1"/>
  <c r="BJ170" i="1"/>
  <c r="BF170" i="1"/>
  <c r="BD170" i="1"/>
  <c r="AX170" i="1"/>
  <c r="AP170" i="1"/>
  <c r="BI170" i="1" s="1"/>
  <c r="AE170" i="1" s="1"/>
  <c r="AO170" i="1"/>
  <c r="BH170" i="1" s="1"/>
  <c r="AD170" i="1" s="1"/>
  <c r="AL170" i="1"/>
  <c r="AJ170" i="1"/>
  <c r="AH170" i="1"/>
  <c r="AG170" i="1"/>
  <c r="AF170" i="1"/>
  <c r="AC170" i="1"/>
  <c r="AB170" i="1"/>
  <c r="Z170" i="1"/>
  <c r="K170" i="1"/>
  <c r="AK170" i="1" s="1"/>
  <c r="J170" i="1"/>
  <c r="I170" i="1"/>
  <c r="BW167" i="1"/>
  <c r="BJ167" i="1"/>
  <c r="BF167" i="1"/>
  <c r="BD167" i="1"/>
  <c r="AX167" i="1"/>
  <c r="AP167" i="1"/>
  <c r="BI167" i="1" s="1"/>
  <c r="AE167" i="1" s="1"/>
  <c r="AO167" i="1"/>
  <c r="BH167" i="1" s="1"/>
  <c r="AD167" i="1" s="1"/>
  <c r="AL167" i="1"/>
  <c r="AJ167" i="1"/>
  <c r="AH167" i="1"/>
  <c r="AG167" i="1"/>
  <c r="AF167" i="1"/>
  <c r="AC167" i="1"/>
  <c r="AB167" i="1"/>
  <c r="Z167" i="1"/>
  <c r="K167" i="1"/>
  <c r="AK167" i="1" s="1"/>
  <c r="J167" i="1"/>
  <c r="I167" i="1"/>
  <c r="BW162" i="1"/>
  <c r="BJ162" i="1"/>
  <c r="BF162" i="1"/>
  <c r="BD162" i="1"/>
  <c r="AX162" i="1"/>
  <c r="AP162" i="1"/>
  <c r="BI162" i="1" s="1"/>
  <c r="AE162" i="1" s="1"/>
  <c r="AO162" i="1"/>
  <c r="BH162" i="1" s="1"/>
  <c r="AD162" i="1" s="1"/>
  <c r="AL162" i="1"/>
  <c r="AJ162" i="1"/>
  <c r="AH162" i="1"/>
  <c r="AG162" i="1"/>
  <c r="AF162" i="1"/>
  <c r="AC162" i="1"/>
  <c r="AB162" i="1"/>
  <c r="Z162" i="1"/>
  <c r="K162" i="1"/>
  <c r="AK162" i="1" s="1"/>
  <c r="AT161" i="1" s="1"/>
  <c r="J162" i="1"/>
  <c r="I162" i="1"/>
  <c r="AU161" i="1"/>
  <c r="AS161" i="1"/>
  <c r="K161" i="1"/>
  <c r="G24" i="2" s="1"/>
  <c r="I24" i="2" s="1"/>
  <c r="J161" i="1"/>
  <c r="F24" i="2" s="1"/>
  <c r="I161" i="1"/>
  <c r="E24" i="2" s="1"/>
  <c r="BW159" i="1"/>
  <c r="BJ159" i="1"/>
  <c r="BF159" i="1"/>
  <c r="BD159" i="1"/>
  <c r="AX159" i="1"/>
  <c r="AP159" i="1"/>
  <c r="BI159" i="1" s="1"/>
  <c r="AE159" i="1" s="1"/>
  <c r="AO159" i="1"/>
  <c r="BH159" i="1" s="1"/>
  <c r="AD159" i="1" s="1"/>
  <c r="AL159" i="1"/>
  <c r="AJ159" i="1"/>
  <c r="AH159" i="1"/>
  <c r="AG159" i="1"/>
  <c r="AF159" i="1"/>
  <c r="AC159" i="1"/>
  <c r="AB159" i="1"/>
  <c r="Z159" i="1"/>
  <c r="K159" i="1"/>
  <c r="AK159" i="1" s="1"/>
  <c r="AT158" i="1" s="1"/>
  <c r="J159" i="1"/>
  <c r="I159" i="1"/>
  <c r="AU158" i="1"/>
  <c r="AS158" i="1"/>
  <c r="K158" i="1"/>
  <c r="G23" i="2" s="1"/>
  <c r="I23" i="2" s="1"/>
  <c r="J158" i="1"/>
  <c r="F23" i="2" s="1"/>
  <c r="I158" i="1"/>
  <c r="E23" i="2" s="1"/>
  <c r="BW156" i="1"/>
  <c r="BJ156" i="1"/>
  <c r="Z156" i="1" s="1"/>
  <c r="BF156" i="1"/>
  <c r="BD156" i="1"/>
  <c r="AX156" i="1"/>
  <c r="AP156" i="1"/>
  <c r="BI156" i="1" s="1"/>
  <c r="AO156" i="1"/>
  <c r="BH156" i="1" s="1"/>
  <c r="AL156" i="1"/>
  <c r="AJ156" i="1"/>
  <c r="AH156" i="1"/>
  <c r="AG156" i="1"/>
  <c r="AF156" i="1"/>
  <c r="AE156" i="1"/>
  <c r="AD156" i="1"/>
  <c r="AC156" i="1"/>
  <c r="AB156" i="1"/>
  <c r="K156" i="1"/>
  <c r="AK156" i="1" s="1"/>
  <c r="J156" i="1"/>
  <c r="I156" i="1"/>
  <c r="BW153" i="1"/>
  <c r="BJ153" i="1"/>
  <c r="BF153" i="1"/>
  <c r="BD153" i="1"/>
  <c r="AX153" i="1"/>
  <c r="AP153" i="1"/>
  <c r="BI153" i="1" s="1"/>
  <c r="AE153" i="1" s="1"/>
  <c r="AO153" i="1"/>
  <c r="BH153" i="1" s="1"/>
  <c r="AD153" i="1" s="1"/>
  <c r="AL153" i="1"/>
  <c r="AJ153" i="1"/>
  <c r="AH153" i="1"/>
  <c r="AG153" i="1"/>
  <c r="AF153" i="1"/>
  <c r="AC153" i="1"/>
  <c r="AB153" i="1"/>
  <c r="Z153" i="1"/>
  <c r="K153" i="1"/>
  <c r="AK153" i="1" s="1"/>
  <c r="J153" i="1"/>
  <c r="I153" i="1"/>
  <c r="BW150" i="1"/>
  <c r="BJ150" i="1"/>
  <c r="BF150" i="1"/>
  <c r="BD150" i="1"/>
  <c r="AX150" i="1"/>
  <c r="AP150" i="1"/>
  <c r="BI150" i="1" s="1"/>
  <c r="AE150" i="1" s="1"/>
  <c r="AO150" i="1"/>
  <c r="BH150" i="1" s="1"/>
  <c r="AD150" i="1" s="1"/>
  <c r="AL150" i="1"/>
  <c r="AJ150" i="1"/>
  <c r="AH150" i="1"/>
  <c r="AG150" i="1"/>
  <c r="AF150" i="1"/>
  <c r="AC150" i="1"/>
  <c r="AB150" i="1"/>
  <c r="Z150" i="1"/>
  <c r="K150" i="1"/>
  <c r="AK150" i="1" s="1"/>
  <c r="J150" i="1"/>
  <c r="I150" i="1"/>
  <c r="BW148" i="1"/>
  <c r="BJ148" i="1"/>
  <c r="BF148" i="1"/>
  <c r="BD148" i="1"/>
  <c r="AX148" i="1"/>
  <c r="AP148" i="1"/>
  <c r="BI148" i="1" s="1"/>
  <c r="AE148" i="1" s="1"/>
  <c r="AO148" i="1"/>
  <c r="BH148" i="1" s="1"/>
  <c r="AD148" i="1" s="1"/>
  <c r="AL148" i="1"/>
  <c r="AJ148" i="1"/>
  <c r="AH148" i="1"/>
  <c r="AG148" i="1"/>
  <c r="AF148" i="1"/>
  <c r="AC148" i="1"/>
  <c r="AB148" i="1"/>
  <c r="Z148" i="1"/>
  <c r="K148" i="1"/>
  <c r="AK148" i="1" s="1"/>
  <c r="J148" i="1"/>
  <c r="I148" i="1"/>
  <c r="BW146" i="1"/>
  <c r="BJ146" i="1"/>
  <c r="BF146" i="1"/>
  <c r="BD146" i="1"/>
  <c r="AX146" i="1"/>
  <c r="AP146" i="1"/>
  <c r="BI146" i="1" s="1"/>
  <c r="AE146" i="1" s="1"/>
  <c r="AO146" i="1"/>
  <c r="BH146" i="1" s="1"/>
  <c r="AD146" i="1" s="1"/>
  <c r="AL146" i="1"/>
  <c r="AJ146" i="1"/>
  <c r="AH146" i="1"/>
  <c r="AG146" i="1"/>
  <c r="AF146" i="1"/>
  <c r="AC146" i="1"/>
  <c r="AB146" i="1"/>
  <c r="Z146" i="1"/>
  <c r="K146" i="1"/>
  <c r="AK146" i="1" s="1"/>
  <c r="AT145" i="1" s="1"/>
  <c r="J146" i="1"/>
  <c r="I146" i="1"/>
  <c r="AU145" i="1"/>
  <c r="AS145" i="1"/>
  <c r="K145" i="1"/>
  <c r="G22" i="2" s="1"/>
  <c r="I22" i="2" s="1"/>
  <c r="J145" i="1"/>
  <c r="F22" i="2" s="1"/>
  <c r="I145" i="1"/>
  <c r="E22" i="2" s="1"/>
  <c r="BW143" i="1"/>
  <c r="BJ143" i="1"/>
  <c r="BF143" i="1"/>
  <c r="BD143" i="1"/>
  <c r="AX143" i="1"/>
  <c r="AP143" i="1"/>
  <c r="BI143" i="1" s="1"/>
  <c r="AE143" i="1" s="1"/>
  <c r="AO143" i="1"/>
  <c r="BH143" i="1" s="1"/>
  <c r="AD143" i="1" s="1"/>
  <c r="AL143" i="1"/>
  <c r="AJ143" i="1"/>
  <c r="AH143" i="1"/>
  <c r="AG143" i="1"/>
  <c r="AF143" i="1"/>
  <c r="AC143" i="1"/>
  <c r="AB143" i="1"/>
  <c r="Z143" i="1"/>
  <c r="K143" i="1"/>
  <c r="AK143" i="1" s="1"/>
  <c r="J143" i="1"/>
  <c r="I143" i="1"/>
  <c r="BW141" i="1"/>
  <c r="BJ141" i="1"/>
  <c r="BF141" i="1"/>
  <c r="BD141" i="1"/>
  <c r="AX141" i="1"/>
  <c r="AP141" i="1"/>
  <c r="BI141" i="1" s="1"/>
  <c r="AE141" i="1" s="1"/>
  <c r="AO141" i="1"/>
  <c r="BH141" i="1" s="1"/>
  <c r="AD141" i="1" s="1"/>
  <c r="AL141" i="1"/>
  <c r="AJ141" i="1"/>
  <c r="AH141" i="1"/>
  <c r="AG141" i="1"/>
  <c r="AF141" i="1"/>
  <c r="AC141" i="1"/>
  <c r="AB141" i="1"/>
  <c r="Z141" i="1"/>
  <c r="K141" i="1"/>
  <c r="AK141" i="1" s="1"/>
  <c r="J141" i="1"/>
  <c r="I141" i="1"/>
  <c r="BW139" i="1"/>
  <c r="BJ139" i="1"/>
  <c r="BF139" i="1"/>
  <c r="BD139" i="1"/>
  <c r="AX139" i="1"/>
  <c r="AP139" i="1"/>
  <c r="BI139" i="1" s="1"/>
  <c r="AE139" i="1" s="1"/>
  <c r="AO139" i="1"/>
  <c r="BH139" i="1" s="1"/>
  <c r="AD139" i="1" s="1"/>
  <c r="AL139" i="1"/>
  <c r="AJ139" i="1"/>
  <c r="AH139" i="1"/>
  <c r="AG139" i="1"/>
  <c r="AF139" i="1"/>
  <c r="AC139" i="1"/>
  <c r="AB139" i="1"/>
  <c r="Z139" i="1"/>
  <c r="K139" i="1"/>
  <c r="AK139" i="1" s="1"/>
  <c r="J139" i="1"/>
  <c r="I139" i="1"/>
  <c r="BW137" i="1"/>
  <c r="BJ137" i="1"/>
  <c r="BF137" i="1"/>
  <c r="BD137" i="1"/>
  <c r="AX137" i="1"/>
  <c r="AP137" i="1"/>
  <c r="BI137" i="1" s="1"/>
  <c r="AE137" i="1" s="1"/>
  <c r="AO137" i="1"/>
  <c r="BH137" i="1" s="1"/>
  <c r="AD137" i="1" s="1"/>
  <c r="AL137" i="1"/>
  <c r="AJ137" i="1"/>
  <c r="AH137" i="1"/>
  <c r="AG137" i="1"/>
  <c r="AF137" i="1"/>
  <c r="AC137" i="1"/>
  <c r="AB137" i="1"/>
  <c r="Z137" i="1"/>
  <c r="K137" i="1"/>
  <c r="AK137" i="1" s="1"/>
  <c r="AT136" i="1" s="1"/>
  <c r="J137" i="1"/>
  <c r="I137" i="1"/>
  <c r="AU136" i="1"/>
  <c r="AS136" i="1"/>
  <c r="K136" i="1"/>
  <c r="G21" i="2" s="1"/>
  <c r="I21" i="2" s="1"/>
  <c r="J136" i="1"/>
  <c r="F21" i="2" s="1"/>
  <c r="I136" i="1"/>
  <c r="E21" i="2" s="1"/>
  <c r="BW134" i="1"/>
  <c r="BJ134" i="1"/>
  <c r="BF134" i="1"/>
  <c r="BD134" i="1"/>
  <c r="AW134" i="1"/>
  <c r="AV134" i="1" s="1"/>
  <c r="AP134" i="1"/>
  <c r="AX134" i="1" s="1"/>
  <c r="AO134" i="1"/>
  <c r="BH134" i="1" s="1"/>
  <c r="AL134" i="1"/>
  <c r="AJ134" i="1"/>
  <c r="AH134" i="1"/>
  <c r="AG134" i="1"/>
  <c r="AF134" i="1"/>
  <c r="AE134" i="1"/>
  <c r="AD134" i="1"/>
  <c r="AC134" i="1"/>
  <c r="AB134" i="1"/>
  <c r="Z134" i="1"/>
  <c r="K134" i="1"/>
  <c r="AK134" i="1" s="1"/>
  <c r="J134" i="1"/>
  <c r="I134" i="1"/>
  <c r="BW132" i="1"/>
  <c r="BJ132" i="1"/>
  <c r="BI132" i="1"/>
  <c r="BF132" i="1"/>
  <c r="BD132" i="1"/>
  <c r="AW132" i="1"/>
  <c r="AV132" i="1" s="1"/>
  <c r="AP132" i="1"/>
  <c r="AX132" i="1" s="1"/>
  <c r="AO132" i="1"/>
  <c r="BH132" i="1" s="1"/>
  <c r="AD132" i="1" s="1"/>
  <c r="AL132" i="1"/>
  <c r="AJ132" i="1"/>
  <c r="AH132" i="1"/>
  <c r="AG132" i="1"/>
  <c r="AF132" i="1"/>
  <c r="AE132" i="1"/>
  <c r="AC132" i="1"/>
  <c r="AB132" i="1"/>
  <c r="Z132" i="1"/>
  <c r="K132" i="1"/>
  <c r="AK132" i="1" s="1"/>
  <c r="J132" i="1"/>
  <c r="I132" i="1"/>
  <c r="BW130" i="1"/>
  <c r="BJ130" i="1"/>
  <c r="BF130" i="1"/>
  <c r="BD130" i="1"/>
  <c r="AW130" i="1"/>
  <c r="AP130" i="1"/>
  <c r="AX130" i="1" s="1"/>
  <c r="BC130" i="1" s="1"/>
  <c r="AO130" i="1"/>
  <c r="BH130" i="1" s="1"/>
  <c r="AD130" i="1" s="1"/>
  <c r="AL130" i="1"/>
  <c r="AJ130" i="1"/>
  <c r="AH130" i="1"/>
  <c r="AG130" i="1"/>
  <c r="AF130" i="1"/>
  <c r="AC130" i="1"/>
  <c r="AB130" i="1"/>
  <c r="Z130" i="1"/>
  <c r="K130" i="1"/>
  <c r="AK130" i="1" s="1"/>
  <c r="J130" i="1"/>
  <c r="I130" i="1"/>
  <c r="BW128" i="1"/>
  <c r="BJ128" i="1"/>
  <c r="BI128" i="1"/>
  <c r="BF128" i="1"/>
  <c r="BD128" i="1"/>
  <c r="AW128" i="1"/>
  <c r="AV128" i="1" s="1"/>
  <c r="AP128" i="1"/>
  <c r="AX128" i="1" s="1"/>
  <c r="AO128" i="1"/>
  <c r="BH128" i="1" s="1"/>
  <c r="AD128" i="1" s="1"/>
  <c r="AL128" i="1"/>
  <c r="AJ128" i="1"/>
  <c r="AH128" i="1"/>
  <c r="AG128" i="1"/>
  <c r="AF128" i="1"/>
  <c r="AE128" i="1"/>
  <c r="AC128" i="1"/>
  <c r="AB128" i="1"/>
  <c r="Z128" i="1"/>
  <c r="K128" i="1"/>
  <c r="AK128" i="1" s="1"/>
  <c r="J128" i="1"/>
  <c r="I128" i="1"/>
  <c r="BW126" i="1"/>
  <c r="BJ126" i="1"/>
  <c r="BF126" i="1"/>
  <c r="BD126" i="1"/>
  <c r="AW126" i="1"/>
  <c r="AP126" i="1"/>
  <c r="AX126" i="1" s="1"/>
  <c r="BC126" i="1" s="1"/>
  <c r="AO126" i="1"/>
  <c r="BH126" i="1" s="1"/>
  <c r="AD126" i="1" s="1"/>
  <c r="AL126" i="1"/>
  <c r="AJ126" i="1"/>
  <c r="AH126" i="1"/>
  <c r="AG126" i="1"/>
  <c r="AF126" i="1"/>
  <c r="AC126" i="1"/>
  <c r="AB126" i="1"/>
  <c r="Z126" i="1"/>
  <c r="K126" i="1"/>
  <c r="AK126" i="1" s="1"/>
  <c r="J126" i="1"/>
  <c r="I126" i="1"/>
  <c r="BW124" i="1"/>
  <c r="BJ124" i="1"/>
  <c r="BI124" i="1"/>
  <c r="BF124" i="1"/>
  <c r="BD124" i="1"/>
  <c r="AW124" i="1"/>
  <c r="AV124" i="1" s="1"/>
  <c r="AP124" i="1"/>
  <c r="AX124" i="1" s="1"/>
  <c r="AO124" i="1"/>
  <c r="BH124" i="1" s="1"/>
  <c r="AD124" i="1" s="1"/>
  <c r="AL124" i="1"/>
  <c r="AJ124" i="1"/>
  <c r="AH124" i="1"/>
  <c r="AG124" i="1"/>
  <c r="AF124" i="1"/>
  <c r="AE124" i="1"/>
  <c r="AC124" i="1"/>
  <c r="AB124" i="1"/>
  <c r="Z124" i="1"/>
  <c r="K124" i="1"/>
  <c r="AK124" i="1" s="1"/>
  <c r="J124" i="1"/>
  <c r="I124" i="1"/>
  <c r="BW122" i="1"/>
  <c r="BJ122" i="1"/>
  <c r="BF122" i="1"/>
  <c r="BD122" i="1"/>
  <c r="AW122" i="1"/>
  <c r="AP122" i="1"/>
  <c r="AX122" i="1" s="1"/>
  <c r="BC122" i="1" s="1"/>
  <c r="AO122" i="1"/>
  <c r="BH122" i="1" s="1"/>
  <c r="AD122" i="1" s="1"/>
  <c r="AL122" i="1"/>
  <c r="AJ122" i="1"/>
  <c r="AH122" i="1"/>
  <c r="AG122" i="1"/>
  <c r="AF122" i="1"/>
  <c r="AC122" i="1"/>
  <c r="AB122" i="1"/>
  <c r="Z122" i="1"/>
  <c r="K122" i="1"/>
  <c r="AK122" i="1" s="1"/>
  <c r="J122" i="1"/>
  <c r="I122" i="1"/>
  <c r="BW120" i="1"/>
  <c r="BJ120" i="1"/>
  <c r="BI120" i="1"/>
  <c r="BF120" i="1"/>
  <c r="BD120" i="1"/>
  <c r="AW120" i="1"/>
  <c r="AV120" i="1" s="1"/>
  <c r="AP120" i="1"/>
  <c r="AX120" i="1" s="1"/>
  <c r="AO120" i="1"/>
  <c r="BH120" i="1" s="1"/>
  <c r="AD120" i="1" s="1"/>
  <c r="AL120" i="1"/>
  <c r="AJ120" i="1"/>
  <c r="AH120" i="1"/>
  <c r="AG120" i="1"/>
  <c r="AF120" i="1"/>
  <c r="AE120" i="1"/>
  <c r="AC120" i="1"/>
  <c r="AB120" i="1"/>
  <c r="Z120" i="1"/>
  <c r="K120" i="1"/>
  <c r="AK120" i="1" s="1"/>
  <c r="J120" i="1"/>
  <c r="I120" i="1"/>
  <c r="BW118" i="1"/>
  <c r="BJ118" i="1"/>
  <c r="BF118" i="1"/>
  <c r="BD118" i="1"/>
  <c r="AW118" i="1"/>
  <c r="AP118" i="1"/>
  <c r="AX118" i="1" s="1"/>
  <c r="BC118" i="1" s="1"/>
  <c r="AO118" i="1"/>
  <c r="BH118" i="1" s="1"/>
  <c r="AD118" i="1" s="1"/>
  <c r="AL118" i="1"/>
  <c r="AJ118" i="1"/>
  <c r="AH118" i="1"/>
  <c r="AG118" i="1"/>
  <c r="AF118" i="1"/>
  <c r="AC118" i="1"/>
  <c r="AB118" i="1"/>
  <c r="Z118" i="1"/>
  <c r="K118" i="1"/>
  <c r="AK118" i="1" s="1"/>
  <c r="J118" i="1"/>
  <c r="I118" i="1"/>
  <c r="BW116" i="1"/>
  <c r="BJ116" i="1"/>
  <c r="BI116" i="1"/>
  <c r="BF116" i="1"/>
  <c r="BD116" i="1"/>
  <c r="AW116" i="1"/>
  <c r="AV116" i="1" s="1"/>
  <c r="AP116" i="1"/>
  <c r="AX116" i="1" s="1"/>
  <c r="AO116" i="1"/>
  <c r="BH116" i="1" s="1"/>
  <c r="AD116" i="1" s="1"/>
  <c r="AL116" i="1"/>
  <c r="AJ116" i="1"/>
  <c r="AH116" i="1"/>
  <c r="AG116" i="1"/>
  <c r="AF116" i="1"/>
  <c r="AE116" i="1"/>
  <c r="AC116" i="1"/>
  <c r="AB116" i="1"/>
  <c r="Z116" i="1"/>
  <c r="K116" i="1"/>
  <c r="AK116" i="1" s="1"/>
  <c r="J116" i="1"/>
  <c r="I116" i="1"/>
  <c r="BW114" i="1"/>
  <c r="BJ114" i="1"/>
  <c r="BF114" i="1"/>
  <c r="BD114" i="1"/>
  <c r="AW114" i="1"/>
  <c r="AP114" i="1"/>
  <c r="AX114" i="1" s="1"/>
  <c r="BC114" i="1" s="1"/>
  <c r="AO114" i="1"/>
  <c r="BH114" i="1" s="1"/>
  <c r="AD114" i="1" s="1"/>
  <c r="AL114" i="1"/>
  <c r="AJ114" i="1"/>
  <c r="AH114" i="1"/>
  <c r="AG114" i="1"/>
  <c r="AF114" i="1"/>
  <c r="AC114" i="1"/>
  <c r="AB114" i="1"/>
  <c r="Z114" i="1"/>
  <c r="K114" i="1"/>
  <c r="AK114" i="1" s="1"/>
  <c r="J114" i="1"/>
  <c r="I114" i="1"/>
  <c r="BW111" i="1"/>
  <c r="BJ111" i="1"/>
  <c r="BI111" i="1"/>
  <c r="BF111" i="1"/>
  <c r="BD111" i="1"/>
  <c r="AW111" i="1"/>
  <c r="AV111" i="1" s="1"/>
  <c r="AP111" i="1"/>
  <c r="AX111" i="1" s="1"/>
  <c r="AO111" i="1"/>
  <c r="BH111" i="1" s="1"/>
  <c r="AD111" i="1" s="1"/>
  <c r="AL111" i="1"/>
  <c r="AJ111" i="1"/>
  <c r="AH111" i="1"/>
  <c r="AG111" i="1"/>
  <c r="AF111" i="1"/>
  <c r="AE111" i="1"/>
  <c r="AC111" i="1"/>
  <c r="AB111" i="1"/>
  <c r="Z111" i="1"/>
  <c r="K111" i="1"/>
  <c r="AK111" i="1" s="1"/>
  <c r="J111" i="1"/>
  <c r="I111" i="1"/>
  <c r="BW109" i="1"/>
  <c r="BJ109" i="1"/>
  <c r="BF109" i="1"/>
  <c r="BD109" i="1"/>
  <c r="AW109" i="1"/>
  <c r="AP109" i="1"/>
  <c r="AX109" i="1" s="1"/>
  <c r="BC109" i="1" s="1"/>
  <c r="AO109" i="1"/>
  <c r="BH109" i="1" s="1"/>
  <c r="AD109" i="1" s="1"/>
  <c r="AL109" i="1"/>
  <c r="AJ109" i="1"/>
  <c r="AH109" i="1"/>
  <c r="AG109" i="1"/>
  <c r="AF109" i="1"/>
  <c r="AC109" i="1"/>
  <c r="AB109" i="1"/>
  <c r="Z109" i="1"/>
  <c r="K109" i="1"/>
  <c r="AK109" i="1" s="1"/>
  <c r="J109" i="1"/>
  <c r="I109" i="1"/>
  <c r="BW106" i="1"/>
  <c r="BJ106" i="1"/>
  <c r="BI106" i="1"/>
  <c r="BF106" i="1"/>
  <c r="BD106" i="1"/>
  <c r="AW106" i="1"/>
  <c r="AV106" i="1" s="1"/>
  <c r="AP106" i="1"/>
  <c r="AX106" i="1" s="1"/>
  <c r="AO106" i="1"/>
  <c r="BH106" i="1" s="1"/>
  <c r="AD106" i="1" s="1"/>
  <c r="AL106" i="1"/>
  <c r="AJ106" i="1"/>
  <c r="AH106" i="1"/>
  <c r="AG106" i="1"/>
  <c r="AF106" i="1"/>
  <c r="AE106" i="1"/>
  <c r="AC106" i="1"/>
  <c r="AB106" i="1"/>
  <c r="Z106" i="1"/>
  <c r="K106" i="1"/>
  <c r="AK106" i="1" s="1"/>
  <c r="J106" i="1"/>
  <c r="I106" i="1"/>
  <c r="BW104" i="1"/>
  <c r="BJ104" i="1"/>
  <c r="BF104" i="1"/>
  <c r="BD104" i="1"/>
  <c r="AW104" i="1"/>
  <c r="AP104" i="1"/>
  <c r="AX104" i="1" s="1"/>
  <c r="BC104" i="1" s="1"/>
  <c r="AO104" i="1"/>
  <c r="BH104" i="1" s="1"/>
  <c r="AD104" i="1" s="1"/>
  <c r="AL104" i="1"/>
  <c r="AJ104" i="1"/>
  <c r="AH104" i="1"/>
  <c r="AG104" i="1"/>
  <c r="AF104" i="1"/>
  <c r="AC104" i="1"/>
  <c r="AB104" i="1"/>
  <c r="Z104" i="1"/>
  <c r="K104" i="1"/>
  <c r="AK104" i="1" s="1"/>
  <c r="J104" i="1"/>
  <c r="I104" i="1"/>
  <c r="BW102" i="1"/>
  <c r="BJ102" i="1"/>
  <c r="BI102" i="1"/>
  <c r="BF102" i="1"/>
  <c r="BD102" i="1"/>
  <c r="AW102" i="1"/>
  <c r="AV102" i="1" s="1"/>
  <c r="AP102" i="1"/>
  <c r="AX102" i="1" s="1"/>
  <c r="AO102" i="1"/>
  <c r="BH102" i="1" s="1"/>
  <c r="AD102" i="1" s="1"/>
  <c r="AL102" i="1"/>
  <c r="AJ102" i="1"/>
  <c r="AH102" i="1"/>
  <c r="AG102" i="1"/>
  <c r="AF102" i="1"/>
  <c r="AE102" i="1"/>
  <c r="AC102" i="1"/>
  <c r="AB102" i="1"/>
  <c r="Z102" i="1"/>
  <c r="K102" i="1"/>
  <c r="AK102" i="1" s="1"/>
  <c r="J102" i="1"/>
  <c r="I102" i="1"/>
  <c r="BW99" i="1"/>
  <c r="BJ99" i="1"/>
  <c r="BF99" i="1"/>
  <c r="BD99" i="1"/>
  <c r="AW99" i="1"/>
  <c r="AP99" i="1"/>
  <c r="AX99" i="1" s="1"/>
  <c r="BC99" i="1" s="1"/>
  <c r="AO99" i="1"/>
  <c r="BH99" i="1" s="1"/>
  <c r="AD99" i="1" s="1"/>
  <c r="AL99" i="1"/>
  <c r="AJ99" i="1"/>
  <c r="AH99" i="1"/>
  <c r="AG99" i="1"/>
  <c r="AF99" i="1"/>
  <c r="AC99" i="1"/>
  <c r="AB99" i="1"/>
  <c r="Z99" i="1"/>
  <c r="K99" i="1"/>
  <c r="AK99" i="1" s="1"/>
  <c r="J99" i="1"/>
  <c r="I99" i="1"/>
  <c r="BW97" i="1"/>
  <c r="BJ97" i="1"/>
  <c r="BF97" i="1"/>
  <c r="BD97" i="1"/>
  <c r="AW97" i="1"/>
  <c r="AV97" i="1" s="1"/>
  <c r="AP97" i="1"/>
  <c r="AX97" i="1" s="1"/>
  <c r="AO97" i="1"/>
  <c r="BH97" i="1" s="1"/>
  <c r="AD97" i="1" s="1"/>
  <c r="AL97" i="1"/>
  <c r="AJ97" i="1"/>
  <c r="AH97" i="1"/>
  <c r="AG97" i="1"/>
  <c r="AF97" i="1"/>
  <c r="AC97" i="1"/>
  <c r="AB97" i="1"/>
  <c r="Z97" i="1"/>
  <c r="K97" i="1"/>
  <c r="AK97" i="1" s="1"/>
  <c r="AT96" i="1" s="1"/>
  <c r="J97" i="1"/>
  <c r="I97" i="1"/>
  <c r="AU96" i="1"/>
  <c r="AS96" i="1"/>
  <c r="K96" i="1"/>
  <c r="G20" i="2" s="1"/>
  <c r="I20" i="2" s="1"/>
  <c r="J96" i="1"/>
  <c r="F20" i="2" s="1"/>
  <c r="I96" i="1"/>
  <c r="E20" i="2" s="1"/>
  <c r="BW94" i="1"/>
  <c r="BJ94" i="1"/>
  <c r="BI94" i="1"/>
  <c r="BF94" i="1"/>
  <c r="BD94" i="1"/>
  <c r="AW94" i="1"/>
  <c r="AV94" i="1" s="1"/>
  <c r="AP94" i="1"/>
  <c r="AX94" i="1" s="1"/>
  <c r="AO94" i="1"/>
  <c r="BH94" i="1" s="1"/>
  <c r="AD94" i="1" s="1"/>
  <c r="AL94" i="1"/>
  <c r="AJ94" i="1"/>
  <c r="AH94" i="1"/>
  <c r="AG94" i="1"/>
  <c r="AF94" i="1"/>
  <c r="AE94" i="1"/>
  <c r="AC94" i="1"/>
  <c r="AB94" i="1"/>
  <c r="Z94" i="1"/>
  <c r="K94" i="1"/>
  <c r="AK94" i="1" s="1"/>
  <c r="AT93" i="1" s="1"/>
  <c r="J94" i="1"/>
  <c r="I94" i="1"/>
  <c r="AU93" i="1"/>
  <c r="AS93" i="1"/>
  <c r="K93" i="1"/>
  <c r="G19" i="2" s="1"/>
  <c r="I19" i="2" s="1"/>
  <c r="J93" i="1"/>
  <c r="F19" i="2" s="1"/>
  <c r="I93" i="1"/>
  <c r="E19" i="2" s="1"/>
  <c r="BW91" i="1"/>
  <c r="BJ91" i="1"/>
  <c r="BI91" i="1"/>
  <c r="BF91" i="1"/>
  <c r="BD91" i="1"/>
  <c r="AW91" i="1"/>
  <c r="AV91" i="1" s="1"/>
  <c r="AP91" i="1"/>
  <c r="AX91" i="1" s="1"/>
  <c r="AO91" i="1"/>
  <c r="BH91" i="1" s="1"/>
  <c r="AL91" i="1"/>
  <c r="AJ91" i="1"/>
  <c r="AH91" i="1"/>
  <c r="AG91" i="1"/>
  <c r="AF91" i="1"/>
  <c r="AE91" i="1"/>
  <c r="AD91" i="1"/>
  <c r="AC91" i="1"/>
  <c r="AB91" i="1"/>
  <c r="Z91" i="1"/>
  <c r="K91" i="1"/>
  <c r="AK91" i="1" s="1"/>
  <c r="J91" i="1"/>
  <c r="I91" i="1"/>
  <c r="BW89" i="1"/>
  <c r="BJ89" i="1"/>
  <c r="BI89" i="1"/>
  <c r="BF89" i="1"/>
  <c r="BD89" i="1"/>
  <c r="AW89" i="1"/>
  <c r="AV89" i="1" s="1"/>
  <c r="AP89" i="1"/>
  <c r="AX89" i="1" s="1"/>
  <c r="AO89" i="1"/>
  <c r="BH89" i="1" s="1"/>
  <c r="AD89" i="1" s="1"/>
  <c r="AL89" i="1"/>
  <c r="AJ89" i="1"/>
  <c r="AH89" i="1"/>
  <c r="AG89" i="1"/>
  <c r="AF89" i="1"/>
  <c r="AE89" i="1"/>
  <c r="AC89" i="1"/>
  <c r="AB89" i="1"/>
  <c r="Z89" i="1"/>
  <c r="K89" i="1"/>
  <c r="AK89" i="1" s="1"/>
  <c r="J89" i="1"/>
  <c r="I89" i="1"/>
  <c r="BW87" i="1"/>
  <c r="BJ87" i="1"/>
  <c r="BF87" i="1"/>
  <c r="BD87" i="1"/>
  <c r="AW87" i="1"/>
  <c r="AP87" i="1"/>
  <c r="AX87" i="1" s="1"/>
  <c r="BC87" i="1" s="1"/>
  <c r="AO87" i="1"/>
  <c r="BH87" i="1" s="1"/>
  <c r="AD87" i="1" s="1"/>
  <c r="AL87" i="1"/>
  <c r="AJ87" i="1"/>
  <c r="AH87" i="1"/>
  <c r="AG87" i="1"/>
  <c r="AF87" i="1"/>
  <c r="AC87" i="1"/>
  <c r="AB87" i="1"/>
  <c r="Z87" i="1"/>
  <c r="K87" i="1"/>
  <c r="AK87" i="1" s="1"/>
  <c r="J87" i="1"/>
  <c r="I87" i="1"/>
  <c r="BW85" i="1"/>
  <c r="BJ85" i="1"/>
  <c r="BI85" i="1"/>
  <c r="BF85" i="1"/>
  <c r="BD85" i="1"/>
  <c r="AW85" i="1"/>
  <c r="AV85" i="1" s="1"/>
  <c r="AP85" i="1"/>
  <c r="AX85" i="1" s="1"/>
  <c r="AO85" i="1"/>
  <c r="BH85" i="1" s="1"/>
  <c r="AD85" i="1" s="1"/>
  <c r="AL85" i="1"/>
  <c r="AJ85" i="1"/>
  <c r="AH85" i="1"/>
  <c r="AG85" i="1"/>
  <c r="AF85" i="1"/>
  <c r="AE85" i="1"/>
  <c r="AC85" i="1"/>
  <c r="AB85" i="1"/>
  <c r="Z85" i="1"/>
  <c r="K85" i="1"/>
  <c r="AK85" i="1" s="1"/>
  <c r="J85" i="1"/>
  <c r="I85" i="1"/>
  <c r="BW83" i="1"/>
  <c r="BJ83" i="1"/>
  <c r="BF83" i="1"/>
  <c r="BD83" i="1"/>
  <c r="AW83" i="1"/>
  <c r="AP83" i="1"/>
  <c r="AX83" i="1" s="1"/>
  <c r="BC83" i="1" s="1"/>
  <c r="AO83" i="1"/>
  <c r="BH83" i="1" s="1"/>
  <c r="AD83" i="1" s="1"/>
  <c r="AL83" i="1"/>
  <c r="AJ83" i="1"/>
  <c r="AH83" i="1"/>
  <c r="AG83" i="1"/>
  <c r="AF83" i="1"/>
  <c r="AC83" i="1"/>
  <c r="AB83" i="1"/>
  <c r="Z83" i="1"/>
  <c r="K83" i="1"/>
  <c r="AK83" i="1" s="1"/>
  <c r="J83" i="1"/>
  <c r="I83" i="1"/>
  <c r="BW81" i="1"/>
  <c r="BJ81" i="1"/>
  <c r="BI81" i="1"/>
  <c r="BF81" i="1"/>
  <c r="BD81" i="1"/>
  <c r="AW81" i="1"/>
  <c r="AV81" i="1" s="1"/>
  <c r="AP81" i="1"/>
  <c r="AX81" i="1" s="1"/>
  <c r="AO81" i="1"/>
  <c r="BH81" i="1" s="1"/>
  <c r="AD81" i="1" s="1"/>
  <c r="AL81" i="1"/>
  <c r="AJ81" i="1"/>
  <c r="AS78" i="1" s="1"/>
  <c r="AH81" i="1"/>
  <c r="AG81" i="1"/>
  <c r="AF81" i="1"/>
  <c r="AE81" i="1"/>
  <c r="AC81" i="1"/>
  <c r="AB81" i="1"/>
  <c r="Z81" i="1"/>
  <c r="K81" i="1"/>
  <c r="AK81" i="1" s="1"/>
  <c r="J81" i="1"/>
  <c r="I81" i="1"/>
  <c r="BW79" i="1"/>
  <c r="BJ79" i="1"/>
  <c r="BF79" i="1"/>
  <c r="BD79" i="1"/>
  <c r="AW79" i="1"/>
  <c r="AP79" i="1"/>
  <c r="AX79" i="1" s="1"/>
  <c r="BC79" i="1" s="1"/>
  <c r="AO79" i="1"/>
  <c r="BH79" i="1" s="1"/>
  <c r="AD79" i="1" s="1"/>
  <c r="AL79" i="1"/>
  <c r="AJ79" i="1"/>
  <c r="AH79" i="1"/>
  <c r="AG79" i="1"/>
  <c r="AF79" i="1"/>
  <c r="AC79" i="1"/>
  <c r="AB79" i="1"/>
  <c r="Z79" i="1"/>
  <c r="K79" i="1"/>
  <c r="AK79" i="1" s="1"/>
  <c r="J79" i="1"/>
  <c r="J78" i="1" s="1"/>
  <c r="F18" i="2" s="1"/>
  <c r="I79" i="1"/>
  <c r="AU78" i="1"/>
  <c r="K78" i="1"/>
  <c r="G18" i="2" s="1"/>
  <c r="I18" i="2" s="1"/>
  <c r="I78" i="1"/>
  <c r="E18" i="2" s="1"/>
  <c r="BW76" i="1"/>
  <c r="BJ76" i="1"/>
  <c r="BF76" i="1"/>
  <c r="BD76" i="1"/>
  <c r="AW76" i="1"/>
  <c r="AP76" i="1"/>
  <c r="AX76" i="1" s="1"/>
  <c r="BC76" i="1" s="1"/>
  <c r="AO76" i="1"/>
  <c r="BH76" i="1" s="1"/>
  <c r="AL76" i="1"/>
  <c r="AJ76" i="1"/>
  <c r="AH76" i="1"/>
  <c r="AG76" i="1"/>
  <c r="AF76" i="1"/>
  <c r="AE76" i="1"/>
  <c r="AD76" i="1"/>
  <c r="AC76" i="1"/>
  <c r="AB76" i="1"/>
  <c r="Z76" i="1"/>
  <c r="K76" i="1"/>
  <c r="AK76" i="1" s="1"/>
  <c r="I76" i="1"/>
  <c r="BW74" i="1"/>
  <c r="BJ74" i="1"/>
  <c r="BF74" i="1"/>
  <c r="BD74" i="1"/>
  <c r="AW74" i="1"/>
  <c r="AP74" i="1"/>
  <c r="AX74" i="1" s="1"/>
  <c r="BC74" i="1" s="1"/>
  <c r="AO74" i="1"/>
  <c r="BH74" i="1" s="1"/>
  <c r="AD74" i="1" s="1"/>
  <c r="AL74" i="1"/>
  <c r="AJ74" i="1"/>
  <c r="AH74" i="1"/>
  <c r="AG74" i="1"/>
  <c r="AF74" i="1"/>
  <c r="AC74" i="1"/>
  <c r="AB74" i="1"/>
  <c r="Z74" i="1"/>
  <c r="K74" i="1"/>
  <c r="AK74" i="1" s="1"/>
  <c r="J74" i="1"/>
  <c r="I74" i="1"/>
  <c r="BW72" i="1"/>
  <c r="BJ72" i="1"/>
  <c r="BI72" i="1"/>
  <c r="BF72" i="1"/>
  <c r="BD72" i="1"/>
  <c r="AW72" i="1"/>
  <c r="AV72" i="1" s="1"/>
  <c r="AP72" i="1"/>
  <c r="AX72" i="1" s="1"/>
  <c r="AO72" i="1"/>
  <c r="BH72" i="1" s="1"/>
  <c r="AD72" i="1" s="1"/>
  <c r="AL72" i="1"/>
  <c r="AJ72" i="1"/>
  <c r="AH72" i="1"/>
  <c r="AG72" i="1"/>
  <c r="AF72" i="1"/>
  <c r="AE72" i="1"/>
  <c r="AC72" i="1"/>
  <c r="AB72" i="1"/>
  <c r="Z72" i="1"/>
  <c r="K72" i="1"/>
  <c r="AK72" i="1" s="1"/>
  <c r="J72" i="1"/>
  <c r="I72" i="1"/>
  <c r="BW70" i="1"/>
  <c r="BJ70" i="1"/>
  <c r="BF70" i="1"/>
  <c r="BD70" i="1"/>
  <c r="AW70" i="1"/>
  <c r="AP70" i="1"/>
  <c r="AX70" i="1" s="1"/>
  <c r="BC70" i="1" s="1"/>
  <c r="AO70" i="1"/>
  <c r="BH70" i="1" s="1"/>
  <c r="AD70" i="1" s="1"/>
  <c r="AL70" i="1"/>
  <c r="AJ70" i="1"/>
  <c r="AH70" i="1"/>
  <c r="AG70" i="1"/>
  <c r="AF70" i="1"/>
  <c r="AC70" i="1"/>
  <c r="AB70" i="1"/>
  <c r="Z70" i="1"/>
  <c r="K70" i="1"/>
  <c r="AK70" i="1" s="1"/>
  <c r="J70" i="1"/>
  <c r="I70" i="1"/>
  <c r="BW68" i="1"/>
  <c r="BJ68" i="1"/>
  <c r="BI68" i="1"/>
  <c r="BF68" i="1"/>
  <c r="BD68" i="1"/>
  <c r="AW68" i="1"/>
  <c r="AV68" i="1" s="1"/>
  <c r="AP68" i="1"/>
  <c r="AX68" i="1" s="1"/>
  <c r="AO68" i="1"/>
  <c r="BH68" i="1" s="1"/>
  <c r="AD68" i="1" s="1"/>
  <c r="AL68" i="1"/>
  <c r="AJ68" i="1"/>
  <c r="AS65" i="1" s="1"/>
  <c r="AH68" i="1"/>
  <c r="AG68" i="1"/>
  <c r="AF68" i="1"/>
  <c r="AE68" i="1"/>
  <c r="AC68" i="1"/>
  <c r="AB68" i="1"/>
  <c r="Z68" i="1"/>
  <c r="K68" i="1"/>
  <c r="AK68" i="1" s="1"/>
  <c r="J68" i="1"/>
  <c r="I68" i="1"/>
  <c r="BW66" i="1"/>
  <c r="BJ66" i="1"/>
  <c r="BF66" i="1"/>
  <c r="BD66" i="1"/>
  <c r="AW66" i="1"/>
  <c r="AP66" i="1"/>
  <c r="AX66" i="1" s="1"/>
  <c r="BC66" i="1" s="1"/>
  <c r="AO66" i="1"/>
  <c r="BH66" i="1" s="1"/>
  <c r="AD66" i="1" s="1"/>
  <c r="AL66" i="1"/>
  <c r="AJ66" i="1"/>
  <c r="AH66" i="1"/>
  <c r="AG66" i="1"/>
  <c r="AF66" i="1"/>
  <c r="AC66" i="1"/>
  <c r="AB66" i="1"/>
  <c r="Z66" i="1"/>
  <c r="K66" i="1"/>
  <c r="AK66" i="1" s="1"/>
  <c r="J66" i="1"/>
  <c r="I66" i="1"/>
  <c r="AU65" i="1"/>
  <c r="K65" i="1"/>
  <c r="G17" i="2" s="1"/>
  <c r="I17" i="2" s="1"/>
  <c r="I65" i="1"/>
  <c r="E17" i="2" s="1"/>
  <c r="BW62" i="1"/>
  <c r="BJ62" i="1"/>
  <c r="BF62" i="1"/>
  <c r="BD62" i="1"/>
  <c r="AW62" i="1"/>
  <c r="AP62" i="1"/>
  <c r="AX62" i="1" s="1"/>
  <c r="BC62" i="1" s="1"/>
  <c r="AO62" i="1"/>
  <c r="BH62" i="1" s="1"/>
  <c r="AD62" i="1" s="1"/>
  <c r="AL62" i="1"/>
  <c r="AJ62" i="1"/>
  <c r="AH62" i="1"/>
  <c r="AG62" i="1"/>
  <c r="AF62" i="1"/>
  <c r="AC62" i="1"/>
  <c r="AB62" i="1"/>
  <c r="Z62" i="1"/>
  <c r="K62" i="1"/>
  <c r="AK62" i="1" s="1"/>
  <c r="AT61" i="1" s="1"/>
  <c r="J62" i="1"/>
  <c r="J61" i="1" s="1"/>
  <c r="F16" i="2" s="1"/>
  <c r="I62" i="1"/>
  <c r="AU61" i="1"/>
  <c r="AS61" i="1"/>
  <c r="K61" i="1"/>
  <c r="G16" i="2" s="1"/>
  <c r="I16" i="2" s="1"/>
  <c r="I61" i="1"/>
  <c r="E16" i="2" s="1"/>
  <c r="BW58" i="1"/>
  <c r="BJ58" i="1"/>
  <c r="BF58" i="1"/>
  <c r="BD58" i="1"/>
  <c r="AW58" i="1"/>
  <c r="AP58" i="1"/>
  <c r="AX58" i="1" s="1"/>
  <c r="BC58" i="1" s="1"/>
  <c r="AO58" i="1"/>
  <c r="BH58" i="1" s="1"/>
  <c r="AB58" i="1" s="1"/>
  <c r="AL58" i="1"/>
  <c r="AJ58" i="1"/>
  <c r="AH58" i="1"/>
  <c r="AG58" i="1"/>
  <c r="AF58" i="1"/>
  <c r="AE58" i="1"/>
  <c r="AD58" i="1"/>
  <c r="Z58" i="1"/>
  <c r="K58" i="1"/>
  <c r="AK58" i="1" s="1"/>
  <c r="J58" i="1"/>
  <c r="I58" i="1"/>
  <c r="BW55" i="1"/>
  <c r="BJ55" i="1"/>
  <c r="BI55" i="1"/>
  <c r="BF55" i="1"/>
  <c r="BD55" i="1"/>
  <c r="AW55" i="1"/>
  <c r="AV55" i="1" s="1"/>
  <c r="AP55" i="1"/>
  <c r="AX55" i="1" s="1"/>
  <c r="AO55" i="1"/>
  <c r="BH55" i="1" s="1"/>
  <c r="AB55" i="1" s="1"/>
  <c r="AL55" i="1"/>
  <c r="AJ55" i="1"/>
  <c r="AH55" i="1"/>
  <c r="AG55" i="1"/>
  <c r="AF55" i="1"/>
  <c r="AE55" i="1"/>
  <c r="AD55" i="1"/>
  <c r="AC55" i="1"/>
  <c r="Z55" i="1"/>
  <c r="K55" i="1"/>
  <c r="AK55" i="1" s="1"/>
  <c r="J55" i="1"/>
  <c r="I55" i="1"/>
  <c r="BW52" i="1"/>
  <c r="BJ52" i="1"/>
  <c r="BF52" i="1"/>
  <c r="BD52" i="1"/>
  <c r="AW52" i="1"/>
  <c r="AP52" i="1"/>
  <c r="AX52" i="1" s="1"/>
  <c r="BC52" i="1" s="1"/>
  <c r="AO52" i="1"/>
  <c r="BH52" i="1" s="1"/>
  <c r="AB52" i="1" s="1"/>
  <c r="AL52" i="1"/>
  <c r="AJ52" i="1"/>
  <c r="AH52" i="1"/>
  <c r="AG52" i="1"/>
  <c r="AF52" i="1"/>
  <c r="AE52" i="1"/>
  <c r="AD52" i="1"/>
  <c r="Z52" i="1"/>
  <c r="K52" i="1"/>
  <c r="AK52" i="1" s="1"/>
  <c r="J52" i="1"/>
  <c r="I52" i="1"/>
  <c r="BW49" i="1"/>
  <c r="BJ49" i="1"/>
  <c r="BI49" i="1"/>
  <c r="BF49" i="1"/>
  <c r="BD49" i="1"/>
  <c r="AW49" i="1"/>
  <c r="AV49" i="1" s="1"/>
  <c r="AP49" i="1"/>
  <c r="AX49" i="1" s="1"/>
  <c r="AO49" i="1"/>
  <c r="BH49" i="1" s="1"/>
  <c r="AB49" i="1" s="1"/>
  <c r="AL49" i="1"/>
  <c r="AJ49" i="1"/>
  <c r="AH49" i="1"/>
  <c r="AG49" i="1"/>
  <c r="AF49" i="1"/>
  <c r="AE49" i="1"/>
  <c r="AD49" i="1"/>
  <c r="AC49" i="1"/>
  <c r="Z49" i="1"/>
  <c r="K49" i="1"/>
  <c r="AK49" i="1" s="1"/>
  <c r="J49" i="1"/>
  <c r="I49" i="1"/>
  <c r="BW47" i="1"/>
  <c r="BJ47" i="1"/>
  <c r="BF47" i="1"/>
  <c r="BD47" i="1"/>
  <c r="AW47" i="1"/>
  <c r="AP47" i="1"/>
  <c r="AX47" i="1" s="1"/>
  <c r="BC47" i="1" s="1"/>
  <c r="AO47" i="1"/>
  <c r="BH47" i="1" s="1"/>
  <c r="AB47" i="1" s="1"/>
  <c r="AL47" i="1"/>
  <c r="AJ47" i="1"/>
  <c r="AH47" i="1"/>
  <c r="AG47" i="1"/>
  <c r="AF47" i="1"/>
  <c r="AE47" i="1"/>
  <c r="AD47" i="1"/>
  <c r="Z47" i="1"/>
  <c r="K47" i="1"/>
  <c r="AK47" i="1" s="1"/>
  <c r="J47" i="1"/>
  <c r="I47" i="1"/>
  <c r="BW44" i="1"/>
  <c r="BJ44" i="1"/>
  <c r="BI44" i="1"/>
  <c r="BF44" i="1"/>
  <c r="BD44" i="1"/>
  <c r="AW44" i="1"/>
  <c r="AV44" i="1" s="1"/>
  <c r="AP44" i="1"/>
  <c r="AX44" i="1" s="1"/>
  <c r="AO44" i="1"/>
  <c r="BH44" i="1" s="1"/>
  <c r="AB44" i="1" s="1"/>
  <c r="AL44" i="1"/>
  <c r="AJ44" i="1"/>
  <c r="AH44" i="1"/>
  <c r="AG44" i="1"/>
  <c r="AF44" i="1"/>
  <c r="AE44" i="1"/>
  <c r="AD44" i="1"/>
  <c r="AC44" i="1"/>
  <c r="Z44" i="1"/>
  <c r="K44" i="1"/>
  <c r="AK44" i="1" s="1"/>
  <c r="AT43" i="1" s="1"/>
  <c r="J44" i="1"/>
  <c r="I44" i="1"/>
  <c r="AU43" i="1"/>
  <c r="AS43" i="1"/>
  <c r="K43" i="1"/>
  <c r="G15" i="2" s="1"/>
  <c r="I15" i="2" s="1"/>
  <c r="J43" i="1"/>
  <c r="F15" i="2" s="1"/>
  <c r="I43" i="1"/>
  <c r="E15" i="2" s="1"/>
  <c r="BW40" i="1"/>
  <c r="BJ40" i="1"/>
  <c r="BI40" i="1"/>
  <c r="BF40" i="1"/>
  <c r="BD40" i="1"/>
  <c r="AW40" i="1"/>
  <c r="AV40" i="1" s="1"/>
  <c r="AP40" i="1"/>
  <c r="AX40" i="1" s="1"/>
  <c r="AO40" i="1"/>
  <c r="BH40" i="1" s="1"/>
  <c r="AB40" i="1" s="1"/>
  <c r="AL40" i="1"/>
  <c r="AJ40" i="1"/>
  <c r="AH40" i="1"/>
  <c r="AG40" i="1"/>
  <c r="AF40" i="1"/>
  <c r="AE40" i="1"/>
  <c r="AD40" i="1"/>
  <c r="AC40" i="1"/>
  <c r="Z40" i="1"/>
  <c r="K40" i="1"/>
  <c r="AK40" i="1" s="1"/>
  <c r="J40" i="1"/>
  <c r="I40" i="1"/>
  <c r="BW38" i="1"/>
  <c r="BJ38" i="1"/>
  <c r="BF38" i="1"/>
  <c r="BD38" i="1"/>
  <c r="AW38" i="1"/>
  <c r="AP38" i="1"/>
  <c r="AX38" i="1" s="1"/>
  <c r="BC38" i="1" s="1"/>
  <c r="AO38" i="1"/>
  <c r="BH38" i="1" s="1"/>
  <c r="AB38" i="1" s="1"/>
  <c r="AL38" i="1"/>
  <c r="AJ38" i="1"/>
  <c r="AH38" i="1"/>
  <c r="AG38" i="1"/>
  <c r="AF38" i="1"/>
  <c r="AE38" i="1"/>
  <c r="AD38" i="1"/>
  <c r="Z38" i="1"/>
  <c r="K38" i="1"/>
  <c r="AK38" i="1" s="1"/>
  <c r="J38" i="1"/>
  <c r="J37" i="1" s="1"/>
  <c r="F14" i="2" s="1"/>
  <c r="I38" i="1"/>
  <c r="AU37" i="1"/>
  <c r="AS37" i="1"/>
  <c r="K37" i="1"/>
  <c r="G14" i="2" s="1"/>
  <c r="I14" i="2" s="1"/>
  <c r="I37" i="1"/>
  <c r="E14" i="2" s="1"/>
  <c r="BW34" i="1"/>
  <c r="BJ34" i="1"/>
  <c r="BF34" i="1"/>
  <c r="BD34" i="1"/>
  <c r="AW34" i="1"/>
  <c r="AP34" i="1"/>
  <c r="AX34" i="1" s="1"/>
  <c r="BC34" i="1" s="1"/>
  <c r="AO34" i="1"/>
  <c r="BH34" i="1" s="1"/>
  <c r="AB34" i="1" s="1"/>
  <c r="AL34" i="1"/>
  <c r="AJ34" i="1"/>
  <c r="AH34" i="1"/>
  <c r="AG34" i="1"/>
  <c r="AF34" i="1"/>
  <c r="AE34" i="1"/>
  <c r="AD34" i="1"/>
  <c r="Z34" i="1"/>
  <c r="K34" i="1"/>
  <c r="AK34" i="1" s="1"/>
  <c r="J34" i="1"/>
  <c r="I34" i="1"/>
  <c r="BW31" i="1"/>
  <c r="BJ31" i="1"/>
  <c r="BI31" i="1"/>
  <c r="BF31" i="1"/>
  <c r="BD31" i="1"/>
  <c r="AW31" i="1"/>
  <c r="AV31" i="1" s="1"/>
  <c r="AP31" i="1"/>
  <c r="AX31" i="1" s="1"/>
  <c r="AO31" i="1"/>
  <c r="BH31" i="1" s="1"/>
  <c r="AB31" i="1" s="1"/>
  <c r="AL31" i="1"/>
  <c r="AJ31" i="1"/>
  <c r="AH31" i="1"/>
  <c r="AG31" i="1"/>
  <c r="AF31" i="1"/>
  <c r="AE31" i="1"/>
  <c r="AD31" i="1"/>
  <c r="AC31" i="1"/>
  <c r="Z31" i="1"/>
  <c r="K31" i="1"/>
  <c r="AK31" i="1" s="1"/>
  <c r="J31" i="1"/>
  <c r="I31" i="1"/>
  <c r="BW28" i="1"/>
  <c r="BJ28" i="1"/>
  <c r="BF28" i="1"/>
  <c r="BD28" i="1"/>
  <c r="AW28" i="1"/>
  <c r="AP28" i="1"/>
  <c r="AX28" i="1" s="1"/>
  <c r="BC28" i="1" s="1"/>
  <c r="AO28" i="1"/>
  <c r="BH28" i="1" s="1"/>
  <c r="AB28" i="1" s="1"/>
  <c r="AL28" i="1"/>
  <c r="AJ28" i="1"/>
  <c r="AH28" i="1"/>
  <c r="AG28" i="1"/>
  <c r="AF28" i="1"/>
  <c r="AE28" i="1"/>
  <c r="AD28" i="1"/>
  <c r="Z28" i="1"/>
  <c r="K28" i="1"/>
  <c r="AK28" i="1" s="1"/>
  <c r="J28" i="1"/>
  <c r="I28" i="1"/>
  <c r="BW25" i="1"/>
  <c r="BJ25" i="1"/>
  <c r="BI25" i="1"/>
  <c r="BF25" i="1"/>
  <c r="BD25" i="1"/>
  <c r="AW25" i="1"/>
  <c r="AV25" i="1" s="1"/>
  <c r="AP25" i="1"/>
  <c r="AX25" i="1" s="1"/>
  <c r="AO25" i="1"/>
  <c r="BH25" i="1" s="1"/>
  <c r="AB25" i="1" s="1"/>
  <c r="AL25" i="1"/>
  <c r="AJ25" i="1"/>
  <c r="AH25" i="1"/>
  <c r="AG25" i="1"/>
  <c r="AF25" i="1"/>
  <c r="AE25" i="1"/>
  <c r="AD25" i="1"/>
  <c r="AC25" i="1"/>
  <c r="Z25" i="1"/>
  <c r="K25" i="1"/>
  <c r="AK25" i="1" s="1"/>
  <c r="J25" i="1"/>
  <c r="I25" i="1"/>
  <c r="BW23" i="1"/>
  <c r="BJ23" i="1"/>
  <c r="BF23" i="1"/>
  <c r="BD23" i="1"/>
  <c r="AW23" i="1"/>
  <c r="AP23" i="1"/>
  <c r="AX23" i="1" s="1"/>
  <c r="BC23" i="1" s="1"/>
  <c r="AO23" i="1"/>
  <c r="BH23" i="1" s="1"/>
  <c r="AB23" i="1" s="1"/>
  <c r="AL23" i="1"/>
  <c r="AJ23" i="1"/>
  <c r="AH23" i="1"/>
  <c r="AG23" i="1"/>
  <c r="AF23" i="1"/>
  <c r="AE23" i="1"/>
  <c r="AD23" i="1"/>
  <c r="Z23" i="1"/>
  <c r="K23" i="1"/>
  <c r="AK23" i="1" s="1"/>
  <c r="AT22" i="1" s="1"/>
  <c r="J23" i="1"/>
  <c r="J22" i="1" s="1"/>
  <c r="F13" i="2" s="1"/>
  <c r="I23" i="1"/>
  <c r="AU22" i="1"/>
  <c r="AS22" i="1"/>
  <c r="K22" i="1"/>
  <c r="G13" i="2" s="1"/>
  <c r="I13" i="2" s="1"/>
  <c r="I22" i="1"/>
  <c r="E13" i="2" s="1"/>
  <c r="BW19" i="1"/>
  <c r="BJ19" i="1"/>
  <c r="BF19" i="1"/>
  <c r="BD19" i="1"/>
  <c r="AW19" i="1"/>
  <c r="AP19" i="1"/>
  <c r="AX19" i="1" s="1"/>
  <c r="BC19" i="1" s="1"/>
  <c r="AO19" i="1"/>
  <c r="BH19" i="1" s="1"/>
  <c r="AB19" i="1" s="1"/>
  <c r="AL19" i="1"/>
  <c r="AJ19" i="1"/>
  <c r="AH19" i="1"/>
  <c r="AG19" i="1"/>
  <c r="AF19" i="1"/>
  <c r="AE19" i="1"/>
  <c r="AD19" i="1"/>
  <c r="Z19" i="1"/>
  <c r="K19" i="1"/>
  <c r="AK19" i="1" s="1"/>
  <c r="AT18" i="1" s="1"/>
  <c r="J19" i="1"/>
  <c r="I19" i="1"/>
  <c r="AU18" i="1"/>
  <c r="AS18" i="1"/>
  <c r="K18" i="1"/>
  <c r="G12" i="2" s="1"/>
  <c r="I12" i="2" s="1"/>
  <c r="J18" i="1"/>
  <c r="F12" i="2" s="1"/>
  <c r="I18" i="1"/>
  <c r="E12" i="2" s="1"/>
  <c r="BW15" i="1"/>
  <c r="BJ15" i="1"/>
  <c r="BI15" i="1"/>
  <c r="BF15" i="1"/>
  <c r="BD15" i="1"/>
  <c r="AW15" i="1"/>
  <c r="AV15" i="1" s="1"/>
  <c r="AP15" i="1"/>
  <c r="AX15" i="1" s="1"/>
  <c r="AO15" i="1"/>
  <c r="BH15" i="1" s="1"/>
  <c r="AB15" i="1" s="1"/>
  <c r="AL15" i="1"/>
  <c r="AJ15" i="1"/>
  <c r="AH15" i="1"/>
  <c r="AG15" i="1"/>
  <c r="AF15" i="1"/>
  <c r="AE15" i="1"/>
  <c r="AD15" i="1"/>
  <c r="AC15" i="1"/>
  <c r="Z15" i="1"/>
  <c r="K15" i="1"/>
  <c r="AK15" i="1" s="1"/>
  <c r="J15" i="1"/>
  <c r="I15" i="1"/>
  <c r="BW13" i="1"/>
  <c r="BJ13" i="1"/>
  <c r="BF13" i="1"/>
  <c r="BD13" i="1"/>
  <c r="AX13" i="1"/>
  <c r="AP13" i="1"/>
  <c r="BI13" i="1" s="1"/>
  <c r="AC13" i="1" s="1"/>
  <c r="AO13" i="1"/>
  <c r="BH13" i="1" s="1"/>
  <c r="AB13" i="1" s="1"/>
  <c r="C14" i="3" s="1"/>
  <c r="AL13" i="1"/>
  <c r="C29" i="3" s="1"/>
  <c r="F29" i="3" s="1"/>
  <c r="AJ13" i="1"/>
  <c r="C27" i="3" s="1"/>
  <c r="AH13" i="1"/>
  <c r="C20" i="3" s="1"/>
  <c r="AG13" i="1"/>
  <c r="AF13" i="1"/>
  <c r="C18" i="3" s="1"/>
  <c r="AE13" i="1"/>
  <c r="AD13" i="1"/>
  <c r="Z13" i="1"/>
  <c r="C21" i="3" s="1"/>
  <c r="K13" i="1"/>
  <c r="AK13" i="1" s="1"/>
  <c r="J13" i="1"/>
  <c r="I13" i="1"/>
  <c r="AU12" i="1"/>
  <c r="AS12" i="1"/>
  <c r="K12" i="1"/>
  <c r="J12" i="1"/>
  <c r="F11" i="2" s="1"/>
  <c r="I12" i="1"/>
  <c r="E11" i="2" s="1"/>
  <c r="AU1" i="1"/>
  <c r="AT1" i="1"/>
  <c r="AS1" i="1"/>
  <c r="C28" i="3" l="1"/>
  <c r="F28" i="3" s="1"/>
  <c r="AT12" i="1"/>
  <c r="I28" i="3"/>
  <c r="I29" i="3" s="1"/>
  <c r="AW13" i="1"/>
  <c r="BC15" i="1"/>
  <c r="BI97" i="1"/>
  <c r="AE97" i="1" s="1"/>
  <c r="BI134" i="1"/>
  <c r="G11" i="2"/>
  <c r="I11" i="2" s="1"/>
  <c r="K414" i="1"/>
  <c r="AV19" i="1"/>
  <c r="BI19" i="1"/>
  <c r="AC19" i="1" s="1"/>
  <c r="C15" i="3" s="1"/>
  <c r="AV23" i="1"/>
  <c r="BI23" i="1"/>
  <c r="AC23" i="1" s="1"/>
  <c r="BC25" i="1"/>
  <c r="AV28" i="1"/>
  <c r="BI28" i="1"/>
  <c r="AC28" i="1" s="1"/>
  <c r="BC31" i="1"/>
  <c r="AV34" i="1"/>
  <c r="BI34" i="1"/>
  <c r="AC34" i="1" s="1"/>
  <c r="AT37" i="1"/>
  <c r="AV38" i="1"/>
  <c r="BI38" i="1"/>
  <c r="AC38" i="1" s="1"/>
  <c r="BC40" i="1"/>
  <c r="BC44" i="1"/>
  <c r="AV47" i="1"/>
  <c r="BI47" i="1"/>
  <c r="AC47" i="1" s="1"/>
  <c r="BC49" i="1"/>
  <c r="AV52" i="1"/>
  <c r="BI52" i="1"/>
  <c r="AC52" i="1" s="1"/>
  <c r="BC55" i="1"/>
  <c r="AV58" i="1"/>
  <c r="BI58" i="1"/>
  <c r="AC58" i="1" s="1"/>
  <c r="AV62" i="1"/>
  <c r="BI62" i="1"/>
  <c r="AE62" i="1" s="1"/>
  <c r="C17" i="3" s="1"/>
  <c r="AT65" i="1"/>
  <c r="AV66" i="1"/>
  <c r="BI66" i="1"/>
  <c r="AE66" i="1" s="1"/>
  <c r="BC68" i="1"/>
  <c r="AV70" i="1"/>
  <c r="BI70" i="1"/>
  <c r="AE70" i="1" s="1"/>
  <c r="BC72" i="1"/>
  <c r="AV74" i="1"/>
  <c r="BI74" i="1"/>
  <c r="AE74" i="1" s="1"/>
  <c r="J76" i="1"/>
  <c r="J65" i="1" s="1"/>
  <c r="F17" i="2" s="1"/>
  <c r="AV76" i="1"/>
  <c r="BI76" i="1"/>
  <c r="AT78" i="1"/>
  <c r="AV79" i="1"/>
  <c r="BI79" i="1"/>
  <c r="AE79" i="1" s="1"/>
  <c r="BC81" i="1"/>
  <c r="AV83" i="1"/>
  <c r="BI83" i="1"/>
  <c r="AE83" i="1" s="1"/>
  <c r="BC85" i="1"/>
  <c r="AV87" i="1"/>
  <c r="BI87" i="1"/>
  <c r="AE87" i="1" s="1"/>
  <c r="BC89" i="1"/>
  <c r="BC91" i="1"/>
  <c r="BC94" i="1"/>
  <c r="BC97" i="1"/>
  <c r="AV99" i="1"/>
  <c r="BI99" i="1"/>
  <c r="AE99" i="1" s="1"/>
  <c r="BC102" i="1"/>
  <c r="AV104" i="1"/>
  <c r="BI104" i="1"/>
  <c r="AE104" i="1" s="1"/>
  <c r="BC106" i="1"/>
  <c r="AV109" i="1"/>
  <c r="BI109" i="1"/>
  <c r="AE109" i="1" s="1"/>
  <c r="BC111" i="1"/>
  <c r="AV114" i="1"/>
  <c r="BI114" i="1"/>
  <c r="AE114" i="1" s="1"/>
  <c r="BC116" i="1"/>
  <c r="AV118" i="1"/>
  <c r="BI118" i="1"/>
  <c r="AE118" i="1" s="1"/>
  <c r="BC120" i="1"/>
  <c r="AV122" i="1"/>
  <c r="BI122" i="1"/>
  <c r="AE122" i="1" s="1"/>
  <c r="BC124" i="1"/>
  <c r="AV126" i="1"/>
  <c r="BI126" i="1"/>
  <c r="AE126" i="1" s="1"/>
  <c r="BC128" i="1"/>
  <c r="AV130" i="1"/>
  <c r="BI130" i="1"/>
  <c r="AE130" i="1" s="1"/>
  <c r="BC132" i="1"/>
  <c r="BC134" i="1"/>
  <c r="AW137" i="1"/>
  <c r="AW139" i="1"/>
  <c r="AW141" i="1"/>
  <c r="AW143" i="1"/>
  <c r="AW146" i="1"/>
  <c r="AW148" i="1"/>
  <c r="AW150" i="1"/>
  <c r="AW153" i="1"/>
  <c r="AW156" i="1"/>
  <c r="AW159" i="1"/>
  <c r="AW162" i="1"/>
  <c r="AW167" i="1"/>
  <c r="AW170" i="1"/>
  <c r="AW172" i="1"/>
  <c r="AW175" i="1"/>
  <c r="AW177" i="1"/>
  <c r="AW179" i="1"/>
  <c r="AW181" i="1"/>
  <c r="AW184" i="1"/>
  <c r="AW186" i="1"/>
  <c r="AW188" i="1"/>
  <c r="AW190" i="1"/>
  <c r="AW192" i="1"/>
  <c r="BC194" i="1"/>
  <c r="AV194" i="1"/>
  <c r="BH194" i="1"/>
  <c r="AD194" i="1" s="1"/>
  <c r="C16" i="3" s="1"/>
  <c r="AW196" i="1"/>
  <c r="AW199" i="1"/>
  <c r="AW205" i="1"/>
  <c r="AW208" i="1"/>
  <c r="AW212" i="1"/>
  <c r="AW215" i="1"/>
  <c r="AW218" i="1"/>
  <c r="AW221" i="1"/>
  <c r="AW223" i="1"/>
  <c r="AW225" i="1"/>
  <c r="AW228" i="1"/>
  <c r="AW231" i="1"/>
  <c r="AW233" i="1"/>
  <c r="AW237" i="1"/>
  <c r="AW239" i="1"/>
  <c r="AW242" i="1"/>
  <c r="AW244" i="1"/>
  <c r="AW250" i="1"/>
  <c r="AW253" i="1"/>
  <c r="AW257" i="1"/>
  <c r="AW261" i="1"/>
  <c r="AW264" i="1"/>
  <c r="AW268" i="1"/>
  <c r="AW271" i="1"/>
  <c r="AW274" i="1"/>
  <c r="AW278" i="1"/>
  <c r="AW281" i="1"/>
  <c r="AW285" i="1"/>
  <c r="AW299" i="1"/>
  <c r="AW302" i="1"/>
  <c r="AW306" i="1"/>
  <c r="AW309" i="1"/>
  <c r="AW312" i="1"/>
  <c r="AW315" i="1"/>
  <c r="BC318" i="1"/>
  <c r="AV321" i="1"/>
  <c r="AV324" i="1"/>
  <c r="AV327" i="1"/>
  <c r="AV329" i="1"/>
  <c r="AV331" i="1"/>
  <c r="AV333" i="1"/>
  <c r="AV335" i="1"/>
  <c r="AV337" i="1"/>
  <c r="AV339" i="1"/>
  <c r="AV341" i="1"/>
  <c r="AV343" i="1"/>
  <c r="AV345" i="1"/>
  <c r="AV347" i="1"/>
  <c r="AV349" i="1"/>
  <c r="AV352" i="1"/>
  <c r="AV355" i="1"/>
  <c r="AV358" i="1"/>
  <c r="AV360" i="1"/>
  <c r="AV363" i="1"/>
  <c r="AV365" i="1"/>
  <c r="AV367" i="1"/>
  <c r="AV369" i="1"/>
  <c r="AV371" i="1"/>
  <c r="AV373" i="1"/>
  <c r="AV376" i="1"/>
  <c r="AV379" i="1"/>
  <c r="F41" i="2"/>
  <c r="J404" i="1"/>
  <c r="F39" i="2" s="1"/>
  <c r="BC321" i="1"/>
  <c r="BI321" i="1"/>
  <c r="AG321" i="1" s="1"/>
  <c r="C19" i="3" s="1"/>
  <c r="BC324" i="1"/>
  <c r="BI324" i="1"/>
  <c r="AG324" i="1" s="1"/>
  <c r="BC327" i="1"/>
  <c r="BI327" i="1"/>
  <c r="AG327" i="1" s="1"/>
  <c r="BC329" i="1"/>
  <c r="BI329" i="1"/>
  <c r="AG329" i="1" s="1"/>
  <c r="BC331" i="1"/>
  <c r="BI331" i="1"/>
  <c r="AG331" i="1" s="1"/>
  <c r="BC333" i="1"/>
  <c r="BI333" i="1"/>
  <c r="AG333" i="1" s="1"/>
  <c r="BC335" i="1"/>
  <c r="BI335" i="1"/>
  <c r="AG335" i="1" s="1"/>
  <c r="BC337" i="1"/>
  <c r="BI337" i="1"/>
  <c r="AG337" i="1" s="1"/>
  <c r="BC339" i="1"/>
  <c r="BI339" i="1"/>
  <c r="AG339" i="1" s="1"/>
  <c r="BC341" i="1"/>
  <c r="BI341" i="1"/>
  <c r="AG341" i="1" s="1"/>
  <c r="BC343" i="1"/>
  <c r="BI343" i="1"/>
  <c r="AG343" i="1" s="1"/>
  <c r="BC345" i="1"/>
  <c r="BI345" i="1"/>
  <c r="AG345" i="1" s="1"/>
  <c r="BC347" i="1"/>
  <c r="BI347" i="1"/>
  <c r="AG347" i="1" s="1"/>
  <c r="BC349" i="1"/>
  <c r="BI349" i="1"/>
  <c r="AG349" i="1" s="1"/>
  <c r="BC352" i="1"/>
  <c r="BI352" i="1"/>
  <c r="AG352" i="1" s="1"/>
  <c r="BC355" i="1"/>
  <c r="BI355" i="1"/>
  <c r="AG355" i="1" s="1"/>
  <c r="BC358" i="1"/>
  <c r="BI358" i="1"/>
  <c r="AG358" i="1" s="1"/>
  <c r="BC360" i="1"/>
  <c r="BI360" i="1"/>
  <c r="AG360" i="1" s="1"/>
  <c r="BC363" i="1"/>
  <c r="BI363" i="1"/>
  <c r="AG363" i="1" s="1"/>
  <c r="BC365" i="1"/>
  <c r="BI365" i="1"/>
  <c r="AG365" i="1" s="1"/>
  <c r="BC367" i="1"/>
  <c r="BI367" i="1"/>
  <c r="AG367" i="1" s="1"/>
  <c r="BC369" i="1"/>
  <c r="BI369" i="1"/>
  <c r="AG369" i="1" s="1"/>
  <c r="BC371" i="1"/>
  <c r="BI371" i="1"/>
  <c r="AG371" i="1" s="1"/>
  <c r="BC373" i="1"/>
  <c r="BI373" i="1"/>
  <c r="AC373" i="1" s="1"/>
  <c r="BC376" i="1"/>
  <c r="BI376" i="1"/>
  <c r="AG376" i="1" s="1"/>
  <c r="BC379" i="1"/>
  <c r="BI379" i="1"/>
  <c r="AG379" i="1" s="1"/>
  <c r="E40" i="2"/>
  <c r="I404" i="1"/>
  <c r="E39" i="2" s="1"/>
  <c r="G40" i="2"/>
  <c r="I40" i="2" s="1"/>
  <c r="K404" i="1"/>
  <c r="G39" i="2" s="1"/>
  <c r="AV406" i="1"/>
  <c r="BH406" i="1"/>
  <c r="AV412" i="1"/>
  <c r="BH412" i="1"/>
  <c r="BC382" i="1"/>
  <c r="AV384" i="1"/>
  <c r="BI384" i="1"/>
  <c r="AG384" i="1" s="1"/>
  <c r="BC386" i="1"/>
  <c r="AV388" i="1"/>
  <c r="BI388" i="1"/>
  <c r="AG388" i="1" s="1"/>
  <c r="BC391" i="1"/>
  <c r="BC394" i="1"/>
  <c r="BC397" i="1"/>
  <c r="BC399" i="1"/>
  <c r="BC402" i="1"/>
  <c r="BC409" i="1"/>
  <c r="I45" i="4"/>
  <c r="I24" i="3" s="1"/>
  <c r="C22" i="3" l="1"/>
  <c r="AV315" i="1"/>
  <c r="BC315" i="1"/>
  <c r="AV309" i="1"/>
  <c r="BC309" i="1"/>
  <c r="AV302" i="1"/>
  <c r="BC302" i="1"/>
  <c r="AV285" i="1"/>
  <c r="BC285" i="1"/>
  <c r="AV278" i="1"/>
  <c r="BC278" i="1"/>
  <c r="AV271" i="1"/>
  <c r="BC271" i="1"/>
  <c r="AV264" i="1"/>
  <c r="BC264" i="1"/>
  <c r="AV257" i="1"/>
  <c r="BC257" i="1"/>
  <c r="AV250" i="1"/>
  <c r="BC250" i="1"/>
  <c r="AV242" i="1"/>
  <c r="BC242" i="1"/>
  <c r="AV237" i="1"/>
  <c r="BC237" i="1"/>
  <c r="AV231" i="1"/>
  <c r="BC231" i="1"/>
  <c r="AV225" i="1"/>
  <c r="BC225" i="1"/>
  <c r="AV221" i="1"/>
  <c r="BC221" i="1"/>
  <c r="AV215" i="1"/>
  <c r="BC215" i="1"/>
  <c r="AV208" i="1"/>
  <c r="BC208" i="1"/>
  <c r="AV199" i="1"/>
  <c r="BC199" i="1"/>
  <c r="AV190" i="1"/>
  <c r="BC190" i="1"/>
  <c r="AV186" i="1"/>
  <c r="BC186" i="1"/>
  <c r="AV181" i="1"/>
  <c r="BC181" i="1"/>
  <c r="AV177" i="1"/>
  <c r="BC177" i="1"/>
  <c r="AV172" i="1"/>
  <c r="BC172" i="1"/>
  <c r="AV167" i="1"/>
  <c r="BC167" i="1"/>
  <c r="AV159" i="1"/>
  <c r="BC159" i="1"/>
  <c r="AV153" i="1"/>
  <c r="BC153" i="1"/>
  <c r="AV148" i="1"/>
  <c r="BC148" i="1"/>
  <c r="AV143" i="1"/>
  <c r="BC143" i="1"/>
  <c r="AV139" i="1"/>
  <c r="BC139" i="1"/>
  <c r="AV312" i="1"/>
  <c r="BC312" i="1"/>
  <c r="AV306" i="1"/>
  <c r="BC306" i="1"/>
  <c r="AV299" i="1"/>
  <c r="BC299" i="1"/>
  <c r="AV281" i="1"/>
  <c r="BC281" i="1"/>
  <c r="AV274" i="1"/>
  <c r="BC274" i="1"/>
  <c r="AV268" i="1"/>
  <c r="BC268" i="1"/>
  <c r="AV261" i="1"/>
  <c r="BC261" i="1"/>
  <c r="AV253" i="1"/>
  <c r="BC253" i="1"/>
  <c r="AV244" i="1"/>
  <c r="BC244" i="1"/>
  <c r="AV239" i="1"/>
  <c r="BC239" i="1"/>
  <c r="AV233" i="1"/>
  <c r="BC233" i="1"/>
  <c r="AV228" i="1"/>
  <c r="BC228" i="1"/>
  <c r="AV223" i="1"/>
  <c r="BC223" i="1"/>
  <c r="AV218" i="1"/>
  <c r="BC218" i="1"/>
  <c r="AV212" i="1"/>
  <c r="BC212" i="1"/>
  <c r="AV205" i="1"/>
  <c r="BC205" i="1"/>
  <c r="AV196" i="1"/>
  <c r="BC196" i="1"/>
  <c r="BC192" i="1"/>
  <c r="AV192" i="1"/>
  <c r="AV188" i="1"/>
  <c r="BC188" i="1"/>
  <c r="AV184" i="1"/>
  <c r="BC184" i="1"/>
  <c r="AV179" i="1"/>
  <c r="BC179" i="1"/>
  <c r="AV175" i="1"/>
  <c r="BC175" i="1"/>
  <c r="AV170" i="1"/>
  <c r="BC170" i="1"/>
  <c r="AV162" i="1"/>
  <c r="BC162" i="1"/>
  <c r="AV156" i="1"/>
  <c r="BC156" i="1"/>
  <c r="AV150" i="1"/>
  <c r="BC150" i="1"/>
  <c r="AV146" i="1"/>
  <c r="BC146" i="1"/>
  <c r="AV141" i="1"/>
  <c r="BC141" i="1"/>
  <c r="AV137" i="1"/>
  <c r="BC137" i="1"/>
  <c r="G43" i="2"/>
  <c r="AV13" i="1"/>
  <c r="BC13" i="1"/>
</calcChain>
</file>

<file path=xl/sharedStrings.xml><?xml version="1.0" encoding="utf-8"?>
<sst xmlns="http://schemas.openxmlformats.org/spreadsheetml/2006/main" count="2921" uniqueCount="790">
  <si>
    <t>Slepý stavební rozpočet</t>
  </si>
  <si>
    <t>Název stavby:</t>
  </si>
  <si>
    <t>UDRŽOVACÍ PRÁCE</t>
  </si>
  <si>
    <t>Doba výstavby:</t>
  </si>
  <si>
    <t xml:space="preserve"> </t>
  </si>
  <si>
    <t>Objednatel:</t>
  </si>
  <si>
    <t>MĚSTO ČESKÁ LÍPA</t>
  </si>
  <si>
    <t>Druh stavby:</t>
  </si>
  <si>
    <t>NA BYTU 1.N.P.</t>
  </si>
  <si>
    <t>Začátek výstavby:</t>
  </si>
  <si>
    <t>Projektant:</t>
  </si>
  <si>
    <t>ING.MARTIN PLESCHINGER</t>
  </si>
  <si>
    <t>Lokalita:</t>
  </si>
  <si>
    <t>ČESKÁ LÍPA,UL.5.KVĚTNA 1582</t>
  </si>
  <si>
    <t>Konec výstavby:</t>
  </si>
  <si>
    <t>Zhotovitel:</t>
  </si>
  <si>
    <t>BUDE VYBRÁN</t>
  </si>
  <si>
    <t>JKSO:</t>
  </si>
  <si>
    <t>Zpracováno dne:</t>
  </si>
  <si>
    <t>03.02.2025</t>
  </si>
  <si>
    <t>Zpracoval:</t>
  </si>
  <si>
    <t>IIČVDF</t>
  </si>
  <si>
    <t>Č</t>
  </si>
  <si>
    <t>Kód</t>
  </si>
  <si>
    <t>Zkrácený popis</t>
  </si>
  <si>
    <t>MJ</t>
  </si>
  <si>
    <t>Množství</t>
  </si>
  <si>
    <t>Cena/MJ</t>
  </si>
  <si>
    <t>Sazba DPH</t>
  </si>
  <si>
    <t>Náklady (Kč)</t>
  </si>
  <si>
    <t>Cenová</t>
  </si>
  <si>
    <t>ISWORK</t>
  </si>
  <si>
    <t>GROUPCODE</t>
  </si>
  <si>
    <t>VATTAX</t>
  </si>
  <si>
    <t>Rozměry</t>
  </si>
  <si>
    <t>(Kč)</t>
  </si>
  <si>
    <t>Dodávka</t>
  </si>
  <si>
    <t>Montáž</t>
  </si>
  <si>
    <t>Celkem</t>
  </si>
  <si>
    <t>soustava</t>
  </si>
  <si>
    <t>Přesuny</t>
  </si>
  <si>
    <t>Typ skupiny</t>
  </si>
  <si>
    <t>HSV mat</t>
  </si>
  <si>
    <t>HSV prac</t>
  </si>
  <si>
    <t>PSV mat</t>
  </si>
  <si>
    <t>PSV prac</t>
  </si>
  <si>
    <t>Mont mat</t>
  </si>
  <si>
    <t>Mont prac</t>
  </si>
  <si>
    <t>Ostatní mat.</t>
  </si>
  <si>
    <t>MAT</t>
  </si>
  <si>
    <t>WORK</t>
  </si>
  <si>
    <t>CELK</t>
  </si>
  <si>
    <t/>
  </si>
  <si>
    <t>31</t>
  </si>
  <si>
    <t>Zdi podpěrné a volné</t>
  </si>
  <si>
    <t>1</t>
  </si>
  <si>
    <t>310271537R00</t>
  </si>
  <si>
    <t>Zazdívka otvorů do 1m2, pórobet.tvárnice,tl.37,5cm</t>
  </si>
  <si>
    <t>m3</t>
  </si>
  <si>
    <t>RTS II / 2024</t>
  </si>
  <si>
    <t>31_</t>
  </si>
  <si>
    <t>3_</t>
  </si>
  <si>
    <t>_</t>
  </si>
  <si>
    <t>P</t>
  </si>
  <si>
    <t>1,45*1,05*0,375</t>
  </si>
  <si>
    <t>102 -P4</t>
  </si>
  <si>
    <t>2</t>
  </si>
  <si>
    <t>311101211R00</t>
  </si>
  <si>
    <t>Vytvoření prostupů pl. do 0,02 m2 v nosných zdech</t>
  </si>
  <si>
    <t>kus</t>
  </si>
  <si>
    <t>pro rozvod ÚT</t>
  </si>
  <si>
    <t>RTS komentář:</t>
  </si>
  <si>
    <t>chránička a kluzná izolace</t>
  </si>
  <si>
    <t>41</t>
  </si>
  <si>
    <t>Stropy a stropní konstrukce (pro pozemní stavby)</t>
  </si>
  <si>
    <t>3</t>
  </si>
  <si>
    <t>416020113R00</t>
  </si>
  <si>
    <t>Podhledy SDK, kovová kce.HUT 1x deska RBI 12,5 mm</t>
  </si>
  <si>
    <t>m2</t>
  </si>
  <si>
    <t>41_</t>
  </si>
  <si>
    <t>4_</t>
  </si>
  <si>
    <t>3,6</t>
  </si>
  <si>
    <t>103 koupelna</t>
  </si>
  <si>
    <t>Podhledy sádrokartonové Rigips, systém PK11, kovová konstrukce s přímým uchycením, 1x opláštěná, bez minerální izolace, desky standard RBI (H2) tl. 12,5mm 4.05.21</t>
  </si>
  <si>
    <t>61</t>
  </si>
  <si>
    <t>Úprava povrchů vnitřní</t>
  </si>
  <si>
    <t>4</t>
  </si>
  <si>
    <t>612409991R00</t>
  </si>
  <si>
    <t>Začištění omítek kolem oken,dveří apod.</t>
  </si>
  <si>
    <t>m</t>
  </si>
  <si>
    <t>61_</t>
  </si>
  <si>
    <t>6_</t>
  </si>
  <si>
    <t>(4,9+2,8+2,8+2,8+2,8+2,6)*2</t>
  </si>
  <si>
    <t>5</t>
  </si>
  <si>
    <t>612421637R00</t>
  </si>
  <si>
    <t>Omítka vnitřní zdiva, MVC, štuková</t>
  </si>
  <si>
    <t>1,05*1,45</t>
  </si>
  <si>
    <t>102-zazdívka</t>
  </si>
  <si>
    <t>Položka je určena pro jakýkoliv druh podkladu</t>
  </si>
  <si>
    <t>6</t>
  </si>
  <si>
    <t>612421331R00</t>
  </si>
  <si>
    <t>Oprava vápen.omítek stěn do 30 % pl. - štukových</t>
  </si>
  <si>
    <t>208,96</t>
  </si>
  <si>
    <t xml:space="preserve"> V položce jsou zakalkulovány náklady na pomocné pracovní lešení o výšce podlahy do 1900 mm a pro zatížení do 1,5 kPa</t>
  </si>
  <si>
    <t>7</t>
  </si>
  <si>
    <t>611421331R00</t>
  </si>
  <si>
    <t>Oprava váp.omítek stropů do 30% plochy - štukových</t>
  </si>
  <si>
    <t>6,2+9,6+3,7+13,4+18,9+19</t>
  </si>
  <si>
    <t>8</t>
  </si>
  <si>
    <t>3,00</t>
  </si>
  <si>
    <t>103 omítka komína</t>
  </si>
  <si>
    <t>63</t>
  </si>
  <si>
    <t>Podlahy a podlahové konstrukce</t>
  </si>
  <si>
    <t>9</t>
  </si>
  <si>
    <t>631501111T00</t>
  </si>
  <si>
    <t>Zřízení smíšeného násypu pod podlahy, mazaniny a dlažby z kameniva hrubého a škváry</t>
  </si>
  <si>
    <t>RTS I / 2022</t>
  </si>
  <si>
    <t>63_</t>
  </si>
  <si>
    <t>67,1*0,12</t>
  </si>
  <si>
    <t>10</t>
  </si>
  <si>
    <t>632473110R00</t>
  </si>
  <si>
    <t>Potěr  samonivelační ručně tl. 10 mm</t>
  </si>
  <si>
    <t>vyrovnání podlahy koupelna 103</t>
  </si>
  <si>
    <t>Položka obsahuje jednonásobnou hloubkovou penetraci podkladu hmotou FERMACELL, rozmíchání suché samonivelační směsi FERMACELL s vodou podle receptury výrobce a rozprostření směsi. Spotřeba vody 0,26 l/kg, spotřeba hloubkové penetrace 0,20 kg</t>
  </si>
  <si>
    <t>64</t>
  </si>
  <si>
    <t>Výplně otvorů</t>
  </si>
  <si>
    <t>11</t>
  </si>
  <si>
    <t>642945312RT5</t>
  </si>
  <si>
    <t>Osaz.zár.požární-101 vchodové dveře  90x197</t>
  </si>
  <si>
    <t>64_</t>
  </si>
  <si>
    <t>Položka obsahuje kontrolu zárubně před osazením, rozdělení zárubně na dva rámy demontáží šroubů v drážce, ustavení a zajištění polohy závěsového rámu "Z", ukotvení, nasunutí rámu krycího "K", sešroubování obou rámů s využitím všech šroubů, průběžnou kontrolu svislosti stojek, vodorovnosti nadpraží, výškové polohy zárubně vůči podlaze, šířku zárubně v polodrážce, vyplnění volného prostoru mezi profilem zárubně a stavebním otvorem pěnou, odstranění prahové spojky, osazení závěsů, očištění povrchu zárubně, vtlačení těsnění do drážky. V položce jsou zakalkulovány náklady na distanční podložky pro případ drobných nepřesností stavebního otvoru. V položce nejsou zakalkulovány náklady na stavební úpravy nepřesného stavebního otvoru. Volba položky se řídí tloušťkou hotové stěny. V položce jsou zakalkulovány náklady na dodávku zárubní. Ztratné se nestanoví</t>
  </si>
  <si>
    <t>12</t>
  </si>
  <si>
    <t>55345503</t>
  </si>
  <si>
    <t>Dveře požární 1kříd.-30 min EI 30 DP1 90x197 cm</t>
  </si>
  <si>
    <t>M</t>
  </si>
  <si>
    <t>13</t>
  </si>
  <si>
    <t>61181526</t>
  </si>
  <si>
    <t>Zárubeň obložková  š. 70 cm/stě. 18-25 cm</t>
  </si>
  <si>
    <t>Obložková zárubeň Normal pro polodrážkové dveře  Rozměry 60, 70, 80, 90 /197 cm Tl. stěny 18-25 cm  Dýha buk, dub AM, jasan, mahago</t>
  </si>
  <si>
    <t>14</t>
  </si>
  <si>
    <t>61181527</t>
  </si>
  <si>
    <t>Zárubeň obložková  š. 80 cm/stě. 18-25 cm</t>
  </si>
  <si>
    <t>15</t>
  </si>
  <si>
    <t>61161900</t>
  </si>
  <si>
    <t>Dveře vnitřní hladké plné1kř. 60x197 dýha</t>
  </si>
  <si>
    <t xml:space="preserve">model 10 - buk, buk natur, dub AM, dub EV, dub natur, jasan, mahagon, mahagon natur  Lišty v ceně: D, </t>
  </si>
  <si>
    <t>16</t>
  </si>
  <si>
    <t>61161902</t>
  </si>
  <si>
    <t>Dveře vnitřní hladké plné  1kř. 80x197 dýha</t>
  </si>
  <si>
    <t>711</t>
  </si>
  <si>
    <t>Izolace proti vodě</t>
  </si>
  <si>
    <t>17</t>
  </si>
  <si>
    <t>711212001RT3</t>
  </si>
  <si>
    <t>Hydroizolační povlak - nátěr</t>
  </si>
  <si>
    <t>711_</t>
  </si>
  <si>
    <t>71_</t>
  </si>
  <si>
    <t>103</t>
  </si>
  <si>
    <t>Pro vnitřní a vnější použití pod dlažbu a obklad. Aplikace pomocí válečku - 2 vrstvy nátěru</t>
  </si>
  <si>
    <t>721</t>
  </si>
  <si>
    <t>Vnitřní kanalizace</t>
  </si>
  <si>
    <t>18</t>
  </si>
  <si>
    <t>721153205R00</t>
  </si>
  <si>
    <t>Potrubí Geberit PE připojovací, D 50 x 3,0 mm</t>
  </si>
  <si>
    <t>721_</t>
  </si>
  <si>
    <t>72_</t>
  </si>
  <si>
    <t>2,7+1,5+1,6</t>
  </si>
  <si>
    <t>19</t>
  </si>
  <si>
    <t>721153210R00</t>
  </si>
  <si>
    <t>Potrubí Geberit PE připojovací, D 110 x 4,3 mm</t>
  </si>
  <si>
    <t>0,5</t>
  </si>
  <si>
    <t>20</t>
  </si>
  <si>
    <t>721170905R00</t>
  </si>
  <si>
    <t>Oprava potrubí PVC odpadní, vsazení odbočky D 50</t>
  </si>
  <si>
    <t>21</t>
  </si>
  <si>
    <t>721170909R00</t>
  </si>
  <si>
    <t>Oprava potrubí PVC odpadní, vsazení odbočky D 110</t>
  </si>
  <si>
    <t>22</t>
  </si>
  <si>
    <t>721194105T00</t>
  </si>
  <si>
    <t>Vyvedení odpadní výpustky D 50 mm</t>
  </si>
  <si>
    <t>23</t>
  </si>
  <si>
    <t>998721101R00</t>
  </si>
  <si>
    <t>Přesun hmot pro vnitřní kanalizaci, výšky do 6 m</t>
  </si>
  <si>
    <t>t</t>
  </si>
  <si>
    <t>0,048</t>
  </si>
  <si>
    <t>722</t>
  </si>
  <si>
    <t>Vnitřní vodovod</t>
  </si>
  <si>
    <t>24</t>
  </si>
  <si>
    <t>722172311R00</t>
  </si>
  <si>
    <t>Potrubí z PPR, D 20x2,8 mm, PN 16, vč.zed.výpom.</t>
  </si>
  <si>
    <t>722_</t>
  </si>
  <si>
    <t>12,5</t>
  </si>
  <si>
    <t>25</t>
  </si>
  <si>
    <t>722179191R00</t>
  </si>
  <si>
    <t>Příplatek za malý rozsah do 20 m rozvodu</t>
  </si>
  <si>
    <t>soubor</t>
  </si>
  <si>
    <t>26</t>
  </si>
  <si>
    <t>722202213R00</t>
  </si>
  <si>
    <t>Nástěnka MZD PP-R  D 20xR1/2</t>
  </si>
  <si>
    <t>27</t>
  </si>
  <si>
    <t>722202442R00</t>
  </si>
  <si>
    <t>Kohout kulový rozeb.s výpustí PP-R  D 20</t>
  </si>
  <si>
    <t>28</t>
  </si>
  <si>
    <t>722290234R00</t>
  </si>
  <si>
    <t>Proplach a dezinfekce vodovod.potrubí DN 80</t>
  </si>
  <si>
    <t>29</t>
  </si>
  <si>
    <t>722290226R00</t>
  </si>
  <si>
    <t>Zkouška tlaku potrubí závitového DN 50</t>
  </si>
  <si>
    <t>30</t>
  </si>
  <si>
    <t>998722101R00</t>
  </si>
  <si>
    <t>Přesun hmot pro vnitřní vodovod, výšky do 6 m</t>
  </si>
  <si>
    <t>0,053</t>
  </si>
  <si>
    <t>723</t>
  </si>
  <si>
    <t>Vnitřní plynovod</t>
  </si>
  <si>
    <t>723140801R00</t>
  </si>
  <si>
    <t>Demontáž potrubí z ocelových trubek</t>
  </si>
  <si>
    <t>723_</t>
  </si>
  <si>
    <t>725</t>
  </si>
  <si>
    <t>Zařizovací předměty</t>
  </si>
  <si>
    <t>32</t>
  </si>
  <si>
    <t>725110811R00</t>
  </si>
  <si>
    <t>Demontáž klozetů splachovacích</t>
  </si>
  <si>
    <t>725_</t>
  </si>
  <si>
    <t>33</t>
  </si>
  <si>
    <t>725013138RT1</t>
  </si>
  <si>
    <t>Klozet kombi,nádrž s armat.odpad svislý,bílý</t>
  </si>
  <si>
    <t>Klozet kombinační, odpad svislý, nádrž s úspornou armaturou Dual Flush, v bílé barvě včetně sedátka.</t>
  </si>
  <si>
    <t>34</t>
  </si>
  <si>
    <t>725220841R00</t>
  </si>
  <si>
    <t>Demontáž ocelové vany</t>
  </si>
  <si>
    <t>35</t>
  </si>
  <si>
    <t>725229102T00</t>
  </si>
  <si>
    <t>Montáž vany</t>
  </si>
  <si>
    <t>36</t>
  </si>
  <si>
    <t>554212082.A</t>
  </si>
  <si>
    <t>Vana akrylát.bílá</t>
  </si>
  <si>
    <t>V114185N04T01001  za příplatek lze vanu osadit kterýmkoli z nabízených masážních systémů řady STANDARD  V ceně vany jsou nožičk</t>
  </si>
  <si>
    <t>37</t>
  </si>
  <si>
    <t>725210821R00</t>
  </si>
  <si>
    <t>Demontáž umyvadel bez výtokových armatur</t>
  </si>
  <si>
    <t>38</t>
  </si>
  <si>
    <t>725017130R00</t>
  </si>
  <si>
    <t>Umyvadlo na šrouby  50 x 41 cm, bílé</t>
  </si>
  <si>
    <t>včetně montáže</t>
  </si>
  <si>
    <t>39</t>
  </si>
  <si>
    <t>725319101R00</t>
  </si>
  <si>
    <t>Montáž dřezů jednoduchých</t>
  </si>
  <si>
    <t>kuchyňská linka</t>
  </si>
  <si>
    <t>40</t>
  </si>
  <si>
    <t>725820801R00</t>
  </si>
  <si>
    <t>Demontáž baterie nástěnné do G 3/4</t>
  </si>
  <si>
    <t>725823134RT0</t>
  </si>
  <si>
    <t>Baterie dřezová stojánková ruční s výsuv. sprchou</t>
  </si>
  <si>
    <t>42</t>
  </si>
  <si>
    <t>725823121RT0</t>
  </si>
  <si>
    <t>Baterie umyvadlová stoján. ruční, vč. otvír.odpadu</t>
  </si>
  <si>
    <t>43</t>
  </si>
  <si>
    <t>725835113RT0</t>
  </si>
  <si>
    <t>Baterie vanová nástěnná ruční, vč. příslušenstvím</t>
  </si>
  <si>
    <t>44</t>
  </si>
  <si>
    <t>725850114R00</t>
  </si>
  <si>
    <t>Ventil odpadní</t>
  </si>
  <si>
    <t>45</t>
  </si>
  <si>
    <t>725850800R00</t>
  </si>
  <si>
    <t>Demontáž ventilu odpadního</t>
  </si>
  <si>
    <t>46</t>
  </si>
  <si>
    <t>725810811R00</t>
  </si>
  <si>
    <t>Demontáž ventilu výtokového nástěnného</t>
  </si>
  <si>
    <t>47</t>
  </si>
  <si>
    <t>725814101R00</t>
  </si>
  <si>
    <t>Ventil rohový s filtrem</t>
  </si>
  <si>
    <t>48</t>
  </si>
  <si>
    <t>725814125R00</t>
  </si>
  <si>
    <t>Ventil pračkový  podomítkový</t>
  </si>
  <si>
    <t>49</t>
  </si>
  <si>
    <t>998725101R00</t>
  </si>
  <si>
    <t>Přesun hmot pro zařizovací předměty, výšky do 6 m</t>
  </si>
  <si>
    <t>0,173</t>
  </si>
  <si>
    <t>728</t>
  </si>
  <si>
    <t>Vzduchotechnika</t>
  </si>
  <si>
    <t>50</t>
  </si>
  <si>
    <t>728212411R00</t>
  </si>
  <si>
    <t>Montáž a dodávka klapky plechové kruhové do d 100 mm</t>
  </si>
  <si>
    <t>728_</t>
  </si>
  <si>
    <t>51</t>
  </si>
  <si>
    <t>728415113R00</t>
  </si>
  <si>
    <t>Montáž mřížky větrací nebo ventilační do 0,15 m2</t>
  </si>
  <si>
    <t>52</t>
  </si>
  <si>
    <t>728611211R00</t>
  </si>
  <si>
    <t>Mtž a dodávka ventilátoru radiál.nízkotl.potrub.do d 100 mm</t>
  </si>
  <si>
    <t>53</t>
  </si>
  <si>
    <t>728414613R00</t>
  </si>
  <si>
    <t>Montáž a dodávka digestoře s vnitřní regulací</t>
  </si>
  <si>
    <t>731</t>
  </si>
  <si>
    <t>Kotelny</t>
  </si>
  <si>
    <t>54</t>
  </si>
  <si>
    <t>731200823R00</t>
  </si>
  <si>
    <t>Demontáž kotle ocel.,kapal./plyn, do 25 kW</t>
  </si>
  <si>
    <t>731_</t>
  </si>
  <si>
    <t>73_</t>
  </si>
  <si>
    <t>55</t>
  </si>
  <si>
    <t>731412231R00</t>
  </si>
  <si>
    <t>Odkouření koax. na komíny</t>
  </si>
  <si>
    <t>vedeno komínem</t>
  </si>
  <si>
    <t>56</t>
  </si>
  <si>
    <t>731249322R00</t>
  </si>
  <si>
    <t>Montáž závěsných kotlů turbo s TUV, odkouření</t>
  </si>
  <si>
    <t>Položka je určena pro ocenění montáže závěsných kotlů turbo s odkouřením přes obvodové zdivo nebo půdním prostorem.  V položce není zakalkulována dodávka potrubí pro odkouření</t>
  </si>
  <si>
    <t>57</t>
  </si>
  <si>
    <t>484173136</t>
  </si>
  <si>
    <t>Kotel  kondenzační  25 KD+TÚV</t>
  </si>
  <si>
    <t>Kondenzační kotel pro vytápění  Kotle  jsou  určeny  pouze  pro  vytápění  topného  systému.  Jsou  vhodné všude tam, kde je ohřev vody vyřešen jiným způsobem např.  pomocí  elektrického  zásobníku.  Dodatečně  mohou  být  doplněny o ohřev vody v nepřímotopném externím zásobníku použitím externího trojcestného ventilu. Mimořádně ekologický provoz – třída NOx 6 Kondenzační těleso se zcela novým typem hořáku BLUEJET® Široký rozsah modulace výkonu kotlezNová koncepce vícefázového ventilátoru Omezení hlučnosti při vyšších otáčkách Elektricky modulovaný SGV plynový venti Modulované oběhové čerpadlo s vysokou účinností Nová řídící jednotka s autodiagnostikou Elektronika získává zpětnovazební informace o stavu hoření a provádí vlastní optimalizaci programové mapy Možnost doplnit o ohřev vody v externím zásobníku pomocí externího trojcestného ventilu Komunikace kotle a regulátoru pomocí systému OpenTherm+ Vhodná kombinace se systémem podlahového vytápění</t>
  </si>
  <si>
    <t>58</t>
  </si>
  <si>
    <t>998731101R00</t>
  </si>
  <si>
    <t>Přesun hmot pro kotelny, výšky do 6 m</t>
  </si>
  <si>
    <t>0,255</t>
  </si>
  <si>
    <t>732</t>
  </si>
  <si>
    <t>Strojovny</t>
  </si>
  <si>
    <t>59</t>
  </si>
  <si>
    <t>732299401T00</t>
  </si>
  <si>
    <t>Demontáž plynového průtokového ohřívače</t>
  </si>
  <si>
    <t>732_</t>
  </si>
  <si>
    <t>733</t>
  </si>
  <si>
    <t>Rozvod potrubí</t>
  </si>
  <si>
    <t>60</t>
  </si>
  <si>
    <t>733163102R00</t>
  </si>
  <si>
    <t>Potrubí z měděných trubek vytápění D 15 x 1,0 mm</t>
  </si>
  <si>
    <t>733_</t>
  </si>
  <si>
    <t>5,35+5,35+5,4+5,4</t>
  </si>
  <si>
    <t>4,05+4,05+3,3+3,3</t>
  </si>
  <si>
    <t>1+1+1,5+1,5+2+2</t>
  </si>
  <si>
    <t>V položkách jsou započteny náklady na dodávku potrubí a tvarovek včetně montáže</t>
  </si>
  <si>
    <t>733163104R00</t>
  </si>
  <si>
    <t>Potrubí z měděných trubek vytápění D 22 x 1,0 mm</t>
  </si>
  <si>
    <t>62</t>
  </si>
  <si>
    <t>733167001R00</t>
  </si>
  <si>
    <t>Příplatek za zhotovení přípojky Cu 15/1</t>
  </si>
  <si>
    <t>998733101R00</t>
  </si>
  <si>
    <t>Přesun hmot pro rozvody potrubí, výšky do 6 m</t>
  </si>
  <si>
    <t>0,036</t>
  </si>
  <si>
    <t>734</t>
  </si>
  <si>
    <t>Armatury</t>
  </si>
  <si>
    <t>734263312R00</t>
  </si>
  <si>
    <t>Šroubení topenářské, přímé,  DN 15</t>
  </si>
  <si>
    <t>734_</t>
  </si>
  <si>
    <t>65</t>
  </si>
  <si>
    <t>734223122RT2</t>
  </si>
  <si>
    <t>Ventil termostatický, přímý, VD DN 15 s termostatickou hlavicí</t>
  </si>
  <si>
    <t>66</t>
  </si>
  <si>
    <t>734213112R00</t>
  </si>
  <si>
    <t>Ventil automatický odvzdušňovací,  DN 15</t>
  </si>
  <si>
    <t>67</t>
  </si>
  <si>
    <t>998734101R00</t>
  </si>
  <si>
    <t>Přesun hmot pro armatury, výšky do 6 m</t>
  </si>
  <si>
    <t>0,013</t>
  </si>
  <si>
    <t>735</t>
  </si>
  <si>
    <t>Otopná tělesa</t>
  </si>
  <si>
    <t>68</t>
  </si>
  <si>
    <t>735151664R00</t>
  </si>
  <si>
    <t>Otopná tělesa panel.Radik Plan VK 11  600/ 800</t>
  </si>
  <si>
    <t>735_</t>
  </si>
  <si>
    <t>69</t>
  </si>
  <si>
    <t>735151667R00</t>
  </si>
  <si>
    <t>Otopná tělesa panel.Radik Plan VK 11  600/1100</t>
  </si>
  <si>
    <t>70</t>
  </si>
  <si>
    <t>735151668R00</t>
  </si>
  <si>
    <t>Otopná tělesa panel.Radik Plan VK 11  600/1200</t>
  </si>
  <si>
    <t>71</t>
  </si>
  <si>
    <t>735171355R00</t>
  </si>
  <si>
    <t>Těleso trubkové Koralux Rondo Classic KRC 1820.750</t>
  </si>
  <si>
    <t>72</t>
  </si>
  <si>
    <t>735179110R00</t>
  </si>
  <si>
    <t>Montáž otopných těles koupelnových (žebříků)</t>
  </si>
  <si>
    <t>73</t>
  </si>
  <si>
    <t>735159111T00</t>
  </si>
  <si>
    <t>Montáž otopného tělesa panelového do délky 1600mm</t>
  </si>
  <si>
    <t>74</t>
  </si>
  <si>
    <t>998735101R00</t>
  </si>
  <si>
    <t>Přesun hmot pro otopná tělesa, výšky do 6 m</t>
  </si>
  <si>
    <t>0,119</t>
  </si>
  <si>
    <t>762</t>
  </si>
  <si>
    <t>Konstrukce tesařské</t>
  </si>
  <si>
    <t>75</t>
  </si>
  <si>
    <t>762521812R00</t>
  </si>
  <si>
    <t>Demontáž podlah bez polštářů z prken tl. do 50 mm</t>
  </si>
  <si>
    <t>762_</t>
  </si>
  <si>
    <t>76_</t>
  </si>
  <si>
    <t>5,15*1,2</t>
  </si>
  <si>
    <t>101</t>
  </si>
  <si>
    <t>3,57*2,7</t>
  </si>
  <si>
    <t>102</t>
  </si>
  <si>
    <t>5,4*3,55</t>
  </si>
  <si>
    <t>105</t>
  </si>
  <si>
    <t>3,55*5,35</t>
  </si>
  <si>
    <t>106</t>
  </si>
  <si>
    <t>4,05*3,3</t>
  </si>
  <si>
    <t>104</t>
  </si>
  <si>
    <t>76</t>
  </si>
  <si>
    <t>762512115R00</t>
  </si>
  <si>
    <t>Položení podlahových desek na pero a drážku</t>
  </si>
  <si>
    <t>6,2+9,6+18,9+19+13,4</t>
  </si>
  <si>
    <t>Položení podlahových desek (OSB, Cetris...) spojovaných na pero a drážku se slepením spoje, na rovinný únosný podklad. V položce nejsou zakalkulovány náklady na dodávku desek.Tato dodávka se oceňuje ve specifikaci, ztratné se doporučuje ve výši 8 %.</t>
  </si>
  <si>
    <t>77</t>
  </si>
  <si>
    <t>60725016</t>
  </si>
  <si>
    <t>Deska dřevoštěpková OSB 3 N tl. 22 mm</t>
  </si>
  <si>
    <t>67,1</t>
  </si>
  <si>
    <t>;ztratné 8%; 5,368</t>
  </si>
  <si>
    <t xml:space="preserve">SUPERFINISH  OSB3 - konstrukční deska pro použití ve vlhkém prostředí  N - nebroušená strana  rozměr 2500 x 1250 mm </t>
  </si>
  <si>
    <t>78</t>
  </si>
  <si>
    <t>998762102R00</t>
  </si>
  <si>
    <t>Přesun hmot pro tesařské konstrukce, výšky do 12 m</t>
  </si>
  <si>
    <t>0,942</t>
  </si>
  <si>
    <t>766</t>
  </si>
  <si>
    <t>Konstrukce truhlářské</t>
  </si>
  <si>
    <t>79</t>
  </si>
  <si>
    <t>766411821R00</t>
  </si>
  <si>
    <t>Demontáž obložení stěn</t>
  </si>
  <si>
    <t>soub</t>
  </si>
  <si>
    <t>766_</t>
  </si>
  <si>
    <t>Položka není určena pro oceňování demontáže obložení stěn výšky nad 2,5 m, tyto práce se oceňují položkami souboru 766 42 Demontáž obložení podhledů</t>
  </si>
  <si>
    <t>80</t>
  </si>
  <si>
    <t>766411811R00</t>
  </si>
  <si>
    <t>Demontáž úložného prostoru</t>
  </si>
  <si>
    <t>81</t>
  </si>
  <si>
    <t>61581624.A</t>
  </si>
  <si>
    <t>Linka kuchyňská atypická s montáží</t>
  </si>
  <si>
    <t>rohová 2850x1950 dřez s odkládací deskou</t>
  </si>
  <si>
    <t>82</t>
  </si>
  <si>
    <t>53925 R-01</t>
  </si>
  <si>
    <t>Vestavěná pračka</t>
  </si>
  <si>
    <t>s montáží</t>
  </si>
  <si>
    <t>83</t>
  </si>
  <si>
    <t>54112128</t>
  </si>
  <si>
    <t>Deska varná vestavná indukční</t>
  </si>
  <si>
    <t>dotekové ovládání funkce Sprint u každé zóny (rychlé zvýšení výkonu) funkce Timer (časový spínač varných zón) ukazatel zbytkového tepla signalizace funkce dětská bezpečnostní pojistka automatické vypnutí indukční zóny (po odebrání nádoby z desky) elektrické napětí: 230/400 V broušené hrany barva čern</t>
  </si>
  <si>
    <t>84</t>
  </si>
  <si>
    <t>998766101R00</t>
  </si>
  <si>
    <t>Přesun hmot pro truhlářské konstr., výšky do 6 m</t>
  </si>
  <si>
    <t>0,370</t>
  </si>
  <si>
    <t>771</t>
  </si>
  <si>
    <t>Podlahy z dlaždic</t>
  </si>
  <si>
    <t>85</t>
  </si>
  <si>
    <t>771571110R00</t>
  </si>
  <si>
    <t>Montáž podlah keram.,režné hladké, do MC, 30x20 cm</t>
  </si>
  <si>
    <t>771_</t>
  </si>
  <si>
    <t>77_</t>
  </si>
  <si>
    <t>86</t>
  </si>
  <si>
    <t>597642032</t>
  </si>
  <si>
    <t>Dlažba  300x300x9 mm</t>
  </si>
  <si>
    <t>103 dle výběru investora</t>
  </si>
  <si>
    <t>;ztratné 6%; 0,216</t>
  </si>
  <si>
    <t>Slinuté neglazované obkladové prvky s velmi nízkou nasákavostí pod 0,5 %, určené k obkladům podlah v exteriérech a interiérech, které jsou vystaveny povětrnostním vlivům a vysokému až extremnímu mechanickému namáhání, obrusu a znečištění.  TR735069 Série TAURUS GRANIT dlaždice slinutá, neglazovaná 30 x 30 cm, čern</t>
  </si>
  <si>
    <t>87</t>
  </si>
  <si>
    <t>771471011R00</t>
  </si>
  <si>
    <t>Obklad soklíků keram.rovných do MC,10x10 cm</t>
  </si>
  <si>
    <t>2,7+2,7+1,48+1,48-0,6</t>
  </si>
  <si>
    <t>88</t>
  </si>
  <si>
    <t>998771101R00</t>
  </si>
  <si>
    <t>Přesun hmot pro podlahy z dlaždic, výšky do 6 m</t>
  </si>
  <si>
    <t>0,296</t>
  </si>
  <si>
    <t>776</t>
  </si>
  <si>
    <t>Podlahy povlakové</t>
  </si>
  <si>
    <t>89</t>
  </si>
  <si>
    <t>776521100RU2</t>
  </si>
  <si>
    <t>Lepení povlak.podlah z pásů PVC na Chemopren</t>
  </si>
  <si>
    <t>776_</t>
  </si>
  <si>
    <t>včetně podlahoviny Novoflor extra t. 2,0mm</t>
  </si>
  <si>
    <t>90</t>
  </si>
  <si>
    <t>776421100RU1</t>
  </si>
  <si>
    <t>Lepení podlahových soklíků z PVC a vinylu včetně materiálů</t>
  </si>
  <si>
    <t>5,15+5,15+1,2+1,2-(0,8*5)-0,6</t>
  </si>
  <si>
    <t>2,7+2,7+3,57+3,57-0,8</t>
  </si>
  <si>
    <t>4,05+4,05+3,3+3,3-0,8</t>
  </si>
  <si>
    <t>5,4+5,4+3,55+3,55-0,8</t>
  </si>
  <si>
    <t>3,55+3,55+5,35+5,35-0,8</t>
  </si>
  <si>
    <t>91</t>
  </si>
  <si>
    <t>998776101R00</t>
  </si>
  <si>
    <t>Přesun hmot pro podlahy povlakové, výšky do 6 m</t>
  </si>
  <si>
    <t>0,237</t>
  </si>
  <si>
    <t>781</t>
  </si>
  <si>
    <t>Obklady (keramické)</t>
  </si>
  <si>
    <t>92</t>
  </si>
  <si>
    <t>781210121R00</t>
  </si>
  <si>
    <t>Obkládání stěn obkl. pórovin. do tmele do 150x150</t>
  </si>
  <si>
    <t>781_</t>
  </si>
  <si>
    <t>78_</t>
  </si>
  <si>
    <t>15,52</t>
  </si>
  <si>
    <t>3,8</t>
  </si>
  <si>
    <t>104-kuch.linka</t>
  </si>
  <si>
    <t>Položka je určena pro obkládání stěn z obkladaček pórovinových (bělninových), do tmele, kladených rovnoběžně s podlahou. Položka obsahuje:  - očištění podkladu od nesoudržných částic, - rozměření plochy,  - rozbalení balíků, třídění nebo rozpojení obkladaček dodávaných v blocích, - příprava a nanesení tmelu na plochu, - řezání obkladaček, - kladení obkladaček, - spárování, čištění obkladu, odnesení odpadu na vykázané místo. Položka neobsahuje žádný materiál. Skládání složitých vzorů a tvarů se oceňuje individuálně.</t>
  </si>
  <si>
    <t>93</t>
  </si>
  <si>
    <t>59781347</t>
  </si>
  <si>
    <t>Obkládačka -dle výběru investora</t>
  </si>
  <si>
    <t>19,32</t>
  </si>
  <si>
    <t>;ztratné 6%; 1,1592</t>
  </si>
  <si>
    <t>glazované keramické obkladové prvk</t>
  </si>
  <si>
    <t>94</t>
  </si>
  <si>
    <t>998781101R00</t>
  </si>
  <si>
    <t>Přesun hmot pro obklady keramické, výšky do 6 m</t>
  </si>
  <si>
    <t>0,215</t>
  </si>
  <si>
    <t>784</t>
  </si>
  <si>
    <t>Malby</t>
  </si>
  <si>
    <t>95</t>
  </si>
  <si>
    <t>784402801R00</t>
  </si>
  <si>
    <t>Odstranění malby oškrábáním v místnosti H do 3,8 m</t>
  </si>
  <si>
    <t>784_</t>
  </si>
  <si>
    <t>145,80</t>
  </si>
  <si>
    <t>49,56</t>
  </si>
  <si>
    <t>Položka není určena pro úplné odstranění malby latexové. Položka je určena pro jakýkoliv počet současně oškrábaných vrstev maleb</t>
  </si>
  <si>
    <t>96</t>
  </si>
  <si>
    <t>784414301R00</t>
  </si>
  <si>
    <t>Penetrace podkladu nátěrem HET A-Grund</t>
  </si>
  <si>
    <t>208,96-19,32</t>
  </si>
  <si>
    <t>stěny-odpočet obkladů</t>
  </si>
  <si>
    <t>70,8</t>
  </si>
  <si>
    <t>strop</t>
  </si>
  <si>
    <t>97</t>
  </si>
  <si>
    <t>784442002R00</t>
  </si>
  <si>
    <t>Malba disperzní interiérová HET Klasik,výška do 3m</t>
  </si>
  <si>
    <t>260,44</t>
  </si>
  <si>
    <t>Hodinové zúčtovací sazby (HZS)</t>
  </si>
  <si>
    <t>98</t>
  </si>
  <si>
    <t>900      R04</t>
  </si>
  <si>
    <t>HZS-nepředvídatelné při rekonstrukci</t>
  </si>
  <si>
    <t>h</t>
  </si>
  <si>
    <t>90_</t>
  </si>
  <si>
    <t>9_</t>
  </si>
  <si>
    <t>Platnost hodinových zúčtovacích sazeb  Hodinovými zúčtovacími sazbami (HZS) se oceňují: a) předběžné obhlídky pracoviště vyžádané objednatelem, b) průzkumné práce na kulturních památkách, sloužící pro získání podkladů k rekonstrukci kulturní památky, c) revize stavebních objektů nebo jejich části, jejichž oprava se oceňuje podle stavebních ceníků, d) práce při havarijních a živelních pohromách prováděné bez projektové dokumentace nebo na základě zjednodušené projektové dokumentace bez rozpočtu, e) práce v rozsahu vymezeném v jednotlivých cenících f) práce prováděné výškovými specialisty a potápěči, g) práce zařazované do hlavy IV souhrnného rozpočtu staveb, prováděné jako součást stavebních objektů, pokud je nelze ocenit položkami stavebních ceníků.  Na základě písemné dohody mezi zhotovitele a objednatelem je možno ocenit stavební práce pomocí HZS jde-li o: a) stavební práce prováděné bez projektové dokumentace, b) práce, pro které není ve stavebních cenících položka.  Pří použití hodinových zúčtovacích sazeb se oceňuje: a) počet skutečně odpracovaných hodin všech pracovníků včetně času vynaloženého na předběžnou obhlídku pracoviště za účelem zjištění rozsahu prací, objednatelem potvrzených ve stavebním deníku, nebo samostatném dokladu, pokud se stavební deník nevede, b) přímý materiál,  c) náklady na provoz stavebních strojů, d) ostatní přímé náklady.  Počet odpracovaných hodin jednotlivých pracovníků se zaokrouhlí: a) na půlhodinu, trvá-li práce 30 minut nebo méně, b) na celou hodinu, trvá-li práce více než 30 minut.</t>
  </si>
  <si>
    <t>Bourání konstrukcí</t>
  </si>
  <si>
    <t>99</t>
  </si>
  <si>
    <t>968061125R00</t>
  </si>
  <si>
    <t>Vyvěšení dřevěných dveřních křídel pl. do 2 m2</t>
  </si>
  <si>
    <t>96_</t>
  </si>
  <si>
    <t>Položka obsahuje náklady na vyvěšení křídel, jejich uložení a zpětné zavěšení po provedených stavebních úpravách. Položka se používá i pro vyvěšení křídel určených k likvidaci</t>
  </si>
  <si>
    <t>100</t>
  </si>
  <si>
    <t>968072455R00</t>
  </si>
  <si>
    <t>Vybourání kovových dveřních zárubní pl. do 2 m2</t>
  </si>
  <si>
    <t>1,6*4+1,8+1,2</t>
  </si>
  <si>
    <t>V položce není kalkulována manipulace se sutí, která se oceňuje samostatně položkami souboru 979. V položce není zakalkulováno vyvěšení dveřních křídel. Tyto práce se oceňují samostatně položkami souboru 968 06-11.. nebo 07-11.. Vyvěšení křídel.</t>
  </si>
  <si>
    <t>Prorážení otvorů a ostatní bourací práce</t>
  </si>
  <si>
    <t>978013141R00</t>
  </si>
  <si>
    <t>Otlučení omítek vnitřních stěn v rozsahu do 30 %</t>
  </si>
  <si>
    <t>97_</t>
  </si>
  <si>
    <t>(5,15+5,15+1,2+1,2)*2,69</t>
  </si>
  <si>
    <t>-(1,8+1,6+1,6+1,6+1,6+1,2)</t>
  </si>
  <si>
    <t>odpočet otvorů</t>
  </si>
  <si>
    <t>(3,57+3,57+2,7+2,7)*2,69</t>
  </si>
  <si>
    <t>-1,6</t>
  </si>
  <si>
    <t>(2,7+2,7+1,48+1,48)*2,69</t>
  </si>
  <si>
    <t>-1,2</t>
  </si>
  <si>
    <t>(4,05+4,05+3,3+3,3)*2,69</t>
  </si>
  <si>
    <t>(3,55+3,55+5,4+5,4)*2,69</t>
  </si>
  <si>
    <t>(3,55+3,55+5,35+5,35)*2,69</t>
  </si>
  <si>
    <t>S vyškrabáním spár, s očištěním zdiva. V položce není kalkulována manipulace se sutí, která se oceňuje samostatně položkami souboru 979.</t>
  </si>
  <si>
    <t>978059531R00</t>
  </si>
  <si>
    <t>Odsekání vnitřních obkladů stěn nad 2 m2</t>
  </si>
  <si>
    <t>(2,7+2,7+1,48+1,48-0,6)*2</t>
  </si>
  <si>
    <t>V položce není kalkulována manipulace se sutí, která se oceňuje samostatně položkami souboru 979.</t>
  </si>
  <si>
    <t>978011141R00</t>
  </si>
  <si>
    <t>Otlučení omítek vnitřních vápenných stropů do 30 %</t>
  </si>
  <si>
    <t>6,2+9,6+13,4+18,9+19</t>
  </si>
  <si>
    <t>H99</t>
  </si>
  <si>
    <t>Ostatní přesuny hmot</t>
  </si>
  <si>
    <t>999281145R00</t>
  </si>
  <si>
    <t>Přesun hmot pro opravy a údržbu do v. 6 m, nošením</t>
  </si>
  <si>
    <t>H99_</t>
  </si>
  <si>
    <t>0,331+0,040+4,895+0,053+0,358</t>
  </si>
  <si>
    <t>M21</t>
  </si>
  <si>
    <t>Elektromontáže</t>
  </si>
  <si>
    <t>210110001RT2</t>
  </si>
  <si>
    <t>Spínač nástěnný jednopól.- řaz. 1, obyč.prostředí</t>
  </si>
  <si>
    <t>M21_</t>
  </si>
  <si>
    <t>design Praktik</t>
  </si>
  <si>
    <t>210110004RT1</t>
  </si>
  <si>
    <t>Spínač nástěnný střídavý - řaz. 6, obyč.prostředí</t>
  </si>
  <si>
    <t>107</t>
  </si>
  <si>
    <t>210110003RT1</t>
  </si>
  <si>
    <t>Spínač nástěnný seriový - řaz. 5, obyč.prostředí</t>
  </si>
  <si>
    <t>design Prakti</t>
  </si>
  <si>
    <t>108</t>
  </si>
  <si>
    <t>Spínač nástěnný seriový - řaz. 5, venkovní.prostředí</t>
  </si>
  <si>
    <t>109</t>
  </si>
  <si>
    <t>210111011RT6</t>
  </si>
  <si>
    <t>Zásuvka domovní zapuštěná - provedení 2P+PE</t>
  </si>
  <si>
    <t>série Tango</t>
  </si>
  <si>
    <t>110</t>
  </si>
  <si>
    <t>210111014RT6</t>
  </si>
  <si>
    <t>Dvojzásuvka domovní dvoj zapuštěná - provedení 2x (2P+PE)</t>
  </si>
  <si>
    <t>111</t>
  </si>
  <si>
    <t>210112581R00</t>
  </si>
  <si>
    <t>Prostorový termostat digitální</t>
  </si>
  <si>
    <t>112</t>
  </si>
  <si>
    <t>210111053R00</t>
  </si>
  <si>
    <t>RS-1 včetně výstroje</t>
  </si>
  <si>
    <t>113</t>
  </si>
  <si>
    <t>210010005RU2</t>
  </si>
  <si>
    <t>Čidlo pohybu</t>
  </si>
  <si>
    <t>114</t>
  </si>
  <si>
    <t>210800105RT1</t>
  </si>
  <si>
    <t>Kabel CYKY 750 V 3C x1,5 mm2 uložený pod omítkou</t>
  </si>
  <si>
    <t>115</t>
  </si>
  <si>
    <t>210800117RT1</t>
  </si>
  <si>
    <t>Kabel CYKY 750 V 5Cx4 mm2 uložený pod omítkou</t>
  </si>
  <si>
    <t>116</t>
  </si>
  <si>
    <t>210800106RT1</t>
  </si>
  <si>
    <t>Kabel CYKY 750 V 3x2,5 mm2 uložený pod omítkou</t>
  </si>
  <si>
    <t>120</t>
  </si>
  <si>
    <t>117</t>
  </si>
  <si>
    <t>210800115RT1</t>
  </si>
  <si>
    <t>Kabel CYKY 750 V 5Cx1,5 mm2 uložený pod omítkou</t>
  </si>
  <si>
    <t>118</t>
  </si>
  <si>
    <t>210800116RT1</t>
  </si>
  <si>
    <t>Kabel CYKY 750 V 5Cx2,5 mm2 uložený pod omítkou</t>
  </si>
  <si>
    <t>119</t>
  </si>
  <si>
    <t>210800133RT1</t>
  </si>
  <si>
    <t>Kabel CYKY 750 V 4x10 mm2 pod omítkou stropu</t>
  </si>
  <si>
    <t>3,2</t>
  </si>
  <si>
    <t>210800606RT1</t>
  </si>
  <si>
    <t>Vodič nn a vn CYA 6 mm2 pod omítku</t>
  </si>
  <si>
    <t>121</t>
  </si>
  <si>
    <t>212810010RAC</t>
  </si>
  <si>
    <t>Přípoková skříň SS100 komplet</t>
  </si>
  <si>
    <t>122</t>
  </si>
  <si>
    <t>210010301RT1</t>
  </si>
  <si>
    <t>Krabice přístrojová KP, bez zapojení, kruhová</t>
  </si>
  <si>
    <t>Montáž do připraveného lůžka. Zhotovení otvorů pro trubky, nebo vodiče. Bez zapojení.</t>
  </si>
  <si>
    <t>123</t>
  </si>
  <si>
    <t>210010311RT1</t>
  </si>
  <si>
    <t>Krabice univerzální KU, bez zapojení, kruhová</t>
  </si>
  <si>
    <t>Montáž do připraveného lůžka. Zhotovení otvorů pro trubky, nebo vodiče, zavíčkování. Bez zapojení.</t>
  </si>
  <si>
    <t>124</t>
  </si>
  <si>
    <t>210010311RT3</t>
  </si>
  <si>
    <t>125</t>
  </si>
  <si>
    <t>210800608RT1</t>
  </si>
  <si>
    <t>Vodič nn a vn CYA 16 mm2 pod omítku</t>
  </si>
  <si>
    <t>126</t>
  </si>
  <si>
    <t>210010312RT1</t>
  </si>
  <si>
    <t>Krabice odbočná KO 97, bez zapojení, kruhová</t>
  </si>
  <si>
    <t>Montáž do připraveného lůžka. Zhotovení otvorů pro trubky, nebo vodiče, zavíčkování. Bez svorek a zapojení.</t>
  </si>
  <si>
    <t>127</t>
  </si>
  <si>
    <t>212190002XX</t>
  </si>
  <si>
    <t>Detektor kouře</t>
  </si>
  <si>
    <t>RTS II / 2022</t>
  </si>
  <si>
    <t>128</t>
  </si>
  <si>
    <t>210111062RT1</t>
  </si>
  <si>
    <t>Přístrojová spojka</t>
  </si>
  <si>
    <t>129</t>
  </si>
  <si>
    <t>210220321RT1</t>
  </si>
  <si>
    <t>Svorka na potrubí Bernard, včetně Cu pásku</t>
  </si>
  <si>
    <t>130</t>
  </si>
  <si>
    <t>222730008R00</t>
  </si>
  <si>
    <t>Hlavní ochranná přípojnice</t>
  </si>
  <si>
    <t>131</t>
  </si>
  <si>
    <t>210102228R00</t>
  </si>
  <si>
    <t>Sporáková kombinace</t>
  </si>
  <si>
    <t>132</t>
  </si>
  <si>
    <t>905      R01</t>
  </si>
  <si>
    <t>Hzs-revize provoz.souboru a st.obj.</t>
  </si>
  <si>
    <t>133</t>
  </si>
  <si>
    <t>141      R00</t>
  </si>
  <si>
    <t>Přirážka za podružný materiál  M 21, M 22</t>
  </si>
  <si>
    <t>Procentní sazba z hodnoty nosného materiálu.</t>
  </si>
  <si>
    <t>134</t>
  </si>
  <si>
    <t>204      R00</t>
  </si>
  <si>
    <t>Zednické výpomoci M 21 podle čl.13-5b</t>
  </si>
  <si>
    <t>Přirážka je určena k ocenění přidružených výkonů a podílu prací jiných profesí při oceňování podle  - ceníku M 21 (včetně R-položek) těchto prací: a) provozní rozvody ve stavebních objektech (např. objekty oboru 803 - budovy pro bydlení, oboru 801-budovy, občanská výstavba apod.) b) hromosvody c) uzemnění v zemi (vně i uvnitř budovy).  Touto přirážkou jsou kryty náklady na: a) vynechání nebo vysekání rýh, kapes a prostupů pro rozvody a upevňovací prvky (špalíky, latě, objímky, závěsy, konzoly) do velikostí: rýhy o průřezu 3x3 až 7x3 cm, kapsy pro špalíky a krabice do 7x7x5 cm, prostupy průřezu do 0,01 m2; ve zdivu cihelném, nebo ve zdivu z tvárnic a to i když nejsou zakresleny v projektu b) zaplnění nebo zazdění rýh, kapes, jejichž kubatura se neodečítá od kubatury zdiva (zaplnění nebo zazdění rýh, kapes, jejichž kubatura se odečítá od kubatury zdiva se rozpočtuje samostatnými položkami) c) dodání, osazení, zazdění, zabetonování a zalití špalíků a latí d) dodání, osazení, zabetonování a zalití objímek, závěsů a konzol e) vynechání nebo vysekání nik pro rozvaděče a pro stoupací, průchozí a jiné manipulační skříně f) osazení, zazdění nebo zabetonování stoupacích, průchozích a jiných manipulačních skříní g) zazdění nebo zabetonování prostupů ve zdech a stropech.  Základnu pro použití sazeb tvoří náklady určené pomocí ceníkových položek, popř. R-položek vč. nosného a podružného materiálu.  Pokud je potřeba připevňovat prvky nastřelováním nebo pomocí hmoždinek, rozpočtují se podle ceníku 801-1 a 801-4.</t>
  </si>
  <si>
    <t>135</t>
  </si>
  <si>
    <t>650052631R00</t>
  </si>
  <si>
    <t>Montáž zásuvky nástěnné televize včetně dodávky</t>
  </si>
  <si>
    <t>136</t>
  </si>
  <si>
    <t>Montáž zásuvky nástěnné pro počítač s dodávkou</t>
  </si>
  <si>
    <t>137</t>
  </si>
  <si>
    <t>650101171R00</t>
  </si>
  <si>
    <t>Montáž a dodávka žárovkového svítidla nástěnného přisazeného</t>
  </si>
  <si>
    <t>138</t>
  </si>
  <si>
    <t>650101121R00</t>
  </si>
  <si>
    <t>Montáž a dodávka žárovkového svítidla stropního přisazeného</t>
  </si>
  <si>
    <t>S</t>
  </si>
  <si>
    <t>Přesuny sutí</t>
  </si>
  <si>
    <t>139</t>
  </si>
  <si>
    <t>979082111R00</t>
  </si>
  <si>
    <t>Vnitrostaveništní doprava suti do 10 m</t>
  </si>
  <si>
    <t>S_</t>
  </si>
  <si>
    <t>1,616+0,725+3,816</t>
  </si>
  <si>
    <t>Včetně případného složení na staveništní deponii</t>
  </si>
  <si>
    <t>140</t>
  </si>
  <si>
    <t>979083117R00</t>
  </si>
  <si>
    <t>Vodorovné přemístění suti na skládku do 6000 m</t>
  </si>
  <si>
    <t>6,157</t>
  </si>
  <si>
    <t>Pro volbu položky je rozhodující dopravní vzdálenost těžiště skládky a půdorysné plochy objektu. V položce jsou zakalkulovány i náklady na naložení suti na dopravní prostředek a složení</t>
  </si>
  <si>
    <t>141</t>
  </si>
  <si>
    <t>979086112R00</t>
  </si>
  <si>
    <t>Nakládání nebo překládání suti a vybouraných hmot</t>
  </si>
  <si>
    <t>142</t>
  </si>
  <si>
    <t>979990105R00</t>
  </si>
  <si>
    <t>Poplatek za skládku suti - cihelné výrobky, skupina odpadu 170102</t>
  </si>
  <si>
    <t>0,725+3,816</t>
  </si>
  <si>
    <t xml:space="preserve">Střešní krytina, cihly, obklady atd.  </t>
  </si>
  <si>
    <t>143</t>
  </si>
  <si>
    <t>979990161R00</t>
  </si>
  <si>
    <t>Poplatek za likvidaci (spalovna) - dřevo, skupina odpadu 170201</t>
  </si>
  <si>
    <t>1,616</t>
  </si>
  <si>
    <t>VORN</t>
  </si>
  <si>
    <t>Vedlejší a ostatní rozpočtové náklady</t>
  </si>
  <si>
    <t>03VRN</t>
  </si>
  <si>
    <t>Zařízení staveniště</t>
  </si>
  <si>
    <t>144</t>
  </si>
  <si>
    <t>030001VRN</t>
  </si>
  <si>
    <t>%</t>
  </si>
  <si>
    <t>03VRN_</t>
  </si>
  <si>
    <t>Â _</t>
  </si>
  <si>
    <t>ze záladních rozpočtových nákladů</t>
  </si>
  <si>
    <t>04VRN</t>
  </si>
  <si>
    <t>Inženýrské činnosti</t>
  </si>
  <si>
    <t>145</t>
  </si>
  <si>
    <t>045002VRN</t>
  </si>
  <si>
    <t>Náklady na soutěž, kompletaci a koordinaci</t>
  </si>
  <si>
    <t>Soubor</t>
  </si>
  <si>
    <t>04VRN_</t>
  </si>
  <si>
    <t>05VRN</t>
  </si>
  <si>
    <t>Finanční náklady</t>
  </si>
  <si>
    <t>146</t>
  </si>
  <si>
    <t>051002VRN</t>
  </si>
  <si>
    <t>Pojištění</t>
  </si>
  <si>
    <t>05VRN_</t>
  </si>
  <si>
    <t>Celkem:</t>
  </si>
  <si>
    <t>Poznámka:</t>
  </si>
  <si>
    <t>Slepý stavební rozpočet - rekapitulace</t>
  </si>
  <si>
    <t>Náklady (Kč) - dodávka</t>
  </si>
  <si>
    <t>Náklady (Kč) - Montáž</t>
  </si>
  <si>
    <t>Náklady (Kč) - celkem</t>
  </si>
  <si>
    <t>T</t>
  </si>
  <si>
    <t>F</t>
  </si>
  <si>
    <t>Krycí list slepého rozpočtu</t>
  </si>
  <si>
    <t>IČO/DIČ:</t>
  </si>
  <si>
    <t>Položek:</t>
  </si>
  <si>
    <t>Datum:</t>
  </si>
  <si>
    <t>Rozpočtové náklady v Kč</t>
  </si>
  <si>
    <t>A</t>
  </si>
  <si>
    <t>Základní rozpočtové náklady</t>
  </si>
  <si>
    <t>B</t>
  </si>
  <si>
    <t>Doplňkové náklady</t>
  </si>
  <si>
    <t>C</t>
  </si>
  <si>
    <t>Náklady na umístění stavby (NUS)</t>
  </si>
  <si>
    <t>HSV</t>
  </si>
  <si>
    <t>Dodávky</t>
  </si>
  <si>
    <t>Práce přesčas</t>
  </si>
  <si>
    <t>Bez pevné podl.</t>
  </si>
  <si>
    <t>Mimostav. doprava</t>
  </si>
  <si>
    <t>PSV</t>
  </si>
  <si>
    <t>Kulturní památka</t>
  </si>
  <si>
    <t>Územní vlivy</t>
  </si>
  <si>
    <t>Provozní vlivy</t>
  </si>
  <si>
    <t>"M"</t>
  </si>
  <si>
    <t>Ostatní</t>
  </si>
  <si>
    <t>NUS z rozpočtu</t>
  </si>
  <si>
    <t>Ostatní materiál</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</si>
  <si>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</si>
  <si>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</si>
  <si>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</si>
  <si>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</si>
  <si>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</si>
  <si>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</si>
  <si>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</si>
  <si>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</si>
  <si>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</si>
  <si>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</si>
  <si>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</si>
  <si>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</si>
  <si>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</si>
  <si>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</si>
  <si>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</si>
  <si>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</si>
  <si>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</si>
  <si>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</si>
  <si>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</si>
  <si>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Vedlejší rozpočtové náklady VRN</t>
  </si>
  <si>
    <t>Doplňkové náklady DN</t>
  </si>
  <si>
    <t>Kč</t>
  </si>
  <si>
    <t>Základna</t>
  </si>
  <si>
    <t>Celkem DN</t>
  </si>
  <si>
    <t>Celkem NUS</t>
  </si>
  <si>
    <t>Celkem VRN</t>
  </si>
  <si>
    <t>Vedlejší a ostatní rozpočtové náklady VORN</t>
  </si>
  <si>
    <t>Ostatní rozpočtové náklady (VORN)</t>
  </si>
  <si>
    <t>Průzkumy, geodetické a projektové práce</t>
  </si>
  <si>
    <t>Příprava staveniště</t>
  </si>
  <si>
    <t>Náklady na pracovníky</t>
  </si>
  <si>
    <t>Ostatní náklady</t>
  </si>
  <si>
    <t>Vlastní VORN</t>
  </si>
  <si>
    <t>Celkem VORN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</si>
</sst>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Calibri"/>
      <charset val="1"/>
    </font>
    <font>
      <sz val="18"/>
      <color rgb="FF000000"/>
      <name val="Arial"/>
      <charset val="238"/>
    </font>
    <font>
      <b/>
      <sz val="10"/>
      <color rgb="FF000000"/>
      <name val="Arial"/>
      <charset val="238"/>
    </font>
    <font>
      <sz val="10"/>
      <color rgb="FF000000"/>
      <name val="Arial"/>
      <charset val="238"/>
    </font>
    <font>
      <i/>
      <sz val="10"/>
      <color rgb="FF000000"/>
      <name val="Arial"/>
      <charset val="238"/>
    </font>
    <font>
      <i/>
      <sz val="8"/>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s>
  <fills count="3">
    <fill>
      <patternFill patternType="none"/>
    </fill>
    <fill>
      <patternFill patternType="gray125"/>
    </fill>
    <fill>
      <patternFill patternType="solid">
        <fgColor rgb="FFC0C0C0"/>
        <bgColor rgb="FFC0C0C0"/>
      </patternFill>
    </fill>
  </fills>
  <borders count="80">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68">
    <xf numFmtId="0" fontId="0" fillId="0" borderId="0" xfId="0"/>
    <xf numFmtId="4" fontId="2" fillId="2" borderId="0" xfId="0" applyNumberFormat="1" applyFont="1" applyFill="1" applyBorder="1" applyAlignment="1" applyProtection="1">
      <alignment horizontal="right" vertical="center"/>
    </xf>
    <xf numFmtId="0" fontId="3" fillId="0" borderId="5"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2" fillId="0" borderId="15" xfId="0" applyNumberFormat="1" applyFont="1" applyFill="1" applyBorder="1" applyAlignment="1" applyProtection="1">
      <alignment horizontal="center" vertical="center"/>
    </xf>
    <xf numFmtId="0" fontId="2" fillId="0" borderId="19"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3" fillId="0" borderId="20" xfId="0" applyNumberFormat="1" applyFont="1" applyFill="1" applyBorder="1" applyAlignment="1" applyProtection="1">
      <alignment horizontal="left" vertical="center"/>
    </xf>
    <xf numFmtId="0" fontId="3" fillId="0" borderId="21" xfId="0" applyNumberFormat="1" applyFont="1" applyFill="1" applyBorder="1" applyAlignment="1" applyProtection="1">
      <alignment horizontal="left" vertical="center"/>
    </xf>
    <xf numFmtId="0" fontId="2" fillId="0" borderId="24" xfId="0" applyNumberFormat="1" applyFont="1" applyFill="1" applyBorder="1" applyAlignment="1" applyProtection="1">
      <alignment horizontal="center" vertical="center"/>
    </xf>
    <xf numFmtId="0" fontId="3" fillId="0" borderId="25" xfId="0" applyNumberFormat="1" applyFont="1" applyFill="1" applyBorder="1" applyAlignment="1" applyProtection="1">
      <alignment horizontal="left" vertical="center"/>
    </xf>
    <xf numFmtId="0" fontId="2" fillId="0" borderId="26" xfId="0" applyNumberFormat="1" applyFont="1" applyFill="1" applyBorder="1" applyAlignment="1" applyProtection="1">
      <alignment horizontal="center" vertical="center"/>
    </xf>
    <xf numFmtId="0" fontId="2" fillId="0" borderId="27" xfId="0" applyNumberFormat="1" applyFont="1" applyFill="1" applyBorder="1" applyAlignment="1" applyProtection="1">
      <alignment horizontal="center" vertical="center"/>
    </xf>
    <xf numFmtId="0" fontId="2" fillId="0" borderId="28" xfId="0" applyNumberFormat="1" applyFont="1" applyFill="1" applyBorder="1" applyAlignment="1" applyProtection="1">
      <alignment horizontal="center" vertical="center"/>
    </xf>
    <xf numFmtId="0" fontId="2" fillId="0" borderId="29" xfId="0" applyNumberFormat="1" applyFont="1" applyFill="1" applyBorder="1" applyAlignment="1" applyProtection="1">
      <alignment horizontal="center" vertical="center"/>
    </xf>
    <xf numFmtId="0" fontId="3" fillId="2" borderId="30" xfId="0" applyNumberFormat="1" applyFont="1" applyFill="1" applyBorder="1" applyAlignment="1" applyProtection="1">
      <alignment horizontal="left" vertical="center"/>
    </xf>
    <xf numFmtId="0" fontId="2" fillId="2" borderId="31" xfId="0" applyNumberFormat="1" applyFont="1" applyFill="1" applyBorder="1" applyAlignment="1" applyProtection="1">
      <alignment horizontal="left" vertical="center"/>
    </xf>
    <xf numFmtId="0" fontId="3" fillId="2" borderId="31" xfId="0" applyNumberFormat="1" applyFont="1" applyFill="1" applyBorder="1" applyAlignment="1" applyProtection="1">
      <alignment horizontal="left" vertical="center"/>
    </xf>
    <xf numFmtId="4" fontId="2" fillId="2" borderId="31" xfId="0" applyNumberFormat="1" applyFont="1" applyFill="1" applyBorder="1" applyAlignment="1" applyProtection="1">
      <alignment horizontal="right" vertical="center"/>
    </xf>
    <xf numFmtId="0" fontId="2" fillId="2" borderId="32" xfId="0" applyNumberFormat="1" applyFont="1" applyFill="1" applyBorder="1" applyAlignment="1" applyProtection="1">
      <alignment horizontal="right" vertical="center"/>
    </xf>
    <xf numFmtId="4" fontId="3" fillId="0" borderId="0" xfId="0" applyNumberFormat="1" applyFont="1" applyFill="1" applyBorder="1" applyAlignment="1" applyProtection="1">
      <alignment horizontal="right" vertical="center"/>
    </xf>
    <xf numFmtId="1" fontId="3" fillId="0" borderId="0" xfId="0" applyNumberFormat="1" applyFont="1" applyFill="1" applyBorder="1" applyAlignment="1" applyProtection="1">
      <alignment horizontal="right" vertical="center"/>
    </xf>
    <xf numFmtId="0" fontId="3" fillId="0" borderId="6"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0" fillId="0" borderId="5"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4" fontId="4" fillId="0" borderId="0" xfId="0" applyNumberFormat="1" applyFont="1" applyFill="1" applyBorder="1" applyAlignment="1" applyProtection="1">
      <alignment horizontal="right" vertical="center"/>
    </xf>
    <xf numFmtId="0" fontId="0" fillId="0" borderId="6" xfId="0" applyNumberFormat="1" applyFont="1" applyFill="1" applyBorder="1" applyAlignment="1" applyProtection="1"/>
    <xf numFmtId="0" fontId="4" fillId="0" borderId="0" xfId="0" applyNumberFormat="1" applyFont="1" applyFill="1" applyBorder="1" applyAlignment="1" applyProtection="1">
      <alignment horizontal="right" vertical="center"/>
    </xf>
    <xf numFmtId="0" fontId="4" fillId="0" borderId="0" xfId="0" applyNumberFormat="1" applyFont="1" applyFill="1" applyBorder="1" applyAlignment="1" applyProtection="1">
      <alignment horizontal="left" vertical="center" wrapText="1"/>
    </xf>
    <xf numFmtId="0" fontId="3" fillId="2" borderId="5"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left" vertical="center"/>
    </xf>
    <xf numFmtId="0" fontId="2" fillId="2" borderId="6" xfId="0" applyNumberFormat="1" applyFont="1" applyFill="1" applyBorder="1" applyAlignment="1" applyProtection="1">
      <alignment horizontal="right" vertical="center"/>
    </xf>
    <xf numFmtId="0" fontId="0" fillId="0" borderId="33" xfId="0" applyNumberFormat="1" applyFont="1" applyFill="1" applyBorder="1" applyAlignment="1" applyProtection="1"/>
    <xf numFmtId="0" fontId="0" fillId="0" borderId="34" xfId="0" applyNumberFormat="1" applyFont="1" applyFill="1" applyBorder="1" applyAlignment="1" applyProtection="1"/>
    <xf numFmtId="0" fontId="4" fillId="0" borderId="34" xfId="0" applyNumberFormat="1" applyFont="1" applyFill="1" applyBorder="1" applyAlignment="1" applyProtection="1">
      <alignment horizontal="left" vertical="center"/>
    </xf>
    <xf numFmtId="4" fontId="4" fillId="0" borderId="34" xfId="0" applyNumberFormat="1" applyFont="1" applyFill="1" applyBorder="1" applyAlignment="1" applyProtection="1">
      <alignment horizontal="right" vertical="center"/>
    </xf>
    <xf numFmtId="0" fontId="0" fillId="0" borderId="35" xfId="0" applyNumberFormat="1" applyFont="1" applyFill="1" applyBorder="1" applyAlignment="1" applyProtection="1"/>
    <xf numFmtId="4" fontId="2" fillId="0" borderId="36" xfId="0" applyNumberFormat="1" applyFont="1" applyFill="1" applyBorder="1" applyAlignment="1" applyProtection="1">
      <alignment horizontal="right" vertical="center"/>
    </xf>
    <xf numFmtId="0" fontId="5" fillId="0" borderId="0" xfId="0" applyNumberFormat="1" applyFont="1" applyFill="1" applyBorder="1" applyAlignment="1" applyProtection="1">
      <alignment horizontal="left" vertical="center"/>
    </xf>
    <xf numFmtId="0" fontId="2" fillId="0" borderId="39" xfId="0" applyNumberFormat="1" applyFont="1" applyFill="1" applyBorder="1" applyAlignment="1" applyProtection="1">
      <alignment horizontal="left" vertical="center"/>
    </xf>
    <xf numFmtId="0" fontId="2" fillId="0" borderId="40" xfId="0" applyNumberFormat="1" applyFont="1" applyFill="1" applyBorder="1" applyAlignment="1" applyProtection="1">
      <alignment horizontal="center" vertical="center"/>
    </xf>
    <xf numFmtId="0" fontId="2" fillId="0" borderId="41" xfId="0" applyNumberFormat="1" applyFont="1" applyFill="1" applyBorder="1" applyAlignment="1" applyProtection="1">
      <alignment horizontal="center" vertical="center"/>
    </xf>
    <xf numFmtId="4" fontId="3" fillId="0" borderId="31"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right" vertical="center"/>
    </xf>
    <xf numFmtId="0" fontId="7" fillId="2" borderId="43" xfId="0" applyNumberFormat="1" applyFont="1" applyFill="1" applyBorder="1" applyAlignment="1" applyProtection="1">
      <alignment horizontal="center" vertical="center"/>
    </xf>
    <xf numFmtId="0" fontId="7" fillId="2" borderId="46" xfId="0" applyNumberFormat="1" applyFont="1" applyFill="1" applyBorder="1" applyAlignment="1" applyProtection="1">
      <alignment horizontal="center" vertical="center"/>
    </xf>
    <xf numFmtId="0" fontId="9" fillId="0" borderId="47" xfId="0" applyNumberFormat="1" applyFont="1" applyFill="1" applyBorder="1" applyAlignment="1" applyProtection="1">
      <alignment horizontal="left" vertical="center"/>
    </xf>
    <xf numFmtId="0" fontId="10" fillId="0" borderId="48" xfId="0" applyNumberFormat="1" applyFont="1" applyFill="1" applyBorder="1" applyAlignment="1" applyProtection="1">
      <alignment horizontal="left" vertical="center"/>
    </xf>
    <xf numFmtId="4" fontId="10" fillId="0" borderId="48" xfId="0" applyNumberFormat="1" applyFont="1" applyFill="1" applyBorder="1" applyAlignment="1" applyProtection="1">
      <alignment horizontal="right" vertical="center"/>
    </xf>
    <xf numFmtId="0" fontId="10" fillId="0" borderId="48" xfId="0" applyNumberFormat="1" applyFont="1" applyFill="1" applyBorder="1" applyAlignment="1" applyProtection="1">
      <alignment horizontal="right" vertical="center"/>
    </xf>
    <xf numFmtId="0" fontId="9" fillId="0" borderId="51" xfId="0" applyNumberFormat="1" applyFont="1" applyFill="1" applyBorder="1" applyAlignment="1" applyProtection="1">
      <alignment horizontal="left" vertical="center"/>
    </xf>
    <xf numFmtId="4" fontId="10" fillId="0" borderId="55" xfId="0" applyNumberFormat="1" applyFont="1" applyFill="1" applyBorder="1" applyAlignment="1" applyProtection="1">
      <alignment horizontal="right" vertical="center"/>
    </xf>
    <xf numFmtId="0" fontId="10" fillId="0" borderId="55" xfId="0" applyNumberFormat="1" applyFont="1" applyFill="1" applyBorder="1" applyAlignment="1" applyProtection="1">
      <alignment horizontal="right" vertical="center"/>
    </xf>
    <xf numFmtId="4" fontId="10" fillId="0" borderId="46" xfId="0" applyNumberFormat="1" applyFont="1" applyFill="1" applyBorder="1" applyAlignment="1" applyProtection="1">
      <alignment horizontal="right" vertical="center"/>
    </xf>
    <xf numFmtId="4" fontId="10" fillId="0" borderId="27" xfId="0" applyNumberFormat="1" applyFont="1" applyFill="1" applyBorder="1" applyAlignment="1" applyProtection="1">
      <alignment horizontal="right" vertical="center"/>
    </xf>
    <xf numFmtId="4" fontId="9" fillId="2" borderId="45" xfId="0" applyNumberFormat="1" applyFont="1" applyFill="1" applyBorder="1" applyAlignment="1" applyProtection="1">
      <alignment horizontal="right" vertical="center"/>
    </xf>
    <xf numFmtId="4" fontId="9" fillId="2" borderId="50" xfId="0" applyNumberFormat="1" applyFont="1" applyFill="1" applyBorder="1" applyAlignment="1" applyProtection="1">
      <alignment horizontal="right" vertical="center"/>
    </xf>
    <xf numFmtId="0" fontId="5" fillId="0" borderId="31" xfId="0" applyNumberFormat="1" applyFont="1" applyFill="1" applyBorder="1" applyAlignment="1" applyProtection="1">
      <alignment horizontal="left" vertical="center"/>
    </xf>
    <xf numFmtId="0" fontId="2" fillId="0" borderId="71" xfId="0" applyNumberFormat="1" applyFont="1" applyFill="1" applyBorder="1" applyAlignment="1" applyProtection="1">
      <alignment horizontal="right" vertical="center"/>
    </xf>
    <xf numFmtId="4" fontId="3" fillId="0" borderId="48" xfId="0" applyNumberFormat="1" applyFont="1" applyFill="1" applyBorder="1" applyAlignment="1" applyProtection="1">
      <alignment horizontal="right" vertical="center"/>
    </xf>
    <xf numFmtId="0" fontId="3" fillId="0" borderId="48" xfId="0" applyNumberFormat="1" applyFont="1" applyFill="1" applyBorder="1" applyAlignment="1" applyProtection="1">
      <alignment horizontal="left" vertical="center"/>
    </xf>
    <xf numFmtId="4" fontId="3" fillId="0" borderId="75" xfId="0" applyNumberFormat="1" applyFont="1" applyFill="1" applyBorder="1" applyAlignment="1" applyProtection="1">
      <alignment horizontal="right" vertical="center"/>
    </xf>
    <xf numFmtId="0" fontId="3" fillId="0" borderId="75" xfId="0" applyNumberFormat="1" applyFont="1" applyFill="1" applyBorder="1" applyAlignment="1" applyProtection="1">
      <alignment horizontal="left" vertical="center"/>
    </xf>
    <xf numFmtId="0" fontId="2" fillId="0" borderId="78" xfId="0" applyNumberFormat="1" applyFont="1" applyFill="1" applyBorder="1" applyAlignment="1" applyProtection="1">
      <alignment horizontal="left" vertical="center"/>
    </xf>
    <xf numFmtId="0" fontId="2" fillId="0" borderId="78" xfId="0" applyNumberFormat="1" applyFont="1" applyFill="1" applyBorder="1" applyAlignment="1" applyProtection="1">
      <alignment horizontal="right" vertical="center"/>
    </xf>
    <xf numFmtId="4" fontId="2" fillId="0" borderId="78"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xf>
    <xf numFmtId="0" fontId="3" fillId="0" borderId="5"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xf>
    <xf numFmtId="0" fontId="3" fillId="0" borderId="5" xfId="0" applyNumberFormat="1" applyFont="1" applyFill="1" applyBorder="1" applyAlignment="1" applyProtection="1">
      <alignment horizontal="left" vertical="center" wrapText="1"/>
    </xf>
    <xf numFmtId="0" fontId="3" fillId="0" borderId="7" xfId="0" applyNumberFormat="1" applyFont="1" applyFill="1" applyBorder="1" applyAlignment="1" applyProtection="1">
      <alignment horizontal="left" vertical="center"/>
    </xf>
    <xf numFmtId="0" fontId="3" fillId="0" borderId="8" xfId="0" applyNumberFormat="1" applyFont="1" applyFill="1" applyBorder="1" applyAlignment="1" applyProtection="1">
      <alignment horizontal="left" vertical="center"/>
    </xf>
    <xf numFmtId="0" fontId="3" fillId="0" borderId="3"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left" vertical="center"/>
    </xf>
    <xf numFmtId="0" fontId="3" fillId="0" borderId="9" xfId="0" applyNumberFormat="1"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xf>
    <xf numFmtId="0" fontId="2" fillId="0" borderId="13" xfId="0" applyNumberFormat="1" applyFont="1" applyFill="1" applyBorder="1" applyAlignment="1" applyProtection="1">
      <alignment horizontal="left" vertical="center"/>
    </xf>
    <xf numFmtId="0" fontId="2" fillId="0" borderId="22" xfId="0" applyNumberFormat="1" applyFont="1" applyFill="1" applyBorder="1" applyAlignment="1" applyProtection="1">
      <alignment horizontal="left" vertical="center"/>
    </xf>
    <xf numFmtId="0" fontId="2" fillId="0" borderId="23" xfId="0" applyNumberFormat="1" applyFont="1" applyFill="1" applyBorder="1" applyAlignment="1" applyProtection="1">
      <alignment horizontal="left" vertical="center"/>
    </xf>
    <xf numFmtId="0" fontId="2" fillId="0" borderId="16"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center" vertical="center"/>
    </xf>
    <xf numFmtId="0" fontId="2" fillId="2" borderId="31" xfId="0" applyNumberFormat="1" applyFont="1" applyFill="1" applyBorder="1" applyAlignment="1" applyProtection="1">
      <alignment horizontal="left" vertical="center" wrapText="1"/>
    </xf>
    <xf numFmtId="0" fontId="2" fillId="2" borderId="31"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xf>
    <xf numFmtId="0" fontId="4" fillId="0" borderId="6" xfId="0" applyNumberFormat="1" applyFont="1" applyFill="1" applyBorder="1" applyAlignment="1" applyProtection="1">
      <alignment horizontal="left" vertical="center"/>
    </xf>
    <xf numFmtId="0" fontId="2" fillId="2"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left" vertical="center"/>
    </xf>
    <xf numFmtId="0" fontId="2" fillId="0" borderId="36" xfId="0" applyNumberFormat="1" applyFont="1" applyFill="1" applyBorder="1" applyAlignment="1" applyProtection="1">
      <alignment horizontal="left" vertical="center"/>
    </xf>
    <xf numFmtId="0" fontId="3" fillId="0" borderId="34"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xf numFmtId="0" fontId="2" fillId="0" borderId="37" xfId="0" applyNumberFormat="1" applyFont="1" applyFill="1" applyBorder="1" applyAlignment="1" applyProtection="1">
      <alignment horizontal="left" vertical="center"/>
    </xf>
    <xf numFmtId="0" fontId="2" fillId="0" borderId="38" xfId="0" applyNumberFormat="1" applyFont="1" applyFill="1" applyBorder="1" applyAlignment="1" applyProtection="1">
      <alignment horizontal="left" vertical="center"/>
    </xf>
    <xf numFmtId="0" fontId="3" fillId="0" borderId="30" xfId="0" applyNumberFormat="1" applyFont="1" applyFill="1" applyBorder="1" applyAlignment="1" applyProtection="1">
      <alignment horizontal="left" vertical="center"/>
    </xf>
    <xf numFmtId="0" fontId="3" fillId="0" borderId="3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center" vertical="center" wrapText="1"/>
    </xf>
    <xf numFmtId="0" fontId="3" fillId="0" borderId="33" xfId="0" applyNumberFormat="1" applyFont="1" applyFill="1" applyBorder="1" applyAlignment="1" applyProtection="1">
      <alignment horizontal="left" vertical="center"/>
    </xf>
    <xf numFmtId="1" fontId="3" fillId="0" borderId="6" xfId="0" applyNumberFormat="1" applyFont="1" applyFill="1" applyBorder="1" applyAlignment="1" applyProtection="1">
      <alignment horizontal="left" vertical="center"/>
    </xf>
    <xf numFmtId="0" fontId="3" fillId="0" borderId="35" xfId="0" applyNumberFormat="1" applyFont="1" applyFill="1" applyBorder="1" applyAlignment="1" applyProtection="1">
      <alignment horizontal="left" vertical="center"/>
    </xf>
    <xf numFmtId="0" fontId="6" fillId="0" borderId="42" xfId="0" applyNumberFormat="1" applyFont="1" applyFill="1" applyBorder="1" applyAlignment="1" applyProtection="1">
      <alignment horizontal="center" vertical="center"/>
    </xf>
    <xf numFmtId="0" fontId="8" fillId="0" borderId="44" xfId="0" applyNumberFormat="1" applyFont="1" applyFill="1" applyBorder="1" applyAlignment="1" applyProtection="1">
      <alignment horizontal="left" vertical="center"/>
    </xf>
    <xf numFmtId="0" fontId="8" fillId="0" borderId="45" xfId="0" applyNumberFormat="1" applyFont="1" applyFill="1" applyBorder="1" applyAlignment="1" applyProtection="1">
      <alignment horizontal="left" vertical="center"/>
    </xf>
    <xf numFmtId="0" fontId="9" fillId="0" borderId="52" xfId="0" applyNumberFormat="1" applyFont="1" applyFill="1" applyBorder="1" applyAlignment="1" applyProtection="1">
      <alignment horizontal="left" vertical="center"/>
    </xf>
    <xf numFmtId="0" fontId="9" fillId="0" borderId="50" xfId="0" applyNumberFormat="1" applyFont="1" applyFill="1" applyBorder="1" applyAlignment="1" applyProtection="1">
      <alignment horizontal="left" vertical="center"/>
    </xf>
    <xf numFmtId="0" fontId="9" fillId="0" borderId="53" xfId="0" applyNumberFormat="1" applyFont="1" applyFill="1" applyBorder="1" applyAlignment="1" applyProtection="1">
      <alignment horizontal="left" vertical="center"/>
    </xf>
    <xf numFmtId="0" fontId="9" fillId="0" borderId="54" xfId="0" applyNumberFormat="1" applyFont="1" applyFill="1" applyBorder="1" applyAlignment="1" applyProtection="1">
      <alignment horizontal="left" vertical="center"/>
    </xf>
    <xf numFmtId="0" fontId="9" fillId="0" borderId="57" xfId="0" applyNumberFormat="1" applyFont="1" applyFill="1" applyBorder="1" applyAlignment="1" applyProtection="1">
      <alignment horizontal="left" vertical="center"/>
    </xf>
    <xf numFmtId="0" fontId="9" fillId="0" borderId="45" xfId="0" applyNumberFormat="1" applyFont="1" applyFill="1" applyBorder="1" applyAlignment="1" applyProtection="1">
      <alignment horizontal="left" vertical="center"/>
    </xf>
    <xf numFmtId="0" fontId="10" fillId="0" borderId="49" xfId="0" applyNumberFormat="1" applyFont="1" applyFill="1" applyBorder="1" applyAlignment="1" applyProtection="1">
      <alignment horizontal="left" vertical="center"/>
    </xf>
    <xf numFmtId="0" fontId="10" fillId="0" borderId="50" xfId="0" applyNumberFormat="1" applyFont="1" applyFill="1" applyBorder="1" applyAlignment="1" applyProtection="1">
      <alignment horizontal="left" vertical="center"/>
    </xf>
    <xf numFmtId="0" fontId="10" fillId="0" borderId="56" xfId="0" applyNumberFormat="1" applyFont="1" applyFill="1" applyBorder="1" applyAlignment="1" applyProtection="1">
      <alignment horizontal="left" vertical="center"/>
    </xf>
    <xf numFmtId="0" fontId="10" fillId="0" borderId="54" xfId="0" applyNumberFormat="1" applyFont="1" applyFill="1" applyBorder="1" applyAlignment="1" applyProtection="1">
      <alignment horizontal="left" vertical="center"/>
    </xf>
    <xf numFmtId="0" fontId="9" fillId="0" borderId="44" xfId="0" applyNumberFormat="1" applyFont="1" applyFill="1" applyBorder="1" applyAlignment="1" applyProtection="1">
      <alignment horizontal="left" vertical="center"/>
    </xf>
    <xf numFmtId="0" fontId="9" fillId="0" borderId="49" xfId="0" applyNumberFormat="1" applyFont="1" applyFill="1" applyBorder="1" applyAlignment="1" applyProtection="1">
      <alignment horizontal="left" vertical="center"/>
    </xf>
    <xf numFmtId="0" fontId="9" fillId="2" borderId="57" xfId="0" applyNumberFormat="1" applyFont="1" applyFill="1" applyBorder="1" applyAlignment="1" applyProtection="1">
      <alignment horizontal="left" vertical="center"/>
    </xf>
    <xf numFmtId="0" fontId="9" fillId="2" borderId="58" xfId="0" applyNumberFormat="1" applyFont="1" applyFill="1" applyBorder="1" applyAlignment="1" applyProtection="1">
      <alignment horizontal="left" vertical="center"/>
    </xf>
    <xf numFmtId="0" fontId="9" fillId="2" borderId="52" xfId="0" applyNumberFormat="1" applyFont="1" applyFill="1" applyBorder="1" applyAlignment="1" applyProtection="1">
      <alignment horizontal="left" vertical="center"/>
    </xf>
    <xf numFmtId="0" fontId="9" fillId="2" borderId="59" xfId="0" applyNumberFormat="1" applyFont="1" applyFill="1" applyBorder="1" applyAlignment="1" applyProtection="1">
      <alignment horizontal="left" vertical="center"/>
    </xf>
    <xf numFmtId="0" fontId="9" fillId="2" borderId="44" xfId="0" applyNumberFormat="1" applyFont="1" applyFill="1" applyBorder="1" applyAlignment="1" applyProtection="1">
      <alignment horizontal="left" vertical="center"/>
    </xf>
    <xf numFmtId="0" fontId="9" fillId="2" borderId="49" xfId="0" applyNumberFormat="1" applyFont="1" applyFill="1" applyBorder="1" applyAlignment="1" applyProtection="1">
      <alignment horizontal="left" vertical="center"/>
    </xf>
    <xf numFmtId="0" fontId="10" fillId="0" borderId="60" xfId="0" applyNumberFormat="1" applyFont="1" applyFill="1" applyBorder="1" applyAlignment="1" applyProtection="1">
      <alignment horizontal="left" vertical="center"/>
    </xf>
    <xf numFmtId="0" fontId="10" fillId="0" borderId="61" xfId="0" applyNumberFormat="1" applyFont="1" applyFill="1" applyBorder="1" applyAlignment="1" applyProtection="1">
      <alignment horizontal="left" vertical="center"/>
    </xf>
    <xf numFmtId="0" fontId="10" fillId="0" borderId="62" xfId="0" applyNumberFormat="1" applyFont="1" applyFill="1" applyBorder="1" applyAlignment="1" applyProtection="1">
      <alignment horizontal="left" vertical="center"/>
    </xf>
    <xf numFmtId="0" fontId="10" fillId="0" borderId="64"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left" vertical="center"/>
    </xf>
    <xf numFmtId="0" fontId="10" fillId="0" borderId="65" xfId="0" applyNumberFormat="1" applyFont="1" applyFill="1" applyBorder="1" applyAlignment="1" applyProtection="1">
      <alignment horizontal="left" vertical="center"/>
    </xf>
    <xf numFmtId="0" fontId="10" fillId="0" borderId="67" xfId="0" applyNumberFormat="1" applyFont="1" applyFill="1" applyBorder="1" applyAlignment="1" applyProtection="1">
      <alignment horizontal="left" vertical="center"/>
    </xf>
    <xf numFmtId="0" fontId="10" fillId="0" borderId="68" xfId="0" applyNumberFormat="1" applyFont="1" applyFill="1" applyBorder="1" applyAlignment="1" applyProtection="1">
      <alignment horizontal="left" vertical="center"/>
    </xf>
    <xf numFmtId="0" fontId="10" fillId="0" borderId="69" xfId="0" applyNumberFormat="1" applyFont="1" applyFill="1" applyBorder="1" applyAlignment="1" applyProtection="1">
      <alignment horizontal="left" vertical="center"/>
    </xf>
    <xf numFmtId="0" fontId="10" fillId="0" borderId="63" xfId="0" applyNumberFormat="1" applyFont="1" applyFill="1" applyBorder="1" applyAlignment="1" applyProtection="1">
      <alignment horizontal="left" vertical="center"/>
    </xf>
    <xf numFmtId="0" fontId="10" fillId="0" borderId="66" xfId="0" applyNumberFormat="1" applyFont="1" applyFill="1" applyBorder="1" applyAlignment="1" applyProtection="1">
      <alignment horizontal="left" vertical="center"/>
    </xf>
    <xf numFmtId="0" fontId="10" fillId="0" borderId="70" xfId="0" applyNumberFormat="1" applyFont="1" applyFill="1" applyBorder="1" applyAlignment="1" applyProtection="1">
      <alignment horizontal="left" vertical="center"/>
    </xf>
    <xf numFmtId="0" fontId="9" fillId="0" borderId="8" xfId="0" applyNumberFormat="1" applyFont="1" applyFill="1" applyBorder="1" applyAlignment="1" applyProtection="1">
      <alignment horizontal="left" vertical="center"/>
    </xf>
    <xf numFmtId="0" fontId="2" fillId="0" borderId="16" xfId="0" applyNumberFormat="1" applyFont="1" applyFill="1" applyBorder="1" applyAlignment="1" applyProtection="1">
      <alignment horizontal="left" vertical="center"/>
    </xf>
    <xf numFmtId="0" fontId="2" fillId="0" borderId="17" xfId="0" applyNumberFormat="1" applyFont="1" applyFill="1" applyBorder="1" applyAlignment="1" applyProtection="1">
      <alignment horizontal="left" vertical="center"/>
    </xf>
    <xf numFmtId="0" fontId="2" fillId="0" borderId="18" xfId="0" applyNumberFormat="1" applyFont="1" applyFill="1" applyBorder="1" applyAlignment="1" applyProtection="1">
      <alignment horizontal="left" vertical="center"/>
    </xf>
    <xf numFmtId="0" fontId="3" fillId="0" borderId="52" xfId="0" applyNumberFormat="1" applyFont="1" applyFill="1" applyBorder="1" applyAlignment="1" applyProtection="1">
      <alignment horizontal="left" vertical="center"/>
    </xf>
    <xf numFmtId="0" fontId="3" fillId="0" borderId="59" xfId="0" applyNumberFormat="1" applyFont="1" applyFill="1" applyBorder="1" applyAlignment="1" applyProtection="1">
      <alignment horizontal="left" vertical="center"/>
    </xf>
    <xf numFmtId="0" fontId="3" fillId="0" borderId="50" xfId="0" applyNumberFormat="1" applyFont="1" applyFill="1" applyBorder="1" applyAlignment="1" applyProtection="1">
      <alignment horizontal="left" vertical="center"/>
    </xf>
    <xf numFmtId="0" fontId="3" fillId="0" borderId="72" xfId="0" applyNumberFormat="1" applyFont="1" applyFill="1" applyBorder="1" applyAlignment="1" applyProtection="1">
      <alignment horizontal="left" vertical="center"/>
    </xf>
    <xf numFmtId="0" fontId="3" fillId="0" borderId="73" xfId="0" applyNumberFormat="1" applyFont="1" applyFill="1" applyBorder="1" applyAlignment="1" applyProtection="1">
      <alignment horizontal="left" vertical="center"/>
    </xf>
    <xf numFmtId="0" fontId="3" fillId="0" borderId="74" xfId="0" applyNumberFormat="1" applyFont="1" applyFill="1" applyBorder="1" applyAlignment="1" applyProtection="1">
      <alignment horizontal="left" vertical="center"/>
    </xf>
    <xf numFmtId="0" fontId="2" fillId="0" borderId="76" xfId="0" applyNumberFormat="1" applyFont="1" applyFill="1" applyBorder="1" applyAlignment="1" applyProtection="1">
      <alignment horizontal="left" vertical="center"/>
    </xf>
    <xf numFmtId="0" fontId="2" fillId="0" borderId="77" xfId="0" applyNumberFormat="1" applyFont="1" applyFill="1" applyBorder="1" applyAlignment="1" applyProtection="1">
      <alignment horizontal="left" vertical="center"/>
    </xf>
    <xf numFmtId="0" fontId="9" fillId="0" borderId="37" xfId="0" applyNumberFormat="1" applyFont="1" applyFill="1" applyBorder="1" applyAlignment="1" applyProtection="1">
      <alignment horizontal="left" vertical="center"/>
    </xf>
    <xf numFmtId="0" fontId="9" fillId="0" borderId="76" xfId="0" applyNumberFormat="1" applyFont="1" applyFill="1" applyBorder="1" applyAlignment="1" applyProtection="1">
      <alignment horizontal="left" vertical="center"/>
    </xf>
    <xf numFmtId="0" fontId="9" fillId="0" borderId="77" xfId="0" applyNumberFormat="1" applyFont="1" applyFill="1" applyBorder="1" applyAlignment="1" applyProtection="1">
      <alignment horizontal="left" vertical="center"/>
    </xf>
    <xf numFmtId="4" fontId="9" fillId="0" borderId="79" xfId="0" applyNumberFormat="1" applyFont="1" applyFill="1" applyBorder="1" applyAlignment="1" applyProtection="1">
      <alignment horizontal="right" vertical="center"/>
    </xf>
    <xf numFmtId="0" fontId="9" fillId="0" borderId="76" xfId="0" applyNumberFormat="1" applyFont="1" applyFill="1" applyBorder="1" applyAlignment="1" applyProtection="1">
      <alignment horizontal="right" vertical="center"/>
    </xf>
    <xf numFmtId="0" fontId="9" fillId="0" borderId="77" xfId="0" applyNumberFormat="1" applyFont="1" applyFill="1" applyBorder="1" applyAlignment="1" applyProtection="1">
      <alignment horizontal="righ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1"/>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666750" cy="666750"/>
    <xdr:pic>
      <xdr:nvPicPr>
        <xdr:cNvPr id="2" name="Obrázek 1"/>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666750" cy="666750"/>
    <xdr:pic>
      <xdr:nvPicPr>
        <xdr:cNvPr id="2" name="Obrázek 1"/>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666750" cy="666750"/>
    <xdr:pic>
      <xdr:nvPicPr>
        <xdr:cNvPr id="2" name="Obrázek 1"/>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416"/>
  <sheetViews>
    <sheetView tabSelected="1" workbookViewId="0">
      <pane ySplit="11" topLeftCell="A12" activePane="bottomLeft" state="frozen"/>
      <selection pane="bottomLeft" activeCell="A416" sqref="A416:L416"/>
    </sheetView>
  </sheetViews>
  <sheetFormatPr defaultColWidth="12.140625" defaultRowHeight="15" customHeight="1" x14ac:dyDescent="0.25"/>
  <cols>
    <col min="1" max="1" width="4" customWidth="1"/>
    <col min="2" max="2" width="17.85546875" customWidth="1"/>
    <col min="3" max="3" width="28.85546875" customWidth="1"/>
    <col min="4" max="4" width="35.7109375" customWidth="1"/>
    <col min="5" max="5" width="6.7109375" customWidth="1"/>
    <col min="6" max="6" width="12.85546875" customWidth="1"/>
    <col min="7" max="7" width="12" customWidth="1"/>
    <col min="8" max="8" width="11.140625" customWidth="1"/>
    <col min="9" max="11" width="15.7109375" customWidth="1"/>
    <col min="12" max="12" width="13.42578125" customWidth="1"/>
    <col min="25" max="75" width="12.140625" hidden="1"/>
    <col min="76" max="76" width="64.5703125" hidden="1" customWidth="1"/>
    <col min="77" max="78" width="12.140625" hidden="1"/>
  </cols>
  <sheetData>
    <row r="1" spans="1:76" ht="54.75" customHeight="1" x14ac:dyDescent="0.25">
      <c r="A1" s="75" t="s">
        <v>0</v>
      </c>
      <c r="B1" s="75"/>
      <c r="C1" s="75"/>
      <c r="D1" s="75"/>
      <c r="E1" s="75"/>
      <c r="F1" s="75"/>
      <c r="G1" s="75"/>
      <c r="H1" s="75"/>
      <c r="I1" s="75"/>
      <c r="J1" s="75"/>
      <c r="K1" s="75"/>
      <c r="L1" s="75"/>
      <c r="AS1" s="1">
        <f>SUM(AJ1:AJ2)</f>
        <v>0</v>
      </c>
      <c r="AT1" s="1">
        <f>SUM(AK1:AK2)</f>
        <v>0</v>
      </c>
      <c r="AU1" s="1">
        <f>SUM(AL1:AL2)</f>
        <v>0</v>
      </c>
    </row>
    <row r="2" spans="1:76" x14ac:dyDescent="0.25">
      <c r="A2" s="76" t="s">
        <v>1</v>
      </c>
      <c r="B2" s="77"/>
      <c r="C2" s="85" t="s">
        <v>2</v>
      </c>
      <c r="D2" s="86"/>
      <c r="E2" s="77" t="s">
        <v>3</v>
      </c>
      <c r="F2" s="77"/>
      <c r="G2" s="77" t="s">
        <v>4</v>
      </c>
      <c r="H2" s="83" t="s">
        <v>5</v>
      </c>
      <c r="I2" s="83" t="s">
        <v>6</v>
      </c>
      <c r="J2" s="77"/>
      <c r="K2" s="77"/>
      <c r="L2" s="88"/>
    </row>
    <row r="3" spans="1:76" x14ac:dyDescent="0.25">
      <c r="A3" s="78"/>
      <c r="B3" s="79"/>
      <c r="C3" s="87"/>
      <c r="D3" s="87"/>
      <c r="E3" s="79"/>
      <c r="F3" s="79"/>
      <c r="G3" s="79"/>
      <c r="H3" s="79"/>
      <c r="I3" s="79"/>
      <c r="J3" s="79"/>
      <c r="K3" s="79"/>
      <c r="L3" s="89"/>
    </row>
    <row r="4" spans="1:76" x14ac:dyDescent="0.25">
      <c r="A4" s="80" t="s">
        <v>7</v>
      </c>
      <c r="B4" s="79"/>
      <c r="C4" s="84" t="s">
        <v>8</v>
      </c>
      <c r="D4" s="79"/>
      <c r="E4" s="79" t="s">
        <v>9</v>
      </c>
      <c r="F4" s="79"/>
      <c r="G4" s="79" t="s">
        <v>4</v>
      </c>
      <c r="H4" s="84" t="s">
        <v>10</v>
      </c>
      <c r="I4" s="84" t="s">
        <v>11</v>
      </c>
      <c r="J4" s="79"/>
      <c r="K4" s="79"/>
      <c r="L4" s="89"/>
    </row>
    <row r="5" spans="1:76" x14ac:dyDescent="0.25">
      <c r="A5" s="78"/>
      <c r="B5" s="79"/>
      <c r="C5" s="79"/>
      <c r="D5" s="79"/>
      <c r="E5" s="79"/>
      <c r="F5" s="79"/>
      <c r="G5" s="79"/>
      <c r="H5" s="79"/>
      <c r="I5" s="79"/>
      <c r="J5" s="79"/>
      <c r="K5" s="79"/>
      <c r="L5" s="89"/>
    </row>
    <row r="6" spans="1:76" x14ac:dyDescent="0.25">
      <c r="A6" s="80" t="s">
        <v>12</v>
      </c>
      <c r="B6" s="79"/>
      <c r="C6" s="84" t="s">
        <v>13</v>
      </c>
      <c r="D6" s="79"/>
      <c r="E6" s="79" t="s">
        <v>14</v>
      </c>
      <c r="F6" s="79"/>
      <c r="G6" s="79" t="s">
        <v>4</v>
      </c>
      <c r="H6" s="84" t="s">
        <v>15</v>
      </c>
      <c r="I6" s="84" t="s">
        <v>16</v>
      </c>
      <c r="J6" s="79"/>
      <c r="K6" s="79"/>
      <c r="L6" s="89"/>
    </row>
    <row r="7" spans="1:76" x14ac:dyDescent="0.25">
      <c r="A7" s="78"/>
      <c r="B7" s="79"/>
      <c r="C7" s="79"/>
      <c r="D7" s="79"/>
      <c r="E7" s="79"/>
      <c r="F7" s="79"/>
      <c r="G7" s="79"/>
      <c r="H7" s="79"/>
      <c r="I7" s="79"/>
      <c r="J7" s="79"/>
      <c r="K7" s="79"/>
      <c r="L7" s="89"/>
    </row>
    <row r="8" spans="1:76" x14ac:dyDescent="0.25">
      <c r="A8" s="80" t="s">
        <v>17</v>
      </c>
      <c r="B8" s="79"/>
      <c r="C8" s="84" t="s">
        <v>4</v>
      </c>
      <c r="D8" s="79"/>
      <c r="E8" s="79" t="s">
        <v>18</v>
      </c>
      <c r="F8" s="79"/>
      <c r="G8" s="79" t="s">
        <v>19</v>
      </c>
      <c r="H8" s="84" t="s">
        <v>20</v>
      </c>
      <c r="I8" s="84" t="s">
        <v>21</v>
      </c>
      <c r="J8" s="79"/>
      <c r="K8" s="79"/>
      <c r="L8" s="89"/>
    </row>
    <row r="9" spans="1:76" x14ac:dyDescent="0.25">
      <c r="A9" s="81"/>
      <c r="B9" s="82"/>
      <c r="C9" s="82"/>
      <c r="D9" s="82"/>
      <c r="E9" s="82"/>
      <c r="F9" s="82"/>
      <c r="G9" s="82"/>
      <c r="H9" s="82"/>
      <c r="I9" s="82"/>
      <c r="J9" s="82"/>
      <c r="K9" s="82"/>
      <c r="L9" s="90"/>
    </row>
    <row r="10" spans="1:76" x14ac:dyDescent="0.25">
      <c r="A10" s="6" t="s">
        <v>22</v>
      </c>
      <c r="B10" s="7" t="s">
        <v>23</v>
      </c>
      <c r="C10" s="91" t="s">
        <v>24</v>
      </c>
      <c r="D10" s="92"/>
      <c r="E10" s="7" t="s">
        <v>25</v>
      </c>
      <c r="F10" s="8" t="s">
        <v>26</v>
      </c>
      <c r="G10" s="9" t="s">
        <v>27</v>
      </c>
      <c r="H10" s="10" t="s">
        <v>28</v>
      </c>
      <c r="I10" s="95" t="s">
        <v>29</v>
      </c>
      <c r="J10" s="96"/>
      <c r="K10" s="97"/>
      <c r="L10" s="11" t="s">
        <v>30</v>
      </c>
      <c r="BK10" s="12" t="s">
        <v>31</v>
      </c>
      <c r="BL10" s="13" t="s">
        <v>32</v>
      </c>
      <c r="BW10" s="13" t="s">
        <v>33</v>
      </c>
    </row>
    <row r="11" spans="1:76" x14ac:dyDescent="0.25">
      <c r="A11" s="14" t="s">
        <v>4</v>
      </c>
      <c r="B11" s="15" t="s">
        <v>4</v>
      </c>
      <c r="C11" s="93" t="s">
        <v>34</v>
      </c>
      <c r="D11" s="94"/>
      <c r="E11" s="15" t="s">
        <v>4</v>
      </c>
      <c r="F11" s="15" t="s">
        <v>4</v>
      </c>
      <c r="G11" s="16" t="s">
        <v>35</v>
      </c>
      <c r="H11" s="17" t="s">
        <v>4</v>
      </c>
      <c r="I11" s="18" t="s">
        <v>36</v>
      </c>
      <c r="J11" s="19" t="s">
        <v>37</v>
      </c>
      <c r="K11" s="20" t="s">
        <v>38</v>
      </c>
      <c r="L11" s="21" t="s">
        <v>39</v>
      </c>
      <c r="Z11" s="12" t="s">
        <v>40</v>
      </c>
      <c r="AA11" s="12" t="s">
        <v>41</v>
      </c>
      <c r="AB11" s="12" t="s">
        <v>42</v>
      </c>
      <c r="AC11" s="12" t="s">
        <v>43</v>
      </c>
      <c r="AD11" s="12" t="s">
        <v>44</v>
      </c>
      <c r="AE11" s="12" t="s">
        <v>45</v>
      </c>
      <c r="AF11" s="12" t="s">
        <v>46</v>
      </c>
      <c r="AG11" s="12" t="s">
        <v>47</v>
      </c>
      <c r="AH11" s="12" t="s">
        <v>48</v>
      </c>
      <c r="BH11" s="12" t="s">
        <v>49</v>
      </c>
      <c r="BI11" s="12" t="s">
        <v>50</v>
      </c>
      <c r="BJ11" s="12" t="s">
        <v>51</v>
      </c>
    </row>
    <row r="12" spans="1:76" x14ac:dyDescent="0.25">
      <c r="A12" s="22" t="s">
        <v>52</v>
      </c>
      <c r="B12" s="23" t="s">
        <v>53</v>
      </c>
      <c r="C12" s="98" t="s">
        <v>54</v>
      </c>
      <c r="D12" s="99"/>
      <c r="E12" s="24" t="s">
        <v>4</v>
      </c>
      <c r="F12" s="24" t="s">
        <v>4</v>
      </c>
      <c r="G12" s="24" t="s">
        <v>4</v>
      </c>
      <c r="H12" s="24" t="s">
        <v>4</v>
      </c>
      <c r="I12" s="25">
        <f>SUM(I13:I15)</f>
        <v>0</v>
      </c>
      <c r="J12" s="25">
        <f>SUM(J13:J15)</f>
        <v>0</v>
      </c>
      <c r="K12" s="25">
        <f>SUM(K13:K15)</f>
        <v>0</v>
      </c>
      <c r="L12" s="26" t="s">
        <v>52</v>
      </c>
      <c r="AI12" s="12" t="s">
        <v>52</v>
      </c>
      <c r="AS12" s="1">
        <f>SUM(AJ13:AJ15)</f>
        <v>0</v>
      </c>
      <c r="AT12" s="1">
        <f>SUM(AK13:AK15)</f>
        <v>0</v>
      </c>
      <c r="AU12" s="1">
        <f>SUM(AL13:AL15)</f>
        <v>0</v>
      </c>
    </row>
    <row r="13" spans="1:76" x14ac:dyDescent="0.25">
      <c r="A13" s="2" t="s">
        <v>55</v>
      </c>
      <c r="B13" s="3" t="s">
        <v>56</v>
      </c>
      <c r="C13" s="84" t="s">
        <v>57</v>
      </c>
      <c r="D13" s="79"/>
      <c r="E13" s="3" t="s">
        <v>58</v>
      </c>
      <c r="F13" s="27">
        <v>0.57094</v>
      </c>
      <c r="G13" s="27">
        <v>0</v>
      </c>
      <c r="H13" s="28">
        <v>12</v>
      </c>
      <c r="I13" s="27">
        <f>ROUND(F13*AO13,2)</f>
        <v>0</v>
      </c>
      <c r="J13" s="27">
        <f>ROUND(F13*AP13,2)</f>
        <v>0</v>
      </c>
      <c r="K13" s="27">
        <f>ROUND(F13*G13,2)</f>
        <v>0</v>
      </c>
      <c r="L13" s="29" t="s">
        <v>59</v>
      </c>
      <c r="Z13" s="27">
        <f>ROUND(IF(AQ13="5",BJ13,0),2)</f>
        <v>0</v>
      </c>
      <c r="AB13" s="27">
        <f>ROUND(IF(AQ13="1",BH13,0),2)</f>
        <v>0</v>
      </c>
      <c r="AC13" s="27">
        <f>ROUND(IF(AQ13="1",BI13,0),2)</f>
        <v>0</v>
      </c>
      <c r="AD13" s="27">
        <f>ROUND(IF(AQ13="7",BH13,0),2)</f>
        <v>0</v>
      </c>
      <c r="AE13" s="27">
        <f>ROUND(IF(AQ13="7",BI13,0),2)</f>
        <v>0</v>
      </c>
      <c r="AF13" s="27">
        <f>ROUND(IF(AQ13="2",BH13,0),2)</f>
        <v>0</v>
      </c>
      <c r="AG13" s="27">
        <f>ROUND(IF(AQ13="2",BI13,0),2)</f>
        <v>0</v>
      </c>
      <c r="AH13" s="27">
        <f>ROUND(IF(AQ13="0",BJ13,0),2)</f>
        <v>0</v>
      </c>
      <c r="AI13" s="12" t="s">
        <v>52</v>
      </c>
      <c r="AJ13" s="27">
        <f>IF(AN13=0,K13,0)</f>
        <v>0</v>
      </c>
      <c r="AK13" s="27">
        <f>IF(AN13=12,K13,0)</f>
        <v>0</v>
      </c>
      <c r="AL13" s="27">
        <f>IF(AN13=21,K13,0)</f>
        <v>0</v>
      </c>
      <c r="AN13" s="27">
        <v>12</v>
      </c>
      <c r="AO13" s="27">
        <f>G13*0.577828557</f>
        <v>0</v>
      </c>
      <c r="AP13" s="27">
        <f>G13*(1-0.577828557)</f>
        <v>0</v>
      </c>
      <c r="AQ13" s="30" t="s">
        <v>55</v>
      </c>
      <c r="AV13" s="27">
        <f>ROUND(AW13+AX13,2)</f>
        <v>0</v>
      </c>
      <c r="AW13" s="27">
        <f>ROUND(F13*AO13,2)</f>
        <v>0</v>
      </c>
      <c r="AX13" s="27">
        <f>ROUND(F13*AP13,2)</f>
        <v>0</v>
      </c>
      <c r="AY13" s="30" t="s">
        <v>60</v>
      </c>
      <c r="AZ13" s="30" t="s">
        <v>61</v>
      </c>
      <c r="BA13" s="12" t="s">
        <v>62</v>
      </c>
      <c r="BC13" s="27">
        <f>AW13+AX13</f>
        <v>0</v>
      </c>
      <c r="BD13" s="27">
        <f>G13/(100-BE13)*100</f>
        <v>0</v>
      </c>
      <c r="BE13" s="27">
        <v>0</v>
      </c>
      <c r="BF13" s="27">
        <f>13</f>
        <v>13</v>
      </c>
      <c r="BH13" s="27">
        <f>F13*AO13</f>
        <v>0</v>
      </c>
      <c r="BI13" s="27">
        <f>F13*AP13</f>
        <v>0</v>
      </c>
      <c r="BJ13" s="27">
        <f>F13*G13</f>
        <v>0</v>
      </c>
      <c r="BK13" s="30" t="s">
        <v>63</v>
      </c>
      <c r="BL13" s="27">
        <v>31</v>
      </c>
      <c r="BW13" s="27">
        <f>H13</f>
        <v>12</v>
      </c>
      <c r="BX13" s="5" t="s">
        <v>57</v>
      </c>
    </row>
    <row r="14" spans="1:76" x14ac:dyDescent="0.25">
      <c r="A14" s="31"/>
      <c r="C14" s="32" t="s">
        <v>64</v>
      </c>
      <c r="D14" s="32" t="s">
        <v>65</v>
      </c>
      <c r="F14" s="33">
        <v>0.57094</v>
      </c>
      <c r="L14" s="34"/>
    </row>
    <row r="15" spans="1:76" x14ac:dyDescent="0.25">
      <c r="A15" s="2" t="s">
        <v>66</v>
      </c>
      <c r="B15" s="3" t="s">
        <v>67</v>
      </c>
      <c r="C15" s="84" t="s">
        <v>68</v>
      </c>
      <c r="D15" s="79"/>
      <c r="E15" s="3" t="s">
        <v>69</v>
      </c>
      <c r="F15" s="27">
        <v>2</v>
      </c>
      <c r="G15" s="27">
        <v>0</v>
      </c>
      <c r="H15" s="28">
        <v>12</v>
      </c>
      <c r="I15" s="27">
        <f>ROUND(F15*AO15,2)</f>
        <v>0</v>
      </c>
      <c r="J15" s="27">
        <f>ROUND(F15*AP15,2)</f>
        <v>0</v>
      </c>
      <c r="K15" s="27">
        <f>ROUND(F15*G15,2)</f>
        <v>0</v>
      </c>
      <c r="L15" s="29" t="s">
        <v>59</v>
      </c>
      <c r="Z15" s="27">
        <f>ROUND(IF(AQ15="5",BJ15,0),2)</f>
        <v>0</v>
      </c>
      <c r="AB15" s="27">
        <f>ROUND(IF(AQ15="1",BH15,0),2)</f>
        <v>0</v>
      </c>
      <c r="AC15" s="27">
        <f>ROUND(IF(AQ15="1",BI15,0),2)</f>
        <v>0</v>
      </c>
      <c r="AD15" s="27">
        <f>ROUND(IF(AQ15="7",BH15,0),2)</f>
        <v>0</v>
      </c>
      <c r="AE15" s="27">
        <f>ROUND(IF(AQ15="7",BI15,0),2)</f>
        <v>0</v>
      </c>
      <c r="AF15" s="27">
        <f>ROUND(IF(AQ15="2",BH15,0),2)</f>
        <v>0</v>
      </c>
      <c r="AG15" s="27">
        <f>ROUND(IF(AQ15="2",BI15,0),2)</f>
        <v>0</v>
      </c>
      <c r="AH15" s="27">
        <f>ROUND(IF(AQ15="0",BJ15,0),2)</f>
        <v>0</v>
      </c>
      <c r="AI15" s="12" t="s">
        <v>52</v>
      </c>
      <c r="AJ15" s="27">
        <f>IF(AN15=0,K15,0)</f>
        <v>0</v>
      </c>
      <c r="AK15" s="27">
        <f>IF(AN15=12,K15,0)</f>
        <v>0</v>
      </c>
      <c r="AL15" s="27">
        <f>IF(AN15=21,K15,0)</f>
        <v>0</v>
      </c>
      <c r="AN15" s="27">
        <v>12</v>
      </c>
      <c r="AO15" s="27">
        <f>G15*0</f>
        <v>0</v>
      </c>
      <c r="AP15" s="27">
        <f>G15*(1-0)</f>
        <v>0</v>
      </c>
      <c r="AQ15" s="30" t="s">
        <v>55</v>
      </c>
      <c r="AV15" s="27">
        <f>ROUND(AW15+AX15,2)</f>
        <v>0</v>
      </c>
      <c r="AW15" s="27">
        <f>ROUND(F15*AO15,2)</f>
        <v>0</v>
      </c>
      <c r="AX15" s="27">
        <f>ROUND(F15*AP15,2)</f>
        <v>0</v>
      </c>
      <c r="AY15" s="30" t="s">
        <v>60</v>
      </c>
      <c r="AZ15" s="30" t="s">
        <v>61</v>
      </c>
      <c r="BA15" s="12" t="s">
        <v>62</v>
      </c>
      <c r="BC15" s="27">
        <f>AW15+AX15</f>
        <v>0</v>
      </c>
      <c r="BD15" s="27">
        <f>G15/(100-BE15)*100</f>
        <v>0</v>
      </c>
      <c r="BE15" s="27">
        <v>0</v>
      </c>
      <c r="BF15" s="27">
        <f>15</f>
        <v>15</v>
      </c>
      <c r="BH15" s="27">
        <f>F15*AO15</f>
        <v>0</v>
      </c>
      <c r="BI15" s="27">
        <f>F15*AP15</f>
        <v>0</v>
      </c>
      <c r="BJ15" s="27">
        <f>F15*G15</f>
        <v>0</v>
      </c>
      <c r="BK15" s="30" t="s">
        <v>63</v>
      </c>
      <c r="BL15" s="27">
        <v>31</v>
      </c>
      <c r="BW15" s="27">
        <f>H15</f>
        <v>12</v>
      </c>
      <c r="BX15" s="5" t="s">
        <v>68</v>
      </c>
    </row>
    <row r="16" spans="1:76" x14ac:dyDescent="0.25">
      <c r="A16" s="31"/>
      <c r="C16" s="32" t="s">
        <v>66</v>
      </c>
      <c r="D16" s="32" t="s">
        <v>70</v>
      </c>
      <c r="F16" s="33">
        <v>2</v>
      </c>
      <c r="L16" s="34"/>
    </row>
    <row r="17" spans="1:76" x14ac:dyDescent="0.25">
      <c r="A17" s="31"/>
      <c r="B17" s="35" t="s">
        <v>71</v>
      </c>
      <c r="C17" s="100" t="s">
        <v>72</v>
      </c>
      <c r="D17" s="101"/>
      <c r="E17" s="101"/>
      <c r="F17" s="101"/>
      <c r="G17" s="101"/>
      <c r="H17" s="101"/>
      <c r="I17" s="101"/>
      <c r="J17" s="101"/>
      <c r="K17" s="101"/>
      <c r="L17" s="102"/>
      <c r="BX17" s="36" t="s">
        <v>72</v>
      </c>
    </row>
    <row r="18" spans="1:76" x14ac:dyDescent="0.25">
      <c r="A18" s="37" t="s">
        <v>52</v>
      </c>
      <c r="B18" s="38" t="s">
        <v>73</v>
      </c>
      <c r="C18" s="103" t="s">
        <v>74</v>
      </c>
      <c r="D18" s="104"/>
      <c r="E18" s="39" t="s">
        <v>4</v>
      </c>
      <c r="F18" s="39" t="s">
        <v>4</v>
      </c>
      <c r="G18" s="39" t="s">
        <v>4</v>
      </c>
      <c r="H18" s="39" t="s">
        <v>4</v>
      </c>
      <c r="I18" s="1">
        <f>SUM(I19:I19)</f>
        <v>0</v>
      </c>
      <c r="J18" s="1">
        <f>SUM(J19:J19)</f>
        <v>0</v>
      </c>
      <c r="K18" s="1">
        <f>SUM(K19:K19)</f>
        <v>0</v>
      </c>
      <c r="L18" s="40" t="s">
        <v>52</v>
      </c>
      <c r="AI18" s="12" t="s">
        <v>52</v>
      </c>
      <c r="AS18" s="1">
        <f>SUM(AJ19:AJ19)</f>
        <v>0</v>
      </c>
      <c r="AT18" s="1">
        <f>SUM(AK19:AK19)</f>
        <v>0</v>
      </c>
      <c r="AU18" s="1">
        <f>SUM(AL19:AL19)</f>
        <v>0</v>
      </c>
    </row>
    <row r="19" spans="1:76" x14ac:dyDescent="0.25">
      <c r="A19" s="2" t="s">
        <v>75</v>
      </c>
      <c r="B19" s="3" t="s">
        <v>76</v>
      </c>
      <c r="C19" s="84" t="s">
        <v>77</v>
      </c>
      <c r="D19" s="79"/>
      <c r="E19" s="3" t="s">
        <v>78</v>
      </c>
      <c r="F19" s="27">
        <v>3.6</v>
      </c>
      <c r="G19" s="27">
        <v>0</v>
      </c>
      <c r="H19" s="28">
        <v>12</v>
      </c>
      <c r="I19" s="27">
        <f>ROUND(F19*AO19,2)</f>
        <v>0</v>
      </c>
      <c r="J19" s="27">
        <f>ROUND(F19*AP19,2)</f>
        <v>0</v>
      </c>
      <c r="K19" s="27">
        <f>ROUND(F19*G19,2)</f>
        <v>0</v>
      </c>
      <c r="L19" s="29" t="s">
        <v>59</v>
      </c>
      <c r="Z19" s="27">
        <f>ROUND(IF(AQ19="5",BJ19,0),2)</f>
        <v>0</v>
      </c>
      <c r="AB19" s="27">
        <f>ROUND(IF(AQ19="1",BH19,0),2)</f>
        <v>0</v>
      </c>
      <c r="AC19" s="27">
        <f>ROUND(IF(AQ19="1",BI19,0),2)</f>
        <v>0</v>
      </c>
      <c r="AD19" s="27">
        <f>ROUND(IF(AQ19="7",BH19,0),2)</f>
        <v>0</v>
      </c>
      <c r="AE19" s="27">
        <f>ROUND(IF(AQ19="7",BI19,0),2)</f>
        <v>0</v>
      </c>
      <c r="AF19" s="27">
        <f>ROUND(IF(AQ19="2",BH19,0),2)</f>
        <v>0</v>
      </c>
      <c r="AG19" s="27">
        <f>ROUND(IF(AQ19="2",BI19,0),2)</f>
        <v>0</v>
      </c>
      <c r="AH19" s="27">
        <f>ROUND(IF(AQ19="0",BJ19,0),2)</f>
        <v>0</v>
      </c>
      <c r="AI19" s="12" t="s">
        <v>52</v>
      </c>
      <c r="AJ19" s="27">
        <f>IF(AN19=0,K19,0)</f>
        <v>0</v>
      </c>
      <c r="AK19" s="27">
        <f>IF(AN19=12,K19,0)</f>
        <v>0</v>
      </c>
      <c r="AL19" s="27">
        <f>IF(AN19=21,K19,0)</f>
        <v>0</v>
      </c>
      <c r="AN19" s="27">
        <v>12</v>
      </c>
      <c r="AO19" s="27">
        <f>G19*0.38614617</f>
        <v>0</v>
      </c>
      <c r="AP19" s="27">
        <f>G19*(1-0.38614617)</f>
        <v>0</v>
      </c>
      <c r="AQ19" s="30" t="s">
        <v>55</v>
      </c>
      <c r="AV19" s="27">
        <f>ROUND(AW19+AX19,2)</f>
        <v>0</v>
      </c>
      <c r="AW19" s="27">
        <f>ROUND(F19*AO19,2)</f>
        <v>0</v>
      </c>
      <c r="AX19" s="27">
        <f>ROUND(F19*AP19,2)</f>
        <v>0</v>
      </c>
      <c r="AY19" s="30" t="s">
        <v>79</v>
      </c>
      <c r="AZ19" s="30" t="s">
        <v>80</v>
      </c>
      <c r="BA19" s="12" t="s">
        <v>62</v>
      </c>
      <c r="BC19" s="27">
        <f>AW19+AX19</f>
        <v>0</v>
      </c>
      <c r="BD19" s="27">
        <f>G19/(100-BE19)*100</f>
        <v>0</v>
      </c>
      <c r="BE19" s="27">
        <v>0</v>
      </c>
      <c r="BF19" s="27">
        <f>19</f>
        <v>19</v>
      </c>
      <c r="BH19" s="27">
        <f>F19*AO19</f>
        <v>0</v>
      </c>
      <c r="BI19" s="27">
        <f>F19*AP19</f>
        <v>0</v>
      </c>
      <c r="BJ19" s="27">
        <f>F19*G19</f>
        <v>0</v>
      </c>
      <c r="BK19" s="30" t="s">
        <v>63</v>
      </c>
      <c r="BL19" s="27">
        <v>41</v>
      </c>
      <c r="BW19" s="27">
        <f>H19</f>
        <v>12</v>
      </c>
      <c r="BX19" s="5" t="s">
        <v>77</v>
      </c>
    </row>
    <row r="20" spans="1:76" x14ac:dyDescent="0.25">
      <c r="A20" s="31"/>
      <c r="C20" s="32" t="s">
        <v>81</v>
      </c>
      <c r="D20" s="32" t="s">
        <v>82</v>
      </c>
      <c r="F20" s="33">
        <v>3.6</v>
      </c>
      <c r="L20" s="34"/>
    </row>
    <row r="21" spans="1:76" ht="38.25" x14ac:dyDescent="0.25">
      <c r="A21" s="31"/>
      <c r="B21" s="35" t="s">
        <v>71</v>
      </c>
      <c r="C21" s="100" t="s">
        <v>83</v>
      </c>
      <c r="D21" s="101"/>
      <c r="E21" s="101"/>
      <c r="F21" s="101"/>
      <c r="G21" s="101"/>
      <c r="H21" s="101"/>
      <c r="I21" s="101"/>
      <c r="J21" s="101"/>
      <c r="K21" s="101"/>
      <c r="L21" s="102"/>
      <c r="BX21" s="36" t="s">
        <v>83</v>
      </c>
    </row>
    <row r="22" spans="1:76" x14ac:dyDescent="0.25">
      <c r="A22" s="37" t="s">
        <v>52</v>
      </c>
      <c r="B22" s="38" t="s">
        <v>84</v>
      </c>
      <c r="C22" s="103" t="s">
        <v>85</v>
      </c>
      <c r="D22" s="104"/>
      <c r="E22" s="39" t="s">
        <v>4</v>
      </c>
      <c r="F22" s="39" t="s">
        <v>4</v>
      </c>
      <c r="G22" s="39" t="s">
        <v>4</v>
      </c>
      <c r="H22" s="39" t="s">
        <v>4</v>
      </c>
      <c r="I22" s="1">
        <f>SUM(I23:I34)</f>
        <v>0</v>
      </c>
      <c r="J22" s="1">
        <f>SUM(J23:J34)</f>
        <v>0</v>
      </c>
      <c r="K22" s="1">
        <f>SUM(K23:K34)</f>
        <v>0</v>
      </c>
      <c r="L22" s="40" t="s">
        <v>52</v>
      </c>
      <c r="AI22" s="12" t="s">
        <v>52</v>
      </c>
      <c r="AS22" s="1">
        <f>SUM(AJ23:AJ34)</f>
        <v>0</v>
      </c>
      <c r="AT22" s="1">
        <f>SUM(AK23:AK34)</f>
        <v>0</v>
      </c>
      <c r="AU22" s="1">
        <f>SUM(AL23:AL34)</f>
        <v>0</v>
      </c>
    </row>
    <row r="23" spans="1:76" x14ac:dyDescent="0.25">
      <c r="A23" s="2" t="s">
        <v>86</v>
      </c>
      <c r="B23" s="3" t="s">
        <v>87</v>
      </c>
      <c r="C23" s="84" t="s">
        <v>88</v>
      </c>
      <c r="D23" s="79"/>
      <c r="E23" s="3" t="s">
        <v>89</v>
      </c>
      <c r="F23" s="27">
        <v>37.4</v>
      </c>
      <c r="G23" s="27">
        <v>0</v>
      </c>
      <c r="H23" s="28">
        <v>12</v>
      </c>
      <c r="I23" s="27">
        <f>ROUND(F23*AO23,2)</f>
        <v>0</v>
      </c>
      <c r="J23" s="27">
        <f>ROUND(F23*AP23,2)</f>
        <v>0</v>
      </c>
      <c r="K23" s="27">
        <f>ROUND(F23*G23,2)</f>
        <v>0</v>
      </c>
      <c r="L23" s="29" t="s">
        <v>59</v>
      </c>
      <c r="Z23" s="27">
        <f>ROUND(IF(AQ23="5",BJ23,0),2)</f>
        <v>0</v>
      </c>
      <c r="AB23" s="27">
        <f>ROUND(IF(AQ23="1",BH23,0),2)</f>
        <v>0</v>
      </c>
      <c r="AC23" s="27">
        <f>ROUND(IF(AQ23="1",BI23,0),2)</f>
        <v>0</v>
      </c>
      <c r="AD23" s="27">
        <f>ROUND(IF(AQ23="7",BH23,0),2)</f>
        <v>0</v>
      </c>
      <c r="AE23" s="27">
        <f>ROUND(IF(AQ23="7",BI23,0),2)</f>
        <v>0</v>
      </c>
      <c r="AF23" s="27">
        <f>ROUND(IF(AQ23="2",BH23,0),2)</f>
        <v>0</v>
      </c>
      <c r="AG23" s="27">
        <f>ROUND(IF(AQ23="2",BI23,0),2)</f>
        <v>0</v>
      </c>
      <c r="AH23" s="27">
        <f>ROUND(IF(AQ23="0",BJ23,0),2)</f>
        <v>0</v>
      </c>
      <c r="AI23" s="12" t="s">
        <v>52</v>
      </c>
      <c r="AJ23" s="27">
        <f>IF(AN23=0,K23,0)</f>
        <v>0</v>
      </c>
      <c r="AK23" s="27">
        <f>IF(AN23=12,K23,0)</f>
        <v>0</v>
      </c>
      <c r="AL23" s="27">
        <f>IF(AN23=21,K23,0)</f>
        <v>0</v>
      </c>
      <c r="AN23" s="27">
        <v>12</v>
      </c>
      <c r="AO23" s="27">
        <f>G23*0.050327634</f>
        <v>0</v>
      </c>
      <c r="AP23" s="27">
        <f>G23*(1-0.050327634)</f>
        <v>0</v>
      </c>
      <c r="AQ23" s="30" t="s">
        <v>55</v>
      </c>
      <c r="AV23" s="27">
        <f>ROUND(AW23+AX23,2)</f>
        <v>0</v>
      </c>
      <c r="AW23" s="27">
        <f>ROUND(F23*AO23,2)</f>
        <v>0</v>
      </c>
      <c r="AX23" s="27">
        <f>ROUND(F23*AP23,2)</f>
        <v>0</v>
      </c>
      <c r="AY23" s="30" t="s">
        <v>90</v>
      </c>
      <c r="AZ23" s="30" t="s">
        <v>91</v>
      </c>
      <c r="BA23" s="12" t="s">
        <v>62</v>
      </c>
      <c r="BC23" s="27">
        <f>AW23+AX23</f>
        <v>0</v>
      </c>
      <c r="BD23" s="27">
        <f>G23/(100-BE23)*100</f>
        <v>0</v>
      </c>
      <c r="BE23" s="27">
        <v>0</v>
      </c>
      <c r="BF23" s="27">
        <f>23</f>
        <v>23</v>
      </c>
      <c r="BH23" s="27">
        <f>F23*AO23</f>
        <v>0</v>
      </c>
      <c r="BI23" s="27">
        <f>F23*AP23</f>
        <v>0</v>
      </c>
      <c r="BJ23" s="27">
        <f>F23*G23</f>
        <v>0</v>
      </c>
      <c r="BK23" s="30" t="s">
        <v>63</v>
      </c>
      <c r="BL23" s="27">
        <v>61</v>
      </c>
      <c r="BW23" s="27">
        <f>H23</f>
        <v>12</v>
      </c>
      <c r="BX23" s="5" t="s">
        <v>88</v>
      </c>
    </row>
    <row r="24" spans="1:76" x14ac:dyDescent="0.25">
      <c r="A24" s="31"/>
      <c r="C24" s="32" t="s">
        <v>92</v>
      </c>
      <c r="D24" s="32" t="s">
        <v>52</v>
      </c>
      <c r="F24" s="33">
        <v>37.4</v>
      </c>
      <c r="L24" s="34"/>
    </row>
    <row r="25" spans="1:76" x14ac:dyDescent="0.25">
      <c r="A25" s="2" t="s">
        <v>93</v>
      </c>
      <c r="B25" s="3" t="s">
        <v>94</v>
      </c>
      <c r="C25" s="84" t="s">
        <v>95</v>
      </c>
      <c r="D25" s="79"/>
      <c r="E25" s="3" t="s">
        <v>78</v>
      </c>
      <c r="F25" s="27">
        <v>1.5225</v>
      </c>
      <c r="G25" s="27">
        <v>0</v>
      </c>
      <c r="H25" s="28">
        <v>12</v>
      </c>
      <c r="I25" s="27">
        <f>ROUND(F25*AO25,2)</f>
        <v>0</v>
      </c>
      <c r="J25" s="27">
        <f>ROUND(F25*AP25,2)</f>
        <v>0</v>
      </c>
      <c r="K25" s="27">
        <f>ROUND(F25*G25,2)</f>
        <v>0</v>
      </c>
      <c r="L25" s="29" t="s">
        <v>59</v>
      </c>
      <c r="Z25" s="27">
        <f>ROUND(IF(AQ25="5",BJ25,0),2)</f>
        <v>0</v>
      </c>
      <c r="AB25" s="27">
        <f>ROUND(IF(AQ25="1",BH25,0),2)</f>
        <v>0</v>
      </c>
      <c r="AC25" s="27">
        <f>ROUND(IF(AQ25="1",BI25,0),2)</f>
        <v>0</v>
      </c>
      <c r="AD25" s="27">
        <f>ROUND(IF(AQ25="7",BH25,0),2)</f>
        <v>0</v>
      </c>
      <c r="AE25" s="27">
        <f>ROUND(IF(AQ25="7",BI25,0),2)</f>
        <v>0</v>
      </c>
      <c r="AF25" s="27">
        <f>ROUND(IF(AQ25="2",BH25,0),2)</f>
        <v>0</v>
      </c>
      <c r="AG25" s="27">
        <f>ROUND(IF(AQ25="2",BI25,0),2)</f>
        <v>0</v>
      </c>
      <c r="AH25" s="27">
        <f>ROUND(IF(AQ25="0",BJ25,0),2)</f>
        <v>0</v>
      </c>
      <c r="AI25" s="12" t="s">
        <v>52</v>
      </c>
      <c r="AJ25" s="27">
        <f>IF(AN25=0,K25,0)</f>
        <v>0</v>
      </c>
      <c r="AK25" s="27">
        <f>IF(AN25=12,K25,0)</f>
        <v>0</v>
      </c>
      <c r="AL25" s="27">
        <f>IF(AN25=21,K25,0)</f>
        <v>0</v>
      </c>
      <c r="AN25" s="27">
        <v>12</v>
      </c>
      <c r="AO25" s="27">
        <f>G25*0.109140425</f>
        <v>0</v>
      </c>
      <c r="AP25" s="27">
        <f>G25*(1-0.109140425)</f>
        <v>0</v>
      </c>
      <c r="AQ25" s="30" t="s">
        <v>55</v>
      </c>
      <c r="AV25" s="27">
        <f>ROUND(AW25+AX25,2)</f>
        <v>0</v>
      </c>
      <c r="AW25" s="27">
        <f>ROUND(F25*AO25,2)</f>
        <v>0</v>
      </c>
      <c r="AX25" s="27">
        <f>ROUND(F25*AP25,2)</f>
        <v>0</v>
      </c>
      <c r="AY25" s="30" t="s">
        <v>90</v>
      </c>
      <c r="AZ25" s="30" t="s">
        <v>91</v>
      </c>
      <c r="BA25" s="12" t="s">
        <v>62</v>
      </c>
      <c r="BC25" s="27">
        <f>AW25+AX25</f>
        <v>0</v>
      </c>
      <c r="BD25" s="27">
        <f>G25/(100-BE25)*100</f>
        <v>0</v>
      </c>
      <c r="BE25" s="27">
        <v>0</v>
      </c>
      <c r="BF25" s="27">
        <f>25</f>
        <v>25</v>
      </c>
      <c r="BH25" s="27">
        <f>F25*AO25</f>
        <v>0</v>
      </c>
      <c r="BI25" s="27">
        <f>F25*AP25</f>
        <v>0</v>
      </c>
      <c r="BJ25" s="27">
        <f>F25*G25</f>
        <v>0</v>
      </c>
      <c r="BK25" s="30" t="s">
        <v>63</v>
      </c>
      <c r="BL25" s="27">
        <v>61</v>
      </c>
      <c r="BW25" s="27">
        <f>H25</f>
        <v>12</v>
      </c>
      <c r="BX25" s="5" t="s">
        <v>95</v>
      </c>
    </row>
    <row r="26" spans="1:76" x14ac:dyDescent="0.25">
      <c r="A26" s="31"/>
      <c r="C26" s="32" t="s">
        <v>96</v>
      </c>
      <c r="D26" s="32" t="s">
        <v>97</v>
      </c>
      <c r="F26" s="33">
        <v>1.5225</v>
      </c>
      <c r="L26" s="34"/>
    </row>
    <row r="27" spans="1:76" x14ac:dyDescent="0.25">
      <c r="A27" s="31"/>
      <c r="B27" s="35" t="s">
        <v>71</v>
      </c>
      <c r="C27" s="100" t="s">
        <v>98</v>
      </c>
      <c r="D27" s="101"/>
      <c r="E27" s="101"/>
      <c r="F27" s="101"/>
      <c r="G27" s="101"/>
      <c r="H27" s="101"/>
      <c r="I27" s="101"/>
      <c r="J27" s="101"/>
      <c r="K27" s="101"/>
      <c r="L27" s="102"/>
      <c r="BX27" s="36" t="s">
        <v>98</v>
      </c>
    </row>
    <row r="28" spans="1:76" x14ac:dyDescent="0.25">
      <c r="A28" s="2" t="s">
        <v>99</v>
      </c>
      <c r="B28" s="3" t="s">
        <v>100</v>
      </c>
      <c r="C28" s="84" t="s">
        <v>101</v>
      </c>
      <c r="D28" s="79"/>
      <c r="E28" s="3" t="s">
        <v>78</v>
      </c>
      <c r="F28" s="27">
        <v>208.96</v>
      </c>
      <c r="G28" s="27">
        <v>0</v>
      </c>
      <c r="H28" s="28">
        <v>12</v>
      </c>
      <c r="I28" s="27">
        <f>ROUND(F28*AO28,2)</f>
        <v>0</v>
      </c>
      <c r="J28" s="27">
        <f>ROUND(F28*AP28,2)</f>
        <v>0</v>
      </c>
      <c r="K28" s="27">
        <f>ROUND(F28*G28,2)</f>
        <v>0</v>
      </c>
      <c r="L28" s="29" t="s">
        <v>59</v>
      </c>
      <c r="Z28" s="27">
        <f>ROUND(IF(AQ28="5",BJ28,0),2)</f>
        <v>0</v>
      </c>
      <c r="AB28" s="27">
        <f>ROUND(IF(AQ28="1",BH28,0),2)</f>
        <v>0</v>
      </c>
      <c r="AC28" s="27">
        <f>ROUND(IF(AQ28="1",BI28,0),2)</f>
        <v>0</v>
      </c>
      <c r="AD28" s="27">
        <f>ROUND(IF(AQ28="7",BH28,0),2)</f>
        <v>0</v>
      </c>
      <c r="AE28" s="27">
        <f>ROUND(IF(AQ28="7",BI28,0),2)</f>
        <v>0</v>
      </c>
      <c r="AF28" s="27">
        <f>ROUND(IF(AQ28="2",BH28,0),2)</f>
        <v>0</v>
      </c>
      <c r="AG28" s="27">
        <f>ROUND(IF(AQ28="2",BI28,0),2)</f>
        <v>0</v>
      </c>
      <c r="AH28" s="27">
        <f>ROUND(IF(AQ28="0",BJ28,0),2)</f>
        <v>0</v>
      </c>
      <c r="AI28" s="12" t="s">
        <v>52</v>
      </c>
      <c r="AJ28" s="27">
        <f>IF(AN28=0,K28,0)</f>
        <v>0</v>
      </c>
      <c r="AK28" s="27">
        <f>IF(AN28=12,K28,0)</f>
        <v>0</v>
      </c>
      <c r="AL28" s="27">
        <f>IF(AN28=21,K28,0)</f>
        <v>0</v>
      </c>
      <c r="AN28" s="27">
        <v>12</v>
      </c>
      <c r="AO28" s="27">
        <f>G28*0.146613288</f>
        <v>0</v>
      </c>
      <c r="AP28" s="27">
        <f>G28*(1-0.146613288)</f>
        <v>0</v>
      </c>
      <c r="AQ28" s="30" t="s">
        <v>55</v>
      </c>
      <c r="AV28" s="27">
        <f>ROUND(AW28+AX28,2)</f>
        <v>0</v>
      </c>
      <c r="AW28" s="27">
        <f>ROUND(F28*AO28,2)</f>
        <v>0</v>
      </c>
      <c r="AX28" s="27">
        <f>ROUND(F28*AP28,2)</f>
        <v>0</v>
      </c>
      <c r="AY28" s="30" t="s">
        <v>90</v>
      </c>
      <c r="AZ28" s="30" t="s">
        <v>91</v>
      </c>
      <c r="BA28" s="12" t="s">
        <v>62</v>
      </c>
      <c r="BC28" s="27">
        <f>AW28+AX28</f>
        <v>0</v>
      </c>
      <c r="BD28" s="27">
        <f>G28/(100-BE28)*100</f>
        <v>0</v>
      </c>
      <c r="BE28" s="27">
        <v>0</v>
      </c>
      <c r="BF28" s="27">
        <f>28</f>
        <v>28</v>
      </c>
      <c r="BH28" s="27">
        <f>F28*AO28</f>
        <v>0</v>
      </c>
      <c r="BI28" s="27">
        <f>F28*AP28</f>
        <v>0</v>
      </c>
      <c r="BJ28" s="27">
        <f>F28*G28</f>
        <v>0</v>
      </c>
      <c r="BK28" s="30" t="s">
        <v>63</v>
      </c>
      <c r="BL28" s="27">
        <v>61</v>
      </c>
      <c r="BW28" s="27">
        <f>H28</f>
        <v>12</v>
      </c>
      <c r="BX28" s="5" t="s">
        <v>101</v>
      </c>
    </row>
    <row r="29" spans="1:76" x14ac:dyDescent="0.25">
      <c r="A29" s="31"/>
      <c r="C29" s="32" t="s">
        <v>102</v>
      </c>
      <c r="D29" s="32" t="s">
        <v>52</v>
      </c>
      <c r="F29" s="33">
        <v>208.96</v>
      </c>
      <c r="L29" s="34"/>
    </row>
    <row r="30" spans="1:76" ht="25.5" x14ac:dyDescent="0.25">
      <c r="A30" s="31"/>
      <c r="B30" s="35" t="s">
        <v>71</v>
      </c>
      <c r="C30" s="100" t="s">
        <v>103</v>
      </c>
      <c r="D30" s="101"/>
      <c r="E30" s="101"/>
      <c r="F30" s="101"/>
      <c r="G30" s="101"/>
      <c r="H30" s="101"/>
      <c r="I30" s="101"/>
      <c r="J30" s="101"/>
      <c r="K30" s="101"/>
      <c r="L30" s="102"/>
      <c r="BX30" s="36" t="s">
        <v>103</v>
      </c>
    </row>
    <row r="31" spans="1:76" x14ac:dyDescent="0.25">
      <c r="A31" s="2" t="s">
        <v>104</v>
      </c>
      <c r="B31" s="3" t="s">
        <v>105</v>
      </c>
      <c r="C31" s="84" t="s">
        <v>106</v>
      </c>
      <c r="D31" s="79"/>
      <c r="E31" s="3" t="s">
        <v>78</v>
      </c>
      <c r="F31" s="27">
        <v>70.8</v>
      </c>
      <c r="G31" s="27">
        <v>0</v>
      </c>
      <c r="H31" s="28">
        <v>12</v>
      </c>
      <c r="I31" s="27">
        <f>ROUND(F31*AO31,2)</f>
        <v>0</v>
      </c>
      <c r="J31" s="27">
        <f>ROUND(F31*AP31,2)</f>
        <v>0</v>
      </c>
      <c r="K31" s="27">
        <f>ROUND(F31*G31,2)</f>
        <v>0</v>
      </c>
      <c r="L31" s="29" t="s">
        <v>59</v>
      </c>
      <c r="Z31" s="27">
        <f>ROUND(IF(AQ31="5",BJ31,0),2)</f>
        <v>0</v>
      </c>
      <c r="AB31" s="27">
        <f>ROUND(IF(AQ31="1",BH31,0),2)</f>
        <v>0</v>
      </c>
      <c r="AC31" s="27">
        <f>ROUND(IF(AQ31="1",BI31,0),2)</f>
        <v>0</v>
      </c>
      <c r="AD31" s="27">
        <f>ROUND(IF(AQ31="7",BH31,0),2)</f>
        <v>0</v>
      </c>
      <c r="AE31" s="27">
        <f>ROUND(IF(AQ31="7",BI31,0),2)</f>
        <v>0</v>
      </c>
      <c r="AF31" s="27">
        <f>ROUND(IF(AQ31="2",BH31,0),2)</f>
        <v>0</v>
      </c>
      <c r="AG31" s="27">
        <f>ROUND(IF(AQ31="2",BI31,0),2)</f>
        <v>0</v>
      </c>
      <c r="AH31" s="27">
        <f>ROUND(IF(AQ31="0",BJ31,0),2)</f>
        <v>0</v>
      </c>
      <c r="AI31" s="12" t="s">
        <v>52</v>
      </c>
      <c r="AJ31" s="27">
        <f>IF(AN31=0,K31,0)</f>
        <v>0</v>
      </c>
      <c r="AK31" s="27">
        <f>IF(AN31=12,K31,0)</f>
        <v>0</v>
      </c>
      <c r="AL31" s="27">
        <f>IF(AN31=21,K31,0)</f>
        <v>0</v>
      </c>
      <c r="AN31" s="27">
        <v>12</v>
      </c>
      <c r="AO31" s="27">
        <f>G31*0.141931628</f>
        <v>0</v>
      </c>
      <c r="AP31" s="27">
        <f>G31*(1-0.141931628)</f>
        <v>0</v>
      </c>
      <c r="AQ31" s="30" t="s">
        <v>55</v>
      </c>
      <c r="AV31" s="27">
        <f>ROUND(AW31+AX31,2)</f>
        <v>0</v>
      </c>
      <c r="AW31" s="27">
        <f>ROUND(F31*AO31,2)</f>
        <v>0</v>
      </c>
      <c r="AX31" s="27">
        <f>ROUND(F31*AP31,2)</f>
        <v>0</v>
      </c>
      <c r="AY31" s="30" t="s">
        <v>90</v>
      </c>
      <c r="AZ31" s="30" t="s">
        <v>91</v>
      </c>
      <c r="BA31" s="12" t="s">
        <v>62</v>
      </c>
      <c r="BC31" s="27">
        <f>AW31+AX31</f>
        <v>0</v>
      </c>
      <c r="BD31" s="27">
        <f>G31/(100-BE31)*100</f>
        <v>0</v>
      </c>
      <c r="BE31" s="27">
        <v>0</v>
      </c>
      <c r="BF31" s="27">
        <f>31</f>
        <v>31</v>
      </c>
      <c r="BH31" s="27">
        <f>F31*AO31</f>
        <v>0</v>
      </c>
      <c r="BI31" s="27">
        <f>F31*AP31</f>
        <v>0</v>
      </c>
      <c r="BJ31" s="27">
        <f>F31*G31</f>
        <v>0</v>
      </c>
      <c r="BK31" s="30" t="s">
        <v>63</v>
      </c>
      <c r="BL31" s="27">
        <v>61</v>
      </c>
      <c r="BW31" s="27">
        <f>H31</f>
        <v>12</v>
      </c>
      <c r="BX31" s="5" t="s">
        <v>106</v>
      </c>
    </row>
    <row r="32" spans="1:76" x14ac:dyDescent="0.25">
      <c r="A32" s="31"/>
      <c r="C32" s="32" t="s">
        <v>107</v>
      </c>
      <c r="D32" s="32" t="s">
        <v>52</v>
      </c>
      <c r="F32" s="33">
        <v>70.8</v>
      </c>
      <c r="L32" s="34"/>
    </row>
    <row r="33" spans="1:76" ht="25.5" x14ac:dyDescent="0.25">
      <c r="A33" s="31"/>
      <c r="B33" s="35" t="s">
        <v>71</v>
      </c>
      <c r="C33" s="100" t="s">
        <v>103</v>
      </c>
      <c r="D33" s="101"/>
      <c r="E33" s="101"/>
      <c r="F33" s="101"/>
      <c r="G33" s="101"/>
      <c r="H33" s="101"/>
      <c r="I33" s="101"/>
      <c r="J33" s="101"/>
      <c r="K33" s="101"/>
      <c r="L33" s="102"/>
      <c r="BX33" s="36" t="s">
        <v>103</v>
      </c>
    </row>
    <row r="34" spans="1:76" x14ac:dyDescent="0.25">
      <c r="A34" s="2" t="s">
        <v>108</v>
      </c>
      <c r="B34" s="3" t="s">
        <v>94</v>
      </c>
      <c r="C34" s="84" t="s">
        <v>95</v>
      </c>
      <c r="D34" s="79"/>
      <c r="E34" s="3" t="s">
        <v>78</v>
      </c>
      <c r="F34" s="27">
        <v>3</v>
      </c>
      <c r="G34" s="27">
        <v>0</v>
      </c>
      <c r="H34" s="28">
        <v>12</v>
      </c>
      <c r="I34" s="27">
        <f>ROUND(F34*AO34,2)</f>
        <v>0</v>
      </c>
      <c r="J34" s="27">
        <f>ROUND(F34*AP34,2)</f>
        <v>0</v>
      </c>
      <c r="K34" s="27">
        <f>ROUND(F34*G34,2)</f>
        <v>0</v>
      </c>
      <c r="L34" s="29" t="s">
        <v>59</v>
      </c>
      <c r="Z34" s="27">
        <f>ROUND(IF(AQ34="5",BJ34,0),2)</f>
        <v>0</v>
      </c>
      <c r="AB34" s="27">
        <f>ROUND(IF(AQ34="1",BH34,0),2)</f>
        <v>0</v>
      </c>
      <c r="AC34" s="27">
        <f>ROUND(IF(AQ34="1",BI34,0),2)</f>
        <v>0</v>
      </c>
      <c r="AD34" s="27">
        <f>ROUND(IF(AQ34="7",BH34,0),2)</f>
        <v>0</v>
      </c>
      <c r="AE34" s="27">
        <f>ROUND(IF(AQ34="7",BI34,0),2)</f>
        <v>0</v>
      </c>
      <c r="AF34" s="27">
        <f>ROUND(IF(AQ34="2",BH34,0),2)</f>
        <v>0</v>
      </c>
      <c r="AG34" s="27">
        <f>ROUND(IF(AQ34="2",BI34,0),2)</f>
        <v>0</v>
      </c>
      <c r="AH34" s="27">
        <f>ROUND(IF(AQ34="0",BJ34,0),2)</f>
        <v>0</v>
      </c>
      <c r="AI34" s="12" t="s">
        <v>52</v>
      </c>
      <c r="AJ34" s="27">
        <f>IF(AN34=0,K34,0)</f>
        <v>0</v>
      </c>
      <c r="AK34" s="27">
        <f>IF(AN34=12,K34,0)</f>
        <v>0</v>
      </c>
      <c r="AL34" s="27">
        <f>IF(AN34=21,K34,0)</f>
        <v>0</v>
      </c>
      <c r="AN34" s="27">
        <v>12</v>
      </c>
      <c r="AO34" s="27">
        <f>G34*0.109146341</f>
        <v>0</v>
      </c>
      <c r="AP34" s="27">
        <f>G34*(1-0.109146341)</f>
        <v>0</v>
      </c>
      <c r="AQ34" s="30" t="s">
        <v>55</v>
      </c>
      <c r="AV34" s="27">
        <f>ROUND(AW34+AX34,2)</f>
        <v>0</v>
      </c>
      <c r="AW34" s="27">
        <f>ROUND(F34*AO34,2)</f>
        <v>0</v>
      </c>
      <c r="AX34" s="27">
        <f>ROUND(F34*AP34,2)</f>
        <v>0</v>
      </c>
      <c r="AY34" s="30" t="s">
        <v>90</v>
      </c>
      <c r="AZ34" s="30" t="s">
        <v>91</v>
      </c>
      <c r="BA34" s="12" t="s">
        <v>62</v>
      </c>
      <c r="BC34" s="27">
        <f>AW34+AX34</f>
        <v>0</v>
      </c>
      <c r="BD34" s="27">
        <f>G34/(100-BE34)*100</f>
        <v>0</v>
      </c>
      <c r="BE34" s="27">
        <v>0</v>
      </c>
      <c r="BF34" s="27">
        <f>34</f>
        <v>34</v>
      </c>
      <c r="BH34" s="27">
        <f>F34*AO34</f>
        <v>0</v>
      </c>
      <c r="BI34" s="27">
        <f>F34*AP34</f>
        <v>0</v>
      </c>
      <c r="BJ34" s="27">
        <f>F34*G34</f>
        <v>0</v>
      </c>
      <c r="BK34" s="30" t="s">
        <v>63</v>
      </c>
      <c r="BL34" s="27">
        <v>61</v>
      </c>
      <c r="BW34" s="27">
        <f>H34</f>
        <v>12</v>
      </c>
      <c r="BX34" s="5" t="s">
        <v>95</v>
      </c>
    </row>
    <row r="35" spans="1:76" x14ac:dyDescent="0.25">
      <c r="A35" s="31"/>
      <c r="C35" s="32" t="s">
        <v>109</v>
      </c>
      <c r="D35" s="32" t="s">
        <v>110</v>
      </c>
      <c r="F35" s="33">
        <v>3</v>
      </c>
      <c r="L35" s="34"/>
    </row>
    <row r="36" spans="1:76" x14ac:dyDescent="0.25">
      <c r="A36" s="31"/>
      <c r="B36" s="35" t="s">
        <v>71</v>
      </c>
      <c r="C36" s="100" t="s">
        <v>98</v>
      </c>
      <c r="D36" s="101"/>
      <c r="E36" s="101"/>
      <c r="F36" s="101"/>
      <c r="G36" s="101"/>
      <c r="H36" s="101"/>
      <c r="I36" s="101"/>
      <c r="J36" s="101"/>
      <c r="K36" s="101"/>
      <c r="L36" s="102"/>
      <c r="BX36" s="36" t="s">
        <v>98</v>
      </c>
    </row>
    <row r="37" spans="1:76" x14ac:dyDescent="0.25">
      <c r="A37" s="37" t="s">
        <v>52</v>
      </c>
      <c r="B37" s="38" t="s">
        <v>111</v>
      </c>
      <c r="C37" s="103" t="s">
        <v>112</v>
      </c>
      <c r="D37" s="104"/>
      <c r="E37" s="39" t="s">
        <v>4</v>
      </c>
      <c r="F37" s="39" t="s">
        <v>4</v>
      </c>
      <c r="G37" s="39" t="s">
        <v>4</v>
      </c>
      <c r="H37" s="39" t="s">
        <v>4</v>
      </c>
      <c r="I37" s="1">
        <f>SUM(I38:I40)</f>
        <v>0</v>
      </c>
      <c r="J37" s="1">
        <f>SUM(J38:J40)</f>
        <v>0</v>
      </c>
      <c r="K37" s="1">
        <f>SUM(K38:K40)</f>
        <v>0</v>
      </c>
      <c r="L37" s="40" t="s">
        <v>52</v>
      </c>
      <c r="AI37" s="12" t="s">
        <v>52</v>
      </c>
      <c r="AS37" s="1">
        <f>SUM(AJ38:AJ40)</f>
        <v>0</v>
      </c>
      <c r="AT37" s="1">
        <f>SUM(AK38:AK40)</f>
        <v>0</v>
      </c>
      <c r="AU37" s="1">
        <f>SUM(AL38:AL40)</f>
        <v>0</v>
      </c>
    </row>
    <row r="38" spans="1:76" ht="25.5" x14ac:dyDescent="0.25">
      <c r="A38" s="2" t="s">
        <v>113</v>
      </c>
      <c r="B38" s="3" t="s">
        <v>114</v>
      </c>
      <c r="C38" s="84" t="s">
        <v>115</v>
      </c>
      <c r="D38" s="79"/>
      <c r="E38" s="3" t="s">
        <v>58</v>
      </c>
      <c r="F38" s="27">
        <v>8.0519999999999996</v>
      </c>
      <c r="G38" s="27">
        <v>0</v>
      </c>
      <c r="H38" s="28">
        <v>12</v>
      </c>
      <c r="I38" s="27">
        <f>ROUND(F38*AO38,2)</f>
        <v>0</v>
      </c>
      <c r="J38" s="27">
        <f>ROUND(F38*AP38,2)</f>
        <v>0</v>
      </c>
      <c r="K38" s="27">
        <f>ROUND(F38*G38,2)</f>
        <v>0</v>
      </c>
      <c r="L38" s="29" t="s">
        <v>116</v>
      </c>
      <c r="Z38" s="27">
        <f>ROUND(IF(AQ38="5",BJ38,0),2)</f>
        <v>0</v>
      </c>
      <c r="AB38" s="27">
        <f>ROUND(IF(AQ38="1",BH38,0),2)</f>
        <v>0</v>
      </c>
      <c r="AC38" s="27">
        <f>ROUND(IF(AQ38="1",BI38,0),2)</f>
        <v>0</v>
      </c>
      <c r="AD38" s="27">
        <f>ROUND(IF(AQ38="7",BH38,0),2)</f>
        <v>0</v>
      </c>
      <c r="AE38" s="27">
        <f>ROUND(IF(AQ38="7",BI38,0),2)</f>
        <v>0</v>
      </c>
      <c r="AF38" s="27">
        <f>ROUND(IF(AQ38="2",BH38,0),2)</f>
        <v>0</v>
      </c>
      <c r="AG38" s="27">
        <f>ROUND(IF(AQ38="2",BI38,0),2)</f>
        <v>0</v>
      </c>
      <c r="AH38" s="27">
        <f>ROUND(IF(AQ38="0",BJ38,0),2)</f>
        <v>0</v>
      </c>
      <c r="AI38" s="12" t="s">
        <v>52</v>
      </c>
      <c r="AJ38" s="27">
        <f>IF(AN38=0,K38,0)</f>
        <v>0</v>
      </c>
      <c r="AK38" s="27">
        <f>IF(AN38=12,K38,0)</f>
        <v>0</v>
      </c>
      <c r="AL38" s="27">
        <f>IF(AN38=21,K38,0)</f>
        <v>0</v>
      </c>
      <c r="AN38" s="27">
        <v>12</v>
      </c>
      <c r="AO38" s="27">
        <f>G38*0</f>
        <v>0</v>
      </c>
      <c r="AP38" s="27">
        <f>G38*(1-0)</f>
        <v>0</v>
      </c>
      <c r="AQ38" s="30" t="s">
        <v>55</v>
      </c>
      <c r="AV38" s="27">
        <f>ROUND(AW38+AX38,2)</f>
        <v>0</v>
      </c>
      <c r="AW38" s="27">
        <f>ROUND(F38*AO38,2)</f>
        <v>0</v>
      </c>
      <c r="AX38" s="27">
        <f>ROUND(F38*AP38,2)</f>
        <v>0</v>
      </c>
      <c r="AY38" s="30" t="s">
        <v>117</v>
      </c>
      <c r="AZ38" s="30" t="s">
        <v>91</v>
      </c>
      <c r="BA38" s="12" t="s">
        <v>62</v>
      </c>
      <c r="BC38" s="27">
        <f>AW38+AX38</f>
        <v>0</v>
      </c>
      <c r="BD38" s="27">
        <f>G38/(100-BE38)*100</f>
        <v>0</v>
      </c>
      <c r="BE38" s="27">
        <v>0</v>
      </c>
      <c r="BF38" s="27">
        <f>38</f>
        <v>38</v>
      </c>
      <c r="BH38" s="27">
        <f>F38*AO38</f>
        <v>0</v>
      </c>
      <c r="BI38" s="27">
        <f>F38*AP38</f>
        <v>0</v>
      </c>
      <c r="BJ38" s="27">
        <f>F38*G38</f>
        <v>0</v>
      </c>
      <c r="BK38" s="30" t="s">
        <v>63</v>
      </c>
      <c r="BL38" s="27">
        <v>63</v>
      </c>
      <c r="BW38" s="27">
        <f>H38</f>
        <v>12</v>
      </c>
      <c r="BX38" s="5" t="s">
        <v>115</v>
      </c>
    </row>
    <row r="39" spans="1:76" x14ac:dyDescent="0.25">
      <c r="A39" s="31"/>
      <c r="C39" s="32" t="s">
        <v>118</v>
      </c>
      <c r="D39" s="32" t="s">
        <v>52</v>
      </c>
      <c r="F39" s="33">
        <v>8.0519999999999996</v>
      </c>
      <c r="L39" s="34"/>
    </row>
    <row r="40" spans="1:76" x14ac:dyDescent="0.25">
      <c r="A40" s="2" t="s">
        <v>119</v>
      </c>
      <c r="B40" s="3" t="s">
        <v>120</v>
      </c>
      <c r="C40" s="84" t="s">
        <v>121</v>
      </c>
      <c r="D40" s="79"/>
      <c r="E40" s="3" t="s">
        <v>78</v>
      </c>
      <c r="F40" s="27">
        <v>3.6</v>
      </c>
      <c r="G40" s="27">
        <v>0</v>
      </c>
      <c r="H40" s="28">
        <v>12</v>
      </c>
      <c r="I40" s="27">
        <f>ROUND(F40*AO40,2)</f>
        <v>0</v>
      </c>
      <c r="J40" s="27">
        <f>ROUND(F40*AP40,2)</f>
        <v>0</v>
      </c>
      <c r="K40" s="27">
        <f>ROUND(F40*G40,2)</f>
        <v>0</v>
      </c>
      <c r="L40" s="29" t="s">
        <v>59</v>
      </c>
      <c r="Z40" s="27">
        <f>ROUND(IF(AQ40="5",BJ40,0),2)</f>
        <v>0</v>
      </c>
      <c r="AB40" s="27">
        <f>ROUND(IF(AQ40="1",BH40,0),2)</f>
        <v>0</v>
      </c>
      <c r="AC40" s="27">
        <f>ROUND(IF(AQ40="1",BI40,0),2)</f>
        <v>0</v>
      </c>
      <c r="AD40" s="27">
        <f>ROUND(IF(AQ40="7",BH40,0),2)</f>
        <v>0</v>
      </c>
      <c r="AE40" s="27">
        <f>ROUND(IF(AQ40="7",BI40,0),2)</f>
        <v>0</v>
      </c>
      <c r="AF40" s="27">
        <f>ROUND(IF(AQ40="2",BH40,0),2)</f>
        <v>0</v>
      </c>
      <c r="AG40" s="27">
        <f>ROUND(IF(AQ40="2",BI40,0),2)</f>
        <v>0</v>
      </c>
      <c r="AH40" s="27">
        <f>ROUND(IF(AQ40="0",BJ40,0),2)</f>
        <v>0</v>
      </c>
      <c r="AI40" s="12" t="s">
        <v>52</v>
      </c>
      <c r="AJ40" s="27">
        <f>IF(AN40=0,K40,0)</f>
        <v>0</v>
      </c>
      <c r="AK40" s="27">
        <f>IF(AN40=12,K40,0)</f>
        <v>0</v>
      </c>
      <c r="AL40" s="27">
        <f>IF(AN40=21,K40,0)</f>
        <v>0</v>
      </c>
      <c r="AN40" s="27">
        <v>12</v>
      </c>
      <c r="AO40" s="27">
        <f>G40*0.771718981</f>
        <v>0</v>
      </c>
      <c r="AP40" s="27">
        <f>G40*(1-0.771718981)</f>
        <v>0</v>
      </c>
      <c r="AQ40" s="30" t="s">
        <v>55</v>
      </c>
      <c r="AV40" s="27">
        <f>ROUND(AW40+AX40,2)</f>
        <v>0</v>
      </c>
      <c r="AW40" s="27">
        <f>ROUND(F40*AO40,2)</f>
        <v>0</v>
      </c>
      <c r="AX40" s="27">
        <f>ROUND(F40*AP40,2)</f>
        <v>0</v>
      </c>
      <c r="AY40" s="30" t="s">
        <v>117</v>
      </c>
      <c r="AZ40" s="30" t="s">
        <v>91</v>
      </c>
      <c r="BA40" s="12" t="s">
        <v>62</v>
      </c>
      <c r="BC40" s="27">
        <f>AW40+AX40</f>
        <v>0</v>
      </c>
      <c r="BD40" s="27">
        <f>G40/(100-BE40)*100</f>
        <v>0</v>
      </c>
      <c r="BE40" s="27">
        <v>0</v>
      </c>
      <c r="BF40" s="27">
        <f>40</f>
        <v>40</v>
      </c>
      <c r="BH40" s="27">
        <f>F40*AO40</f>
        <v>0</v>
      </c>
      <c r="BI40" s="27">
        <f>F40*AP40</f>
        <v>0</v>
      </c>
      <c r="BJ40" s="27">
        <f>F40*G40</f>
        <v>0</v>
      </c>
      <c r="BK40" s="30" t="s">
        <v>63</v>
      </c>
      <c r="BL40" s="27">
        <v>63</v>
      </c>
      <c r="BW40" s="27">
        <f>H40</f>
        <v>12</v>
      </c>
      <c r="BX40" s="5" t="s">
        <v>121</v>
      </c>
    </row>
    <row r="41" spans="1:76" x14ac:dyDescent="0.25">
      <c r="A41" s="31"/>
      <c r="C41" s="32" t="s">
        <v>81</v>
      </c>
      <c r="D41" s="32" t="s">
        <v>122</v>
      </c>
      <c r="F41" s="33">
        <v>3.6</v>
      </c>
      <c r="L41" s="34"/>
    </row>
    <row r="42" spans="1:76" ht="51" x14ac:dyDescent="0.25">
      <c r="A42" s="31"/>
      <c r="B42" s="35" t="s">
        <v>71</v>
      </c>
      <c r="C42" s="100" t="s">
        <v>123</v>
      </c>
      <c r="D42" s="101"/>
      <c r="E42" s="101"/>
      <c r="F42" s="101"/>
      <c r="G42" s="101"/>
      <c r="H42" s="101"/>
      <c r="I42" s="101"/>
      <c r="J42" s="101"/>
      <c r="K42" s="101"/>
      <c r="L42" s="102"/>
      <c r="BX42" s="36" t="s">
        <v>123</v>
      </c>
    </row>
    <row r="43" spans="1:76" x14ac:dyDescent="0.25">
      <c r="A43" s="37" t="s">
        <v>52</v>
      </c>
      <c r="B43" s="38" t="s">
        <v>124</v>
      </c>
      <c r="C43" s="103" t="s">
        <v>125</v>
      </c>
      <c r="D43" s="104"/>
      <c r="E43" s="39" t="s">
        <v>4</v>
      </c>
      <c r="F43" s="39" t="s">
        <v>4</v>
      </c>
      <c r="G43" s="39" t="s">
        <v>4</v>
      </c>
      <c r="H43" s="39" t="s">
        <v>4</v>
      </c>
      <c r="I43" s="1">
        <f>SUM(I44:I58)</f>
        <v>0</v>
      </c>
      <c r="J43" s="1">
        <f>SUM(J44:J58)</f>
        <v>0</v>
      </c>
      <c r="K43" s="1">
        <f>SUM(K44:K58)</f>
        <v>0</v>
      </c>
      <c r="L43" s="40" t="s">
        <v>52</v>
      </c>
      <c r="AI43" s="12" t="s">
        <v>52</v>
      </c>
      <c r="AS43" s="1">
        <f>SUM(AJ44:AJ58)</f>
        <v>0</v>
      </c>
      <c r="AT43" s="1">
        <f>SUM(AK44:AK58)</f>
        <v>0</v>
      </c>
      <c r="AU43" s="1">
        <f>SUM(AL44:AL58)</f>
        <v>0</v>
      </c>
    </row>
    <row r="44" spans="1:76" x14ac:dyDescent="0.25">
      <c r="A44" s="2" t="s">
        <v>126</v>
      </c>
      <c r="B44" s="3" t="s">
        <v>127</v>
      </c>
      <c r="C44" s="84" t="s">
        <v>128</v>
      </c>
      <c r="D44" s="79"/>
      <c r="E44" s="3" t="s">
        <v>69</v>
      </c>
      <c r="F44" s="27">
        <v>1</v>
      </c>
      <c r="G44" s="27">
        <v>0</v>
      </c>
      <c r="H44" s="28">
        <v>12</v>
      </c>
      <c r="I44" s="27">
        <f>ROUND(F44*AO44,2)</f>
        <v>0</v>
      </c>
      <c r="J44" s="27">
        <f>ROUND(F44*AP44,2)</f>
        <v>0</v>
      </c>
      <c r="K44" s="27">
        <f>ROUND(F44*G44,2)</f>
        <v>0</v>
      </c>
      <c r="L44" s="29" t="s">
        <v>59</v>
      </c>
      <c r="Z44" s="27">
        <f>ROUND(IF(AQ44="5",BJ44,0),2)</f>
        <v>0</v>
      </c>
      <c r="AB44" s="27">
        <f>ROUND(IF(AQ44="1",BH44,0),2)</f>
        <v>0</v>
      </c>
      <c r="AC44" s="27">
        <f>ROUND(IF(AQ44="1",BI44,0),2)</f>
        <v>0</v>
      </c>
      <c r="AD44" s="27">
        <f>ROUND(IF(AQ44="7",BH44,0),2)</f>
        <v>0</v>
      </c>
      <c r="AE44" s="27">
        <f>ROUND(IF(AQ44="7",BI44,0),2)</f>
        <v>0</v>
      </c>
      <c r="AF44" s="27">
        <f>ROUND(IF(AQ44="2",BH44,0),2)</f>
        <v>0</v>
      </c>
      <c r="AG44" s="27">
        <f>ROUND(IF(AQ44="2",BI44,0),2)</f>
        <v>0</v>
      </c>
      <c r="AH44" s="27">
        <f>ROUND(IF(AQ44="0",BJ44,0),2)</f>
        <v>0</v>
      </c>
      <c r="AI44" s="12" t="s">
        <v>52</v>
      </c>
      <c r="AJ44" s="27">
        <f>IF(AN44=0,K44,0)</f>
        <v>0</v>
      </c>
      <c r="AK44" s="27">
        <f>IF(AN44=12,K44,0)</f>
        <v>0</v>
      </c>
      <c r="AL44" s="27">
        <f>IF(AN44=21,K44,0)</f>
        <v>0</v>
      </c>
      <c r="AN44" s="27">
        <v>12</v>
      </c>
      <c r="AO44" s="27">
        <f>G44*0.768673092</f>
        <v>0</v>
      </c>
      <c r="AP44" s="27">
        <f>G44*(1-0.768673092)</f>
        <v>0</v>
      </c>
      <c r="AQ44" s="30" t="s">
        <v>55</v>
      </c>
      <c r="AV44" s="27">
        <f>ROUND(AW44+AX44,2)</f>
        <v>0</v>
      </c>
      <c r="AW44" s="27">
        <f>ROUND(F44*AO44,2)</f>
        <v>0</v>
      </c>
      <c r="AX44" s="27">
        <f>ROUND(F44*AP44,2)</f>
        <v>0</v>
      </c>
      <c r="AY44" s="30" t="s">
        <v>129</v>
      </c>
      <c r="AZ44" s="30" t="s">
        <v>91</v>
      </c>
      <c r="BA44" s="12" t="s">
        <v>62</v>
      </c>
      <c r="BC44" s="27">
        <f>AW44+AX44</f>
        <v>0</v>
      </c>
      <c r="BD44" s="27">
        <f>G44/(100-BE44)*100</f>
        <v>0</v>
      </c>
      <c r="BE44" s="27">
        <v>0</v>
      </c>
      <c r="BF44" s="27">
        <f>44</f>
        <v>44</v>
      </c>
      <c r="BH44" s="27">
        <f>F44*AO44</f>
        <v>0</v>
      </c>
      <c r="BI44" s="27">
        <f>F44*AP44</f>
        <v>0</v>
      </c>
      <c r="BJ44" s="27">
        <f>F44*G44</f>
        <v>0</v>
      </c>
      <c r="BK44" s="30" t="s">
        <v>63</v>
      </c>
      <c r="BL44" s="27">
        <v>64</v>
      </c>
      <c r="BW44" s="27">
        <f>H44</f>
        <v>12</v>
      </c>
      <c r="BX44" s="5" t="s">
        <v>128</v>
      </c>
    </row>
    <row r="45" spans="1:76" x14ac:dyDescent="0.25">
      <c r="A45" s="31"/>
      <c r="C45" s="32" t="s">
        <v>55</v>
      </c>
      <c r="D45" s="32" t="s">
        <v>52</v>
      </c>
      <c r="F45" s="33">
        <v>1</v>
      </c>
      <c r="L45" s="34"/>
    </row>
    <row r="46" spans="1:76" ht="165.75" x14ac:dyDescent="0.25">
      <c r="A46" s="31"/>
      <c r="B46" s="35" t="s">
        <v>71</v>
      </c>
      <c r="C46" s="100" t="s">
        <v>130</v>
      </c>
      <c r="D46" s="101"/>
      <c r="E46" s="101"/>
      <c r="F46" s="101"/>
      <c r="G46" s="101"/>
      <c r="H46" s="101"/>
      <c r="I46" s="101"/>
      <c r="J46" s="101"/>
      <c r="K46" s="101"/>
      <c r="L46" s="102"/>
      <c r="BX46" s="36" t="s">
        <v>130</v>
      </c>
    </row>
    <row r="47" spans="1:76" x14ac:dyDescent="0.25">
      <c r="A47" s="2" t="s">
        <v>131</v>
      </c>
      <c r="B47" s="3" t="s">
        <v>132</v>
      </c>
      <c r="C47" s="84" t="s">
        <v>133</v>
      </c>
      <c r="D47" s="79"/>
      <c r="E47" s="3" t="s">
        <v>69</v>
      </c>
      <c r="F47" s="27">
        <v>1</v>
      </c>
      <c r="G47" s="27">
        <v>0</v>
      </c>
      <c r="H47" s="28">
        <v>12</v>
      </c>
      <c r="I47" s="27">
        <f>ROUND(F47*AO47,2)</f>
        <v>0</v>
      </c>
      <c r="J47" s="27">
        <f>ROUND(F47*AP47,2)</f>
        <v>0</v>
      </c>
      <c r="K47" s="27">
        <f>ROUND(F47*G47,2)</f>
        <v>0</v>
      </c>
      <c r="L47" s="29" t="s">
        <v>116</v>
      </c>
      <c r="Z47" s="27">
        <f>ROUND(IF(AQ47="5",BJ47,0),2)</f>
        <v>0</v>
      </c>
      <c r="AB47" s="27">
        <f>ROUND(IF(AQ47="1",BH47,0),2)</f>
        <v>0</v>
      </c>
      <c r="AC47" s="27">
        <f>ROUND(IF(AQ47="1",BI47,0),2)</f>
        <v>0</v>
      </c>
      <c r="AD47" s="27">
        <f>ROUND(IF(AQ47="7",BH47,0),2)</f>
        <v>0</v>
      </c>
      <c r="AE47" s="27">
        <f>ROUND(IF(AQ47="7",BI47,0),2)</f>
        <v>0</v>
      </c>
      <c r="AF47" s="27">
        <f>ROUND(IF(AQ47="2",BH47,0),2)</f>
        <v>0</v>
      </c>
      <c r="AG47" s="27">
        <f>ROUND(IF(AQ47="2",BI47,0),2)</f>
        <v>0</v>
      </c>
      <c r="AH47" s="27">
        <f>ROUND(IF(AQ47="0",BJ47,0),2)</f>
        <v>0</v>
      </c>
      <c r="AI47" s="12" t="s">
        <v>52</v>
      </c>
      <c r="AJ47" s="27">
        <f>IF(AN47=0,K47,0)</f>
        <v>0</v>
      </c>
      <c r="AK47" s="27">
        <f>IF(AN47=12,K47,0)</f>
        <v>0</v>
      </c>
      <c r="AL47" s="27">
        <f>IF(AN47=21,K47,0)</f>
        <v>0</v>
      </c>
      <c r="AN47" s="27">
        <v>12</v>
      </c>
      <c r="AO47" s="27">
        <f>G47*1</f>
        <v>0</v>
      </c>
      <c r="AP47" s="27">
        <f>G47*(1-1)</f>
        <v>0</v>
      </c>
      <c r="AQ47" s="30" t="s">
        <v>55</v>
      </c>
      <c r="AV47" s="27">
        <f>ROUND(AW47+AX47,2)</f>
        <v>0</v>
      </c>
      <c r="AW47" s="27">
        <f>ROUND(F47*AO47,2)</f>
        <v>0</v>
      </c>
      <c r="AX47" s="27">
        <f>ROUND(F47*AP47,2)</f>
        <v>0</v>
      </c>
      <c r="AY47" s="30" t="s">
        <v>129</v>
      </c>
      <c r="AZ47" s="30" t="s">
        <v>91</v>
      </c>
      <c r="BA47" s="12" t="s">
        <v>62</v>
      </c>
      <c r="BC47" s="27">
        <f>AW47+AX47</f>
        <v>0</v>
      </c>
      <c r="BD47" s="27">
        <f>G47/(100-BE47)*100</f>
        <v>0</v>
      </c>
      <c r="BE47" s="27">
        <v>0</v>
      </c>
      <c r="BF47" s="27">
        <f>47</f>
        <v>47</v>
      </c>
      <c r="BH47" s="27">
        <f>F47*AO47</f>
        <v>0</v>
      </c>
      <c r="BI47" s="27">
        <f>F47*AP47</f>
        <v>0</v>
      </c>
      <c r="BJ47" s="27">
        <f>F47*G47</f>
        <v>0</v>
      </c>
      <c r="BK47" s="30" t="s">
        <v>134</v>
      </c>
      <c r="BL47" s="27">
        <v>64</v>
      </c>
      <c r="BW47" s="27">
        <f>H47</f>
        <v>12</v>
      </c>
      <c r="BX47" s="5" t="s">
        <v>133</v>
      </c>
    </row>
    <row r="48" spans="1:76" x14ac:dyDescent="0.25">
      <c r="A48" s="31"/>
      <c r="C48" s="32" t="s">
        <v>55</v>
      </c>
      <c r="D48" s="32" t="s">
        <v>52</v>
      </c>
      <c r="F48" s="33">
        <v>1</v>
      </c>
      <c r="L48" s="34"/>
    </row>
    <row r="49" spans="1:76" x14ac:dyDescent="0.25">
      <c r="A49" s="2" t="s">
        <v>135</v>
      </c>
      <c r="B49" s="3" t="s">
        <v>136</v>
      </c>
      <c r="C49" s="84" t="s">
        <v>137</v>
      </c>
      <c r="D49" s="79"/>
      <c r="E49" s="3" t="s">
        <v>69</v>
      </c>
      <c r="F49" s="27">
        <v>1</v>
      </c>
      <c r="G49" s="27">
        <v>0</v>
      </c>
      <c r="H49" s="28">
        <v>12</v>
      </c>
      <c r="I49" s="27">
        <f>ROUND(F49*AO49,2)</f>
        <v>0</v>
      </c>
      <c r="J49" s="27">
        <f>ROUND(F49*AP49,2)</f>
        <v>0</v>
      </c>
      <c r="K49" s="27">
        <f>ROUND(F49*G49,2)</f>
        <v>0</v>
      </c>
      <c r="L49" s="29" t="s">
        <v>59</v>
      </c>
      <c r="Z49" s="27">
        <f>ROUND(IF(AQ49="5",BJ49,0),2)</f>
        <v>0</v>
      </c>
      <c r="AB49" s="27">
        <f>ROUND(IF(AQ49="1",BH49,0),2)</f>
        <v>0</v>
      </c>
      <c r="AC49" s="27">
        <f>ROUND(IF(AQ49="1",BI49,0),2)</f>
        <v>0</v>
      </c>
      <c r="AD49" s="27">
        <f>ROUND(IF(AQ49="7",BH49,0),2)</f>
        <v>0</v>
      </c>
      <c r="AE49" s="27">
        <f>ROUND(IF(AQ49="7",BI49,0),2)</f>
        <v>0</v>
      </c>
      <c r="AF49" s="27">
        <f>ROUND(IF(AQ49="2",BH49,0),2)</f>
        <v>0</v>
      </c>
      <c r="AG49" s="27">
        <f>ROUND(IF(AQ49="2",BI49,0),2)</f>
        <v>0</v>
      </c>
      <c r="AH49" s="27">
        <f>ROUND(IF(AQ49="0",BJ49,0),2)</f>
        <v>0</v>
      </c>
      <c r="AI49" s="12" t="s">
        <v>52</v>
      </c>
      <c r="AJ49" s="27">
        <f>IF(AN49=0,K49,0)</f>
        <v>0</v>
      </c>
      <c r="AK49" s="27">
        <f>IF(AN49=12,K49,0)</f>
        <v>0</v>
      </c>
      <c r="AL49" s="27">
        <f>IF(AN49=21,K49,0)</f>
        <v>0</v>
      </c>
      <c r="AN49" s="27">
        <v>12</v>
      </c>
      <c r="AO49" s="27">
        <f>G49*1</f>
        <v>0</v>
      </c>
      <c r="AP49" s="27">
        <f>G49*(1-1)</f>
        <v>0</v>
      </c>
      <c r="AQ49" s="30" t="s">
        <v>55</v>
      </c>
      <c r="AV49" s="27">
        <f>ROUND(AW49+AX49,2)</f>
        <v>0</v>
      </c>
      <c r="AW49" s="27">
        <f>ROUND(F49*AO49,2)</f>
        <v>0</v>
      </c>
      <c r="AX49" s="27">
        <f>ROUND(F49*AP49,2)</f>
        <v>0</v>
      </c>
      <c r="AY49" s="30" t="s">
        <v>129</v>
      </c>
      <c r="AZ49" s="30" t="s">
        <v>91</v>
      </c>
      <c r="BA49" s="12" t="s">
        <v>62</v>
      </c>
      <c r="BC49" s="27">
        <f>AW49+AX49</f>
        <v>0</v>
      </c>
      <c r="BD49" s="27">
        <f>G49/(100-BE49)*100</f>
        <v>0</v>
      </c>
      <c r="BE49" s="27">
        <v>0</v>
      </c>
      <c r="BF49" s="27">
        <f>49</f>
        <v>49</v>
      </c>
      <c r="BH49" s="27">
        <f>F49*AO49</f>
        <v>0</v>
      </c>
      <c r="BI49" s="27">
        <f>F49*AP49</f>
        <v>0</v>
      </c>
      <c r="BJ49" s="27">
        <f>F49*G49</f>
        <v>0</v>
      </c>
      <c r="BK49" s="30" t="s">
        <v>134</v>
      </c>
      <c r="BL49" s="27">
        <v>64</v>
      </c>
      <c r="BW49" s="27">
        <f>H49</f>
        <v>12</v>
      </c>
      <c r="BX49" s="5" t="s">
        <v>137</v>
      </c>
    </row>
    <row r="50" spans="1:76" x14ac:dyDescent="0.25">
      <c r="A50" s="31"/>
      <c r="C50" s="32" t="s">
        <v>55</v>
      </c>
      <c r="D50" s="32" t="s">
        <v>52</v>
      </c>
      <c r="F50" s="33">
        <v>1</v>
      </c>
      <c r="L50" s="34"/>
    </row>
    <row r="51" spans="1:76" ht="25.5" x14ac:dyDescent="0.25">
      <c r="A51" s="31"/>
      <c r="B51" s="35" t="s">
        <v>71</v>
      </c>
      <c r="C51" s="100" t="s">
        <v>138</v>
      </c>
      <c r="D51" s="101"/>
      <c r="E51" s="101"/>
      <c r="F51" s="101"/>
      <c r="G51" s="101"/>
      <c r="H51" s="101"/>
      <c r="I51" s="101"/>
      <c r="J51" s="101"/>
      <c r="K51" s="101"/>
      <c r="L51" s="102"/>
      <c r="BX51" s="36" t="s">
        <v>138</v>
      </c>
    </row>
    <row r="52" spans="1:76" x14ac:dyDescent="0.25">
      <c r="A52" s="2" t="s">
        <v>139</v>
      </c>
      <c r="B52" s="3" t="s">
        <v>140</v>
      </c>
      <c r="C52" s="84" t="s">
        <v>141</v>
      </c>
      <c r="D52" s="79"/>
      <c r="E52" s="3" t="s">
        <v>69</v>
      </c>
      <c r="F52" s="27">
        <v>4</v>
      </c>
      <c r="G52" s="27">
        <v>0</v>
      </c>
      <c r="H52" s="28">
        <v>12</v>
      </c>
      <c r="I52" s="27">
        <f>ROUND(F52*AO52,2)</f>
        <v>0</v>
      </c>
      <c r="J52" s="27">
        <f>ROUND(F52*AP52,2)</f>
        <v>0</v>
      </c>
      <c r="K52" s="27">
        <f>ROUND(F52*G52,2)</f>
        <v>0</v>
      </c>
      <c r="L52" s="29" t="s">
        <v>59</v>
      </c>
      <c r="Z52" s="27">
        <f>ROUND(IF(AQ52="5",BJ52,0),2)</f>
        <v>0</v>
      </c>
      <c r="AB52" s="27">
        <f>ROUND(IF(AQ52="1",BH52,0),2)</f>
        <v>0</v>
      </c>
      <c r="AC52" s="27">
        <f>ROUND(IF(AQ52="1",BI52,0),2)</f>
        <v>0</v>
      </c>
      <c r="AD52" s="27">
        <f>ROUND(IF(AQ52="7",BH52,0),2)</f>
        <v>0</v>
      </c>
      <c r="AE52" s="27">
        <f>ROUND(IF(AQ52="7",BI52,0),2)</f>
        <v>0</v>
      </c>
      <c r="AF52" s="27">
        <f>ROUND(IF(AQ52="2",BH52,0),2)</f>
        <v>0</v>
      </c>
      <c r="AG52" s="27">
        <f>ROUND(IF(AQ52="2",BI52,0),2)</f>
        <v>0</v>
      </c>
      <c r="AH52" s="27">
        <f>ROUND(IF(AQ52="0",BJ52,0),2)</f>
        <v>0</v>
      </c>
      <c r="AI52" s="12" t="s">
        <v>52</v>
      </c>
      <c r="AJ52" s="27">
        <f>IF(AN52=0,K52,0)</f>
        <v>0</v>
      </c>
      <c r="AK52" s="27">
        <f>IF(AN52=12,K52,0)</f>
        <v>0</v>
      </c>
      <c r="AL52" s="27">
        <f>IF(AN52=21,K52,0)</f>
        <v>0</v>
      </c>
      <c r="AN52" s="27">
        <v>12</v>
      </c>
      <c r="AO52" s="27">
        <f>G52*1</f>
        <v>0</v>
      </c>
      <c r="AP52" s="27">
        <f>G52*(1-1)</f>
        <v>0</v>
      </c>
      <c r="AQ52" s="30" t="s">
        <v>55</v>
      </c>
      <c r="AV52" s="27">
        <f>ROUND(AW52+AX52,2)</f>
        <v>0</v>
      </c>
      <c r="AW52" s="27">
        <f>ROUND(F52*AO52,2)</f>
        <v>0</v>
      </c>
      <c r="AX52" s="27">
        <f>ROUND(F52*AP52,2)</f>
        <v>0</v>
      </c>
      <c r="AY52" s="30" t="s">
        <v>129</v>
      </c>
      <c r="AZ52" s="30" t="s">
        <v>91</v>
      </c>
      <c r="BA52" s="12" t="s">
        <v>62</v>
      </c>
      <c r="BC52" s="27">
        <f>AW52+AX52</f>
        <v>0</v>
      </c>
      <c r="BD52" s="27">
        <f>G52/(100-BE52)*100</f>
        <v>0</v>
      </c>
      <c r="BE52" s="27">
        <v>0</v>
      </c>
      <c r="BF52" s="27">
        <f>52</f>
        <v>52</v>
      </c>
      <c r="BH52" s="27">
        <f>F52*AO52</f>
        <v>0</v>
      </c>
      <c r="BI52" s="27">
        <f>F52*AP52</f>
        <v>0</v>
      </c>
      <c r="BJ52" s="27">
        <f>F52*G52</f>
        <v>0</v>
      </c>
      <c r="BK52" s="30" t="s">
        <v>134</v>
      </c>
      <c r="BL52" s="27">
        <v>64</v>
      </c>
      <c r="BW52" s="27">
        <f>H52</f>
        <v>12</v>
      </c>
      <c r="BX52" s="5" t="s">
        <v>141</v>
      </c>
    </row>
    <row r="53" spans="1:76" x14ac:dyDescent="0.25">
      <c r="A53" s="31"/>
      <c r="C53" s="32" t="s">
        <v>86</v>
      </c>
      <c r="D53" s="32" t="s">
        <v>52</v>
      </c>
      <c r="F53" s="33">
        <v>4</v>
      </c>
      <c r="L53" s="34"/>
    </row>
    <row r="54" spans="1:76" ht="25.5" x14ac:dyDescent="0.25">
      <c r="A54" s="31"/>
      <c r="B54" s="35" t="s">
        <v>71</v>
      </c>
      <c r="C54" s="100" t="s">
        <v>138</v>
      </c>
      <c r="D54" s="101"/>
      <c r="E54" s="101"/>
      <c r="F54" s="101"/>
      <c r="G54" s="101"/>
      <c r="H54" s="101"/>
      <c r="I54" s="101"/>
      <c r="J54" s="101"/>
      <c r="K54" s="101"/>
      <c r="L54" s="102"/>
      <c r="BX54" s="36" t="s">
        <v>138</v>
      </c>
    </row>
    <row r="55" spans="1:76" x14ac:dyDescent="0.25">
      <c r="A55" s="2" t="s">
        <v>142</v>
      </c>
      <c r="B55" s="3" t="s">
        <v>143</v>
      </c>
      <c r="C55" s="84" t="s">
        <v>144</v>
      </c>
      <c r="D55" s="79"/>
      <c r="E55" s="3" t="s">
        <v>69</v>
      </c>
      <c r="F55" s="27">
        <v>1</v>
      </c>
      <c r="G55" s="27">
        <v>0</v>
      </c>
      <c r="H55" s="28">
        <v>12</v>
      </c>
      <c r="I55" s="27">
        <f>ROUND(F55*AO55,2)</f>
        <v>0</v>
      </c>
      <c r="J55" s="27">
        <f>ROUND(F55*AP55,2)</f>
        <v>0</v>
      </c>
      <c r="K55" s="27">
        <f>ROUND(F55*G55,2)</f>
        <v>0</v>
      </c>
      <c r="L55" s="29" t="s">
        <v>116</v>
      </c>
      <c r="Z55" s="27">
        <f>ROUND(IF(AQ55="5",BJ55,0),2)</f>
        <v>0</v>
      </c>
      <c r="AB55" s="27">
        <f>ROUND(IF(AQ55="1",BH55,0),2)</f>
        <v>0</v>
      </c>
      <c r="AC55" s="27">
        <f>ROUND(IF(AQ55="1",BI55,0),2)</f>
        <v>0</v>
      </c>
      <c r="AD55" s="27">
        <f>ROUND(IF(AQ55="7",BH55,0),2)</f>
        <v>0</v>
      </c>
      <c r="AE55" s="27">
        <f>ROUND(IF(AQ55="7",BI55,0),2)</f>
        <v>0</v>
      </c>
      <c r="AF55" s="27">
        <f>ROUND(IF(AQ55="2",BH55,0),2)</f>
        <v>0</v>
      </c>
      <c r="AG55" s="27">
        <f>ROUND(IF(AQ55="2",BI55,0),2)</f>
        <v>0</v>
      </c>
      <c r="AH55" s="27">
        <f>ROUND(IF(AQ55="0",BJ55,0),2)</f>
        <v>0</v>
      </c>
      <c r="AI55" s="12" t="s">
        <v>52</v>
      </c>
      <c r="AJ55" s="27">
        <f>IF(AN55=0,K55,0)</f>
        <v>0</v>
      </c>
      <c r="AK55" s="27">
        <f>IF(AN55=12,K55,0)</f>
        <v>0</v>
      </c>
      <c r="AL55" s="27">
        <f>IF(AN55=21,K55,0)</f>
        <v>0</v>
      </c>
      <c r="AN55" s="27">
        <v>12</v>
      </c>
      <c r="AO55" s="27">
        <f>G55*1</f>
        <v>0</v>
      </c>
      <c r="AP55" s="27">
        <f>G55*(1-1)</f>
        <v>0</v>
      </c>
      <c r="AQ55" s="30" t="s">
        <v>55</v>
      </c>
      <c r="AV55" s="27">
        <f>ROUND(AW55+AX55,2)</f>
        <v>0</v>
      </c>
      <c r="AW55" s="27">
        <f>ROUND(F55*AO55,2)</f>
        <v>0</v>
      </c>
      <c r="AX55" s="27">
        <f>ROUND(F55*AP55,2)</f>
        <v>0</v>
      </c>
      <c r="AY55" s="30" t="s">
        <v>129</v>
      </c>
      <c r="AZ55" s="30" t="s">
        <v>91</v>
      </c>
      <c r="BA55" s="12" t="s">
        <v>62</v>
      </c>
      <c r="BC55" s="27">
        <f>AW55+AX55</f>
        <v>0</v>
      </c>
      <c r="BD55" s="27">
        <f>G55/(100-BE55)*100</f>
        <v>0</v>
      </c>
      <c r="BE55" s="27">
        <v>0</v>
      </c>
      <c r="BF55" s="27">
        <f>55</f>
        <v>55</v>
      </c>
      <c r="BH55" s="27">
        <f>F55*AO55</f>
        <v>0</v>
      </c>
      <c r="BI55" s="27">
        <f>F55*AP55</f>
        <v>0</v>
      </c>
      <c r="BJ55" s="27">
        <f>F55*G55</f>
        <v>0</v>
      </c>
      <c r="BK55" s="30" t="s">
        <v>134</v>
      </c>
      <c r="BL55" s="27">
        <v>64</v>
      </c>
      <c r="BW55" s="27">
        <f>H55</f>
        <v>12</v>
      </c>
      <c r="BX55" s="5" t="s">
        <v>144</v>
      </c>
    </row>
    <row r="56" spans="1:76" x14ac:dyDescent="0.25">
      <c r="A56" s="31"/>
      <c r="C56" s="32" t="s">
        <v>55</v>
      </c>
      <c r="D56" s="32" t="s">
        <v>52</v>
      </c>
      <c r="F56" s="33">
        <v>1</v>
      </c>
      <c r="L56" s="34"/>
    </row>
    <row r="57" spans="1:76" ht="25.5" x14ac:dyDescent="0.25">
      <c r="A57" s="31"/>
      <c r="B57" s="35" t="s">
        <v>71</v>
      </c>
      <c r="C57" s="100" t="s">
        <v>145</v>
      </c>
      <c r="D57" s="101"/>
      <c r="E57" s="101"/>
      <c r="F57" s="101"/>
      <c r="G57" s="101"/>
      <c r="H57" s="101"/>
      <c r="I57" s="101"/>
      <c r="J57" s="101"/>
      <c r="K57" s="101"/>
      <c r="L57" s="102"/>
      <c r="BX57" s="36" t="s">
        <v>145</v>
      </c>
    </row>
    <row r="58" spans="1:76" x14ac:dyDescent="0.25">
      <c r="A58" s="2" t="s">
        <v>146</v>
      </c>
      <c r="B58" s="3" t="s">
        <v>147</v>
      </c>
      <c r="C58" s="84" t="s">
        <v>148</v>
      </c>
      <c r="D58" s="79"/>
      <c r="E58" s="3" t="s">
        <v>69</v>
      </c>
      <c r="F58" s="27">
        <v>4</v>
      </c>
      <c r="G58" s="27">
        <v>0</v>
      </c>
      <c r="H58" s="28">
        <v>12</v>
      </c>
      <c r="I58" s="27">
        <f>ROUND(F58*AO58,2)</f>
        <v>0</v>
      </c>
      <c r="J58" s="27">
        <f>ROUND(F58*AP58,2)</f>
        <v>0</v>
      </c>
      <c r="K58" s="27">
        <f>ROUND(F58*G58,2)</f>
        <v>0</v>
      </c>
      <c r="L58" s="29" t="s">
        <v>116</v>
      </c>
      <c r="Z58" s="27">
        <f>ROUND(IF(AQ58="5",BJ58,0),2)</f>
        <v>0</v>
      </c>
      <c r="AB58" s="27">
        <f>ROUND(IF(AQ58="1",BH58,0),2)</f>
        <v>0</v>
      </c>
      <c r="AC58" s="27">
        <f>ROUND(IF(AQ58="1",BI58,0),2)</f>
        <v>0</v>
      </c>
      <c r="AD58" s="27">
        <f>ROUND(IF(AQ58="7",BH58,0),2)</f>
        <v>0</v>
      </c>
      <c r="AE58" s="27">
        <f>ROUND(IF(AQ58="7",BI58,0),2)</f>
        <v>0</v>
      </c>
      <c r="AF58" s="27">
        <f>ROUND(IF(AQ58="2",BH58,0),2)</f>
        <v>0</v>
      </c>
      <c r="AG58" s="27">
        <f>ROUND(IF(AQ58="2",BI58,0),2)</f>
        <v>0</v>
      </c>
      <c r="AH58" s="27">
        <f>ROUND(IF(AQ58="0",BJ58,0),2)</f>
        <v>0</v>
      </c>
      <c r="AI58" s="12" t="s">
        <v>52</v>
      </c>
      <c r="AJ58" s="27">
        <f>IF(AN58=0,K58,0)</f>
        <v>0</v>
      </c>
      <c r="AK58" s="27">
        <f>IF(AN58=12,K58,0)</f>
        <v>0</v>
      </c>
      <c r="AL58" s="27">
        <f>IF(AN58=21,K58,0)</f>
        <v>0</v>
      </c>
      <c r="AN58" s="27">
        <v>12</v>
      </c>
      <c r="AO58" s="27">
        <f>G58*1</f>
        <v>0</v>
      </c>
      <c r="AP58" s="27">
        <f>G58*(1-1)</f>
        <v>0</v>
      </c>
      <c r="AQ58" s="30" t="s">
        <v>55</v>
      </c>
      <c r="AV58" s="27">
        <f>ROUND(AW58+AX58,2)</f>
        <v>0</v>
      </c>
      <c r="AW58" s="27">
        <f>ROUND(F58*AO58,2)</f>
        <v>0</v>
      </c>
      <c r="AX58" s="27">
        <f>ROUND(F58*AP58,2)</f>
        <v>0</v>
      </c>
      <c r="AY58" s="30" t="s">
        <v>129</v>
      </c>
      <c r="AZ58" s="30" t="s">
        <v>91</v>
      </c>
      <c r="BA58" s="12" t="s">
        <v>62</v>
      </c>
      <c r="BC58" s="27">
        <f>AW58+AX58</f>
        <v>0</v>
      </c>
      <c r="BD58" s="27">
        <f>G58/(100-BE58)*100</f>
        <v>0</v>
      </c>
      <c r="BE58" s="27">
        <v>0</v>
      </c>
      <c r="BF58" s="27">
        <f>58</f>
        <v>58</v>
      </c>
      <c r="BH58" s="27">
        <f>F58*AO58</f>
        <v>0</v>
      </c>
      <c r="BI58" s="27">
        <f>F58*AP58</f>
        <v>0</v>
      </c>
      <c r="BJ58" s="27">
        <f>F58*G58</f>
        <v>0</v>
      </c>
      <c r="BK58" s="30" t="s">
        <v>134</v>
      </c>
      <c r="BL58" s="27">
        <v>64</v>
      </c>
      <c r="BW58" s="27">
        <f>H58</f>
        <v>12</v>
      </c>
      <c r="BX58" s="5" t="s">
        <v>148</v>
      </c>
    </row>
    <row r="59" spans="1:76" x14ac:dyDescent="0.25">
      <c r="A59" s="31"/>
      <c r="C59" s="32" t="s">
        <v>86</v>
      </c>
      <c r="D59" s="32" t="s">
        <v>52</v>
      </c>
      <c r="F59" s="33">
        <v>4</v>
      </c>
      <c r="L59" s="34"/>
    </row>
    <row r="60" spans="1:76" ht="25.5" x14ac:dyDescent="0.25">
      <c r="A60" s="31"/>
      <c r="B60" s="35" t="s">
        <v>71</v>
      </c>
      <c r="C60" s="100" t="s">
        <v>145</v>
      </c>
      <c r="D60" s="101"/>
      <c r="E60" s="101"/>
      <c r="F60" s="101"/>
      <c r="G60" s="101"/>
      <c r="H60" s="101"/>
      <c r="I60" s="101"/>
      <c r="J60" s="101"/>
      <c r="K60" s="101"/>
      <c r="L60" s="102"/>
      <c r="BX60" s="36" t="s">
        <v>145</v>
      </c>
    </row>
    <row r="61" spans="1:76" x14ac:dyDescent="0.25">
      <c r="A61" s="37" t="s">
        <v>52</v>
      </c>
      <c r="B61" s="38" t="s">
        <v>149</v>
      </c>
      <c r="C61" s="103" t="s">
        <v>150</v>
      </c>
      <c r="D61" s="104"/>
      <c r="E61" s="39" t="s">
        <v>4</v>
      </c>
      <c r="F61" s="39" t="s">
        <v>4</v>
      </c>
      <c r="G61" s="39" t="s">
        <v>4</v>
      </c>
      <c r="H61" s="39" t="s">
        <v>4</v>
      </c>
      <c r="I61" s="1">
        <f>SUM(I62:I62)</f>
        <v>0</v>
      </c>
      <c r="J61" s="1">
        <f>SUM(J62:J62)</f>
        <v>0</v>
      </c>
      <c r="K61" s="1">
        <f>SUM(K62:K62)</f>
        <v>0</v>
      </c>
      <c r="L61" s="40" t="s">
        <v>52</v>
      </c>
      <c r="AI61" s="12" t="s">
        <v>52</v>
      </c>
      <c r="AS61" s="1">
        <f>SUM(AJ62:AJ62)</f>
        <v>0</v>
      </c>
      <c r="AT61" s="1">
        <f>SUM(AK62:AK62)</f>
        <v>0</v>
      </c>
      <c r="AU61" s="1">
        <f>SUM(AL62:AL62)</f>
        <v>0</v>
      </c>
    </row>
    <row r="62" spans="1:76" x14ac:dyDescent="0.25">
      <c r="A62" s="2" t="s">
        <v>151</v>
      </c>
      <c r="B62" s="3" t="s">
        <v>152</v>
      </c>
      <c r="C62" s="84" t="s">
        <v>153</v>
      </c>
      <c r="D62" s="79"/>
      <c r="E62" s="3" t="s">
        <v>78</v>
      </c>
      <c r="F62" s="27">
        <v>3.6</v>
      </c>
      <c r="G62" s="27">
        <v>0</v>
      </c>
      <c r="H62" s="28">
        <v>12</v>
      </c>
      <c r="I62" s="27">
        <f>ROUND(F62*AO62,2)</f>
        <v>0</v>
      </c>
      <c r="J62" s="27">
        <f>ROUND(F62*AP62,2)</f>
        <v>0</v>
      </c>
      <c r="K62" s="27">
        <f>ROUND(F62*G62,2)</f>
        <v>0</v>
      </c>
      <c r="L62" s="29" t="s">
        <v>59</v>
      </c>
      <c r="Z62" s="27">
        <f>ROUND(IF(AQ62="5",BJ62,0),2)</f>
        <v>0</v>
      </c>
      <c r="AB62" s="27">
        <f>ROUND(IF(AQ62="1",BH62,0),2)</f>
        <v>0</v>
      </c>
      <c r="AC62" s="27">
        <f>ROUND(IF(AQ62="1",BI62,0),2)</f>
        <v>0</v>
      </c>
      <c r="AD62" s="27">
        <f>ROUND(IF(AQ62="7",BH62,0),2)</f>
        <v>0</v>
      </c>
      <c r="AE62" s="27">
        <f>ROUND(IF(AQ62="7",BI62,0),2)</f>
        <v>0</v>
      </c>
      <c r="AF62" s="27">
        <f>ROUND(IF(AQ62="2",BH62,0),2)</f>
        <v>0</v>
      </c>
      <c r="AG62" s="27">
        <f>ROUND(IF(AQ62="2",BI62,0),2)</f>
        <v>0</v>
      </c>
      <c r="AH62" s="27">
        <f>ROUND(IF(AQ62="0",BJ62,0),2)</f>
        <v>0</v>
      </c>
      <c r="AI62" s="12" t="s">
        <v>52</v>
      </c>
      <c r="AJ62" s="27">
        <f>IF(AN62=0,K62,0)</f>
        <v>0</v>
      </c>
      <c r="AK62" s="27">
        <f>IF(AN62=12,K62,0)</f>
        <v>0</v>
      </c>
      <c r="AL62" s="27">
        <f>IF(AN62=21,K62,0)</f>
        <v>0</v>
      </c>
      <c r="AN62" s="27">
        <v>12</v>
      </c>
      <c r="AO62" s="27">
        <f>G62*0.7048732</f>
        <v>0</v>
      </c>
      <c r="AP62" s="27">
        <f>G62*(1-0.7048732)</f>
        <v>0</v>
      </c>
      <c r="AQ62" s="30" t="s">
        <v>104</v>
      </c>
      <c r="AV62" s="27">
        <f>ROUND(AW62+AX62,2)</f>
        <v>0</v>
      </c>
      <c r="AW62" s="27">
        <f>ROUND(F62*AO62,2)</f>
        <v>0</v>
      </c>
      <c r="AX62" s="27">
        <f>ROUND(F62*AP62,2)</f>
        <v>0</v>
      </c>
      <c r="AY62" s="30" t="s">
        <v>154</v>
      </c>
      <c r="AZ62" s="30" t="s">
        <v>155</v>
      </c>
      <c r="BA62" s="12" t="s">
        <v>62</v>
      </c>
      <c r="BC62" s="27">
        <f>AW62+AX62</f>
        <v>0</v>
      </c>
      <c r="BD62" s="27">
        <f>G62/(100-BE62)*100</f>
        <v>0</v>
      </c>
      <c r="BE62" s="27">
        <v>0</v>
      </c>
      <c r="BF62" s="27">
        <f>62</f>
        <v>62</v>
      </c>
      <c r="BH62" s="27">
        <f>F62*AO62</f>
        <v>0</v>
      </c>
      <c r="BI62" s="27">
        <f>F62*AP62</f>
        <v>0</v>
      </c>
      <c r="BJ62" s="27">
        <f>F62*G62</f>
        <v>0</v>
      </c>
      <c r="BK62" s="30" t="s">
        <v>63</v>
      </c>
      <c r="BL62" s="27">
        <v>711</v>
      </c>
      <c r="BW62" s="27">
        <f>H62</f>
        <v>12</v>
      </c>
      <c r="BX62" s="5" t="s">
        <v>153</v>
      </c>
    </row>
    <row r="63" spans="1:76" x14ac:dyDescent="0.25">
      <c r="A63" s="31"/>
      <c r="C63" s="32" t="s">
        <v>81</v>
      </c>
      <c r="D63" s="32" t="s">
        <v>156</v>
      </c>
      <c r="F63" s="33">
        <v>3.6</v>
      </c>
      <c r="L63" s="34"/>
    </row>
    <row r="64" spans="1:76" ht="25.5" x14ac:dyDescent="0.25">
      <c r="A64" s="31"/>
      <c r="B64" s="35" t="s">
        <v>71</v>
      </c>
      <c r="C64" s="100" t="s">
        <v>157</v>
      </c>
      <c r="D64" s="101"/>
      <c r="E64" s="101"/>
      <c r="F64" s="101"/>
      <c r="G64" s="101"/>
      <c r="H64" s="101"/>
      <c r="I64" s="101"/>
      <c r="J64" s="101"/>
      <c r="K64" s="101"/>
      <c r="L64" s="102"/>
      <c r="BX64" s="36" t="s">
        <v>157</v>
      </c>
    </row>
    <row r="65" spans="1:76" x14ac:dyDescent="0.25">
      <c r="A65" s="37" t="s">
        <v>52</v>
      </c>
      <c r="B65" s="38" t="s">
        <v>158</v>
      </c>
      <c r="C65" s="103" t="s">
        <v>159</v>
      </c>
      <c r="D65" s="104"/>
      <c r="E65" s="39" t="s">
        <v>4</v>
      </c>
      <c r="F65" s="39" t="s">
        <v>4</v>
      </c>
      <c r="G65" s="39" t="s">
        <v>4</v>
      </c>
      <c r="H65" s="39" t="s">
        <v>4</v>
      </c>
      <c r="I65" s="1">
        <f>SUM(I66:I76)</f>
        <v>0</v>
      </c>
      <c r="J65" s="1">
        <f>SUM(J66:J76)</f>
        <v>0</v>
      </c>
      <c r="K65" s="1">
        <f>SUM(K66:K76)</f>
        <v>0</v>
      </c>
      <c r="L65" s="40" t="s">
        <v>52</v>
      </c>
      <c r="AI65" s="12" t="s">
        <v>52</v>
      </c>
      <c r="AS65" s="1">
        <f>SUM(AJ66:AJ76)</f>
        <v>0</v>
      </c>
      <c r="AT65" s="1">
        <f>SUM(AK66:AK76)</f>
        <v>0</v>
      </c>
      <c r="AU65" s="1">
        <f>SUM(AL66:AL76)</f>
        <v>0</v>
      </c>
    </row>
    <row r="66" spans="1:76" x14ac:dyDescent="0.25">
      <c r="A66" s="2" t="s">
        <v>160</v>
      </c>
      <c r="B66" s="3" t="s">
        <v>161</v>
      </c>
      <c r="C66" s="84" t="s">
        <v>162</v>
      </c>
      <c r="D66" s="79"/>
      <c r="E66" s="3" t="s">
        <v>89</v>
      </c>
      <c r="F66" s="27">
        <v>5.8</v>
      </c>
      <c r="G66" s="27">
        <v>0</v>
      </c>
      <c r="H66" s="28">
        <v>12</v>
      </c>
      <c r="I66" s="27">
        <f>ROUND(F66*AO66,2)</f>
        <v>0</v>
      </c>
      <c r="J66" s="27">
        <f>ROUND(F66*AP66,2)</f>
        <v>0</v>
      </c>
      <c r="K66" s="27">
        <f>ROUND(F66*G66,2)</f>
        <v>0</v>
      </c>
      <c r="L66" s="29" t="s">
        <v>59</v>
      </c>
      <c r="Z66" s="27">
        <f>ROUND(IF(AQ66="5",BJ66,0),2)</f>
        <v>0</v>
      </c>
      <c r="AB66" s="27">
        <f>ROUND(IF(AQ66="1",BH66,0),2)</f>
        <v>0</v>
      </c>
      <c r="AC66" s="27">
        <f>ROUND(IF(AQ66="1",BI66,0),2)</f>
        <v>0</v>
      </c>
      <c r="AD66" s="27">
        <f>ROUND(IF(AQ66="7",BH66,0),2)</f>
        <v>0</v>
      </c>
      <c r="AE66" s="27">
        <f>ROUND(IF(AQ66="7",BI66,0),2)</f>
        <v>0</v>
      </c>
      <c r="AF66" s="27">
        <f>ROUND(IF(AQ66="2",BH66,0),2)</f>
        <v>0</v>
      </c>
      <c r="AG66" s="27">
        <f>ROUND(IF(AQ66="2",BI66,0),2)</f>
        <v>0</v>
      </c>
      <c r="AH66" s="27">
        <f>ROUND(IF(AQ66="0",BJ66,0),2)</f>
        <v>0</v>
      </c>
      <c r="AI66" s="12" t="s">
        <v>52</v>
      </c>
      <c r="AJ66" s="27">
        <f>IF(AN66=0,K66,0)</f>
        <v>0</v>
      </c>
      <c r="AK66" s="27">
        <f>IF(AN66=12,K66,0)</f>
        <v>0</v>
      </c>
      <c r="AL66" s="27">
        <f>IF(AN66=21,K66,0)</f>
        <v>0</v>
      </c>
      <c r="AN66" s="27">
        <v>12</v>
      </c>
      <c r="AO66" s="27">
        <f>G66*0.635093291</f>
        <v>0</v>
      </c>
      <c r="AP66" s="27">
        <f>G66*(1-0.635093291)</f>
        <v>0</v>
      </c>
      <c r="AQ66" s="30" t="s">
        <v>104</v>
      </c>
      <c r="AV66" s="27">
        <f>ROUND(AW66+AX66,2)</f>
        <v>0</v>
      </c>
      <c r="AW66" s="27">
        <f>ROUND(F66*AO66,2)</f>
        <v>0</v>
      </c>
      <c r="AX66" s="27">
        <f>ROUND(F66*AP66,2)</f>
        <v>0</v>
      </c>
      <c r="AY66" s="30" t="s">
        <v>163</v>
      </c>
      <c r="AZ66" s="30" t="s">
        <v>164</v>
      </c>
      <c r="BA66" s="12" t="s">
        <v>62</v>
      </c>
      <c r="BC66" s="27">
        <f>AW66+AX66</f>
        <v>0</v>
      </c>
      <c r="BD66" s="27">
        <f>G66/(100-BE66)*100</f>
        <v>0</v>
      </c>
      <c r="BE66" s="27">
        <v>0</v>
      </c>
      <c r="BF66" s="27">
        <f>66</f>
        <v>66</v>
      </c>
      <c r="BH66" s="27">
        <f>F66*AO66</f>
        <v>0</v>
      </c>
      <c r="BI66" s="27">
        <f>F66*AP66</f>
        <v>0</v>
      </c>
      <c r="BJ66" s="27">
        <f>F66*G66</f>
        <v>0</v>
      </c>
      <c r="BK66" s="30" t="s">
        <v>63</v>
      </c>
      <c r="BL66" s="27">
        <v>721</v>
      </c>
      <c r="BW66" s="27">
        <f>H66</f>
        <v>12</v>
      </c>
      <c r="BX66" s="5" t="s">
        <v>162</v>
      </c>
    </row>
    <row r="67" spans="1:76" x14ac:dyDescent="0.25">
      <c r="A67" s="31"/>
      <c r="C67" s="32" t="s">
        <v>165</v>
      </c>
      <c r="D67" s="32" t="s">
        <v>52</v>
      </c>
      <c r="F67" s="33">
        <v>5.8</v>
      </c>
      <c r="L67" s="34"/>
    </row>
    <row r="68" spans="1:76" x14ac:dyDescent="0.25">
      <c r="A68" s="2" t="s">
        <v>166</v>
      </c>
      <c r="B68" s="3" t="s">
        <v>167</v>
      </c>
      <c r="C68" s="84" t="s">
        <v>168</v>
      </c>
      <c r="D68" s="79"/>
      <c r="E68" s="3" t="s">
        <v>89</v>
      </c>
      <c r="F68" s="27">
        <v>0.5</v>
      </c>
      <c r="G68" s="27">
        <v>0</v>
      </c>
      <c r="H68" s="28">
        <v>12</v>
      </c>
      <c r="I68" s="27">
        <f>ROUND(F68*AO68,2)</f>
        <v>0</v>
      </c>
      <c r="J68" s="27">
        <f>ROUND(F68*AP68,2)</f>
        <v>0</v>
      </c>
      <c r="K68" s="27">
        <f>ROUND(F68*G68,2)</f>
        <v>0</v>
      </c>
      <c r="L68" s="29" t="s">
        <v>59</v>
      </c>
      <c r="Z68" s="27">
        <f>ROUND(IF(AQ68="5",BJ68,0),2)</f>
        <v>0</v>
      </c>
      <c r="AB68" s="27">
        <f>ROUND(IF(AQ68="1",BH68,0),2)</f>
        <v>0</v>
      </c>
      <c r="AC68" s="27">
        <f>ROUND(IF(AQ68="1",BI68,0),2)</f>
        <v>0</v>
      </c>
      <c r="AD68" s="27">
        <f>ROUND(IF(AQ68="7",BH68,0),2)</f>
        <v>0</v>
      </c>
      <c r="AE68" s="27">
        <f>ROUND(IF(AQ68="7",BI68,0),2)</f>
        <v>0</v>
      </c>
      <c r="AF68" s="27">
        <f>ROUND(IF(AQ68="2",BH68,0),2)</f>
        <v>0</v>
      </c>
      <c r="AG68" s="27">
        <f>ROUND(IF(AQ68="2",BI68,0),2)</f>
        <v>0</v>
      </c>
      <c r="AH68" s="27">
        <f>ROUND(IF(AQ68="0",BJ68,0),2)</f>
        <v>0</v>
      </c>
      <c r="AI68" s="12" t="s">
        <v>52</v>
      </c>
      <c r="AJ68" s="27">
        <f>IF(AN68=0,K68,0)</f>
        <v>0</v>
      </c>
      <c r="AK68" s="27">
        <f>IF(AN68=12,K68,0)</f>
        <v>0</v>
      </c>
      <c r="AL68" s="27">
        <f>IF(AN68=21,K68,0)</f>
        <v>0</v>
      </c>
      <c r="AN68" s="27">
        <v>12</v>
      </c>
      <c r="AO68" s="27">
        <f>G68*0.587194245</f>
        <v>0</v>
      </c>
      <c r="AP68" s="27">
        <f>G68*(1-0.587194245)</f>
        <v>0</v>
      </c>
      <c r="AQ68" s="30" t="s">
        <v>104</v>
      </c>
      <c r="AV68" s="27">
        <f>ROUND(AW68+AX68,2)</f>
        <v>0</v>
      </c>
      <c r="AW68" s="27">
        <f>ROUND(F68*AO68,2)</f>
        <v>0</v>
      </c>
      <c r="AX68" s="27">
        <f>ROUND(F68*AP68,2)</f>
        <v>0</v>
      </c>
      <c r="AY68" s="30" t="s">
        <v>163</v>
      </c>
      <c r="AZ68" s="30" t="s">
        <v>164</v>
      </c>
      <c r="BA68" s="12" t="s">
        <v>62</v>
      </c>
      <c r="BC68" s="27">
        <f>AW68+AX68</f>
        <v>0</v>
      </c>
      <c r="BD68" s="27">
        <f>G68/(100-BE68)*100</f>
        <v>0</v>
      </c>
      <c r="BE68" s="27">
        <v>0</v>
      </c>
      <c r="BF68" s="27">
        <f>68</f>
        <v>68</v>
      </c>
      <c r="BH68" s="27">
        <f>F68*AO68</f>
        <v>0</v>
      </c>
      <c r="BI68" s="27">
        <f>F68*AP68</f>
        <v>0</v>
      </c>
      <c r="BJ68" s="27">
        <f>F68*G68</f>
        <v>0</v>
      </c>
      <c r="BK68" s="30" t="s">
        <v>63</v>
      </c>
      <c r="BL68" s="27">
        <v>721</v>
      </c>
      <c r="BW68" s="27">
        <f>H68</f>
        <v>12</v>
      </c>
      <c r="BX68" s="5" t="s">
        <v>168</v>
      </c>
    </row>
    <row r="69" spans="1:76" x14ac:dyDescent="0.25">
      <c r="A69" s="31"/>
      <c r="C69" s="32" t="s">
        <v>169</v>
      </c>
      <c r="D69" s="32" t="s">
        <v>52</v>
      </c>
      <c r="F69" s="33">
        <v>0.5</v>
      </c>
      <c r="L69" s="34"/>
    </row>
    <row r="70" spans="1:76" x14ac:dyDescent="0.25">
      <c r="A70" s="2" t="s">
        <v>170</v>
      </c>
      <c r="B70" s="3" t="s">
        <v>171</v>
      </c>
      <c r="C70" s="84" t="s">
        <v>172</v>
      </c>
      <c r="D70" s="79"/>
      <c r="E70" s="3" t="s">
        <v>69</v>
      </c>
      <c r="F70" s="27">
        <v>1</v>
      </c>
      <c r="G70" s="27">
        <v>0</v>
      </c>
      <c r="H70" s="28">
        <v>12</v>
      </c>
      <c r="I70" s="27">
        <f>ROUND(F70*AO70,2)</f>
        <v>0</v>
      </c>
      <c r="J70" s="27">
        <f>ROUND(F70*AP70,2)</f>
        <v>0</v>
      </c>
      <c r="K70" s="27">
        <f>ROUND(F70*G70,2)</f>
        <v>0</v>
      </c>
      <c r="L70" s="29" t="s">
        <v>59</v>
      </c>
      <c r="Z70" s="27">
        <f>ROUND(IF(AQ70="5",BJ70,0),2)</f>
        <v>0</v>
      </c>
      <c r="AB70" s="27">
        <f>ROUND(IF(AQ70="1",BH70,0),2)</f>
        <v>0</v>
      </c>
      <c r="AC70" s="27">
        <f>ROUND(IF(AQ70="1",BI70,0),2)</f>
        <v>0</v>
      </c>
      <c r="AD70" s="27">
        <f>ROUND(IF(AQ70="7",BH70,0),2)</f>
        <v>0</v>
      </c>
      <c r="AE70" s="27">
        <f>ROUND(IF(AQ70="7",BI70,0),2)</f>
        <v>0</v>
      </c>
      <c r="AF70" s="27">
        <f>ROUND(IF(AQ70="2",BH70,0),2)</f>
        <v>0</v>
      </c>
      <c r="AG70" s="27">
        <f>ROUND(IF(AQ70="2",BI70,0),2)</f>
        <v>0</v>
      </c>
      <c r="AH70" s="27">
        <f>ROUND(IF(AQ70="0",BJ70,0),2)</f>
        <v>0</v>
      </c>
      <c r="AI70" s="12" t="s">
        <v>52</v>
      </c>
      <c r="AJ70" s="27">
        <f>IF(AN70=0,K70,0)</f>
        <v>0</v>
      </c>
      <c r="AK70" s="27">
        <f>IF(AN70=12,K70,0)</f>
        <v>0</v>
      </c>
      <c r="AL70" s="27">
        <f>IF(AN70=21,K70,0)</f>
        <v>0</v>
      </c>
      <c r="AN70" s="27">
        <v>12</v>
      </c>
      <c r="AO70" s="27">
        <f>G70*0.16519337</f>
        <v>0</v>
      </c>
      <c r="AP70" s="27">
        <f>G70*(1-0.16519337)</f>
        <v>0</v>
      </c>
      <c r="AQ70" s="30" t="s">
        <v>104</v>
      </c>
      <c r="AV70" s="27">
        <f>ROUND(AW70+AX70,2)</f>
        <v>0</v>
      </c>
      <c r="AW70" s="27">
        <f>ROUND(F70*AO70,2)</f>
        <v>0</v>
      </c>
      <c r="AX70" s="27">
        <f>ROUND(F70*AP70,2)</f>
        <v>0</v>
      </c>
      <c r="AY70" s="30" t="s">
        <v>163</v>
      </c>
      <c r="AZ70" s="30" t="s">
        <v>164</v>
      </c>
      <c r="BA70" s="12" t="s">
        <v>62</v>
      </c>
      <c r="BC70" s="27">
        <f>AW70+AX70</f>
        <v>0</v>
      </c>
      <c r="BD70" s="27">
        <f>G70/(100-BE70)*100</f>
        <v>0</v>
      </c>
      <c r="BE70" s="27">
        <v>0</v>
      </c>
      <c r="BF70" s="27">
        <f>70</f>
        <v>70</v>
      </c>
      <c r="BH70" s="27">
        <f>F70*AO70</f>
        <v>0</v>
      </c>
      <c r="BI70" s="27">
        <f>F70*AP70</f>
        <v>0</v>
      </c>
      <c r="BJ70" s="27">
        <f>F70*G70</f>
        <v>0</v>
      </c>
      <c r="BK70" s="30" t="s">
        <v>63</v>
      </c>
      <c r="BL70" s="27">
        <v>721</v>
      </c>
      <c r="BW70" s="27">
        <f>H70</f>
        <v>12</v>
      </c>
      <c r="BX70" s="5" t="s">
        <v>172</v>
      </c>
    </row>
    <row r="71" spans="1:76" x14ac:dyDescent="0.25">
      <c r="A71" s="31"/>
      <c r="C71" s="32" t="s">
        <v>55</v>
      </c>
      <c r="D71" s="32" t="s">
        <v>52</v>
      </c>
      <c r="F71" s="33">
        <v>1</v>
      </c>
      <c r="L71" s="34"/>
    </row>
    <row r="72" spans="1:76" x14ac:dyDescent="0.25">
      <c r="A72" s="2" t="s">
        <v>173</v>
      </c>
      <c r="B72" s="3" t="s">
        <v>174</v>
      </c>
      <c r="C72" s="84" t="s">
        <v>175</v>
      </c>
      <c r="D72" s="79"/>
      <c r="E72" s="3" t="s">
        <v>69</v>
      </c>
      <c r="F72" s="27">
        <v>1</v>
      </c>
      <c r="G72" s="27">
        <v>0</v>
      </c>
      <c r="H72" s="28">
        <v>12</v>
      </c>
      <c r="I72" s="27">
        <f>ROUND(F72*AO72,2)</f>
        <v>0</v>
      </c>
      <c r="J72" s="27">
        <f>ROUND(F72*AP72,2)</f>
        <v>0</v>
      </c>
      <c r="K72" s="27">
        <f>ROUND(F72*G72,2)</f>
        <v>0</v>
      </c>
      <c r="L72" s="29" t="s">
        <v>59</v>
      </c>
      <c r="Z72" s="27">
        <f>ROUND(IF(AQ72="5",BJ72,0),2)</f>
        <v>0</v>
      </c>
      <c r="AB72" s="27">
        <f>ROUND(IF(AQ72="1",BH72,0),2)</f>
        <v>0</v>
      </c>
      <c r="AC72" s="27">
        <f>ROUND(IF(AQ72="1",BI72,0),2)</f>
        <v>0</v>
      </c>
      <c r="AD72" s="27">
        <f>ROUND(IF(AQ72="7",BH72,0),2)</f>
        <v>0</v>
      </c>
      <c r="AE72" s="27">
        <f>ROUND(IF(AQ72="7",BI72,0),2)</f>
        <v>0</v>
      </c>
      <c r="AF72" s="27">
        <f>ROUND(IF(AQ72="2",BH72,0),2)</f>
        <v>0</v>
      </c>
      <c r="AG72" s="27">
        <f>ROUND(IF(AQ72="2",BI72,0),2)</f>
        <v>0</v>
      </c>
      <c r="AH72" s="27">
        <f>ROUND(IF(AQ72="0",BJ72,0),2)</f>
        <v>0</v>
      </c>
      <c r="AI72" s="12" t="s">
        <v>52</v>
      </c>
      <c r="AJ72" s="27">
        <f>IF(AN72=0,K72,0)</f>
        <v>0</v>
      </c>
      <c r="AK72" s="27">
        <f>IF(AN72=12,K72,0)</f>
        <v>0</v>
      </c>
      <c r="AL72" s="27">
        <f>IF(AN72=21,K72,0)</f>
        <v>0</v>
      </c>
      <c r="AN72" s="27">
        <v>12</v>
      </c>
      <c r="AO72" s="27">
        <f>G72*0.209380888</f>
        <v>0</v>
      </c>
      <c r="AP72" s="27">
        <f>G72*(1-0.209380888)</f>
        <v>0</v>
      </c>
      <c r="AQ72" s="30" t="s">
        <v>104</v>
      </c>
      <c r="AV72" s="27">
        <f>ROUND(AW72+AX72,2)</f>
        <v>0</v>
      </c>
      <c r="AW72" s="27">
        <f>ROUND(F72*AO72,2)</f>
        <v>0</v>
      </c>
      <c r="AX72" s="27">
        <f>ROUND(F72*AP72,2)</f>
        <v>0</v>
      </c>
      <c r="AY72" s="30" t="s">
        <v>163</v>
      </c>
      <c r="AZ72" s="30" t="s">
        <v>164</v>
      </c>
      <c r="BA72" s="12" t="s">
        <v>62</v>
      </c>
      <c r="BC72" s="27">
        <f>AW72+AX72</f>
        <v>0</v>
      </c>
      <c r="BD72" s="27">
        <f>G72/(100-BE72)*100</f>
        <v>0</v>
      </c>
      <c r="BE72" s="27">
        <v>0</v>
      </c>
      <c r="BF72" s="27">
        <f>72</f>
        <v>72</v>
      </c>
      <c r="BH72" s="27">
        <f>F72*AO72</f>
        <v>0</v>
      </c>
      <c r="BI72" s="27">
        <f>F72*AP72</f>
        <v>0</v>
      </c>
      <c r="BJ72" s="27">
        <f>F72*G72</f>
        <v>0</v>
      </c>
      <c r="BK72" s="30" t="s">
        <v>63</v>
      </c>
      <c r="BL72" s="27">
        <v>721</v>
      </c>
      <c r="BW72" s="27">
        <f>H72</f>
        <v>12</v>
      </c>
      <c r="BX72" s="5" t="s">
        <v>175</v>
      </c>
    </row>
    <row r="73" spans="1:76" x14ac:dyDescent="0.25">
      <c r="A73" s="31"/>
      <c r="C73" s="32" t="s">
        <v>55</v>
      </c>
      <c r="D73" s="32" t="s">
        <v>52</v>
      </c>
      <c r="F73" s="33">
        <v>1</v>
      </c>
      <c r="L73" s="34"/>
    </row>
    <row r="74" spans="1:76" x14ac:dyDescent="0.25">
      <c r="A74" s="2" t="s">
        <v>176</v>
      </c>
      <c r="B74" s="3" t="s">
        <v>177</v>
      </c>
      <c r="C74" s="84" t="s">
        <v>178</v>
      </c>
      <c r="D74" s="79"/>
      <c r="E74" s="3" t="s">
        <v>69</v>
      </c>
      <c r="F74" s="27">
        <v>4</v>
      </c>
      <c r="G74" s="27">
        <v>0</v>
      </c>
      <c r="H74" s="28">
        <v>12</v>
      </c>
      <c r="I74" s="27">
        <f>ROUND(F74*AO74,2)</f>
        <v>0</v>
      </c>
      <c r="J74" s="27">
        <f>ROUND(F74*AP74,2)</f>
        <v>0</v>
      </c>
      <c r="K74" s="27">
        <f>ROUND(F74*G74,2)</f>
        <v>0</v>
      </c>
      <c r="L74" s="29" t="s">
        <v>116</v>
      </c>
      <c r="Z74" s="27">
        <f>ROUND(IF(AQ74="5",BJ74,0),2)</f>
        <v>0</v>
      </c>
      <c r="AB74" s="27">
        <f>ROUND(IF(AQ74="1",BH74,0),2)</f>
        <v>0</v>
      </c>
      <c r="AC74" s="27">
        <f>ROUND(IF(AQ74="1",BI74,0),2)</f>
        <v>0</v>
      </c>
      <c r="AD74" s="27">
        <f>ROUND(IF(AQ74="7",BH74,0),2)</f>
        <v>0</v>
      </c>
      <c r="AE74" s="27">
        <f>ROUND(IF(AQ74="7",BI74,0),2)</f>
        <v>0</v>
      </c>
      <c r="AF74" s="27">
        <f>ROUND(IF(AQ74="2",BH74,0),2)</f>
        <v>0</v>
      </c>
      <c r="AG74" s="27">
        <f>ROUND(IF(AQ74="2",BI74,0),2)</f>
        <v>0</v>
      </c>
      <c r="AH74" s="27">
        <f>ROUND(IF(AQ74="0",BJ74,0),2)</f>
        <v>0</v>
      </c>
      <c r="AI74" s="12" t="s">
        <v>52</v>
      </c>
      <c r="AJ74" s="27">
        <f>IF(AN74=0,K74,0)</f>
        <v>0</v>
      </c>
      <c r="AK74" s="27">
        <f>IF(AN74=12,K74,0)</f>
        <v>0</v>
      </c>
      <c r="AL74" s="27">
        <f>IF(AN74=21,K74,0)</f>
        <v>0</v>
      </c>
      <c r="AN74" s="27">
        <v>12</v>
      </c>
      <c r="AO74" s="27">
        <f>G74*0</f>
        <v>0</v>
      </c>
      <c r="AP74" s="27">
        <f>G74*(1-0)</f>
        <v>0</v>
      </c>
      <c r="AQ74" s="30" t="s">
        <v>104</v>
      </c>
      <c r="AV74" s="27">
        <f>ROUND(AW74+AX74,2)</f>
        <v>0</v>
      </c>
      <c r="AW74" s="27">
        <f>ROUND(F74*AO74,2)</f>
        <v>0</v>
      </c>
      <c r="AX74" s="27">
        <f>ROUND(F74*AP74,2)</f>
        <v>0</v>
      </c>
      <c r="AY74" s="30" t="s">
        <v>163</v>
      </c>
      <c r="AZ74" s="30" t="s">
        <v>164</v>
      </c>
      <c r="BA74" s="12" t="s">
        <v>62</v>
      </c>
      <c r="BC74" s="27">
        <f>AW74+AX74</f>
        <v>0</v>
      </c>
      <c r="BD74" s="27">
        <f>G74/(100-BE74)*100</f>
        <v>0</v>
      </c>
      <c r="BE74" s="27">
        <v>0</v>
      </c>
      <c r="BF74" s="27">
        <f>74</f>
        <v>74</v>
      </c>
      <c r="BH74" s="27">
        <f>F74*AO74</f>
        <v>0</v>
      </c>
      <c r="BI74" s="27">
        <f>F74*AP74</f>
        <v>0</v>
      </c>
      <c r="BJ74" s="27">
        <f>F74*G74</f>
        <v>0</v>
      </c>
      <c r="BK74" s="30" t="s">
        <v>63</v>
      </c>
      <c r="BL74" s="27">
        <v>721</v>
      </c>
      <c r="BW74" s="27">
        <f>H74</f>
        <v>12</v>
      </c>
      <c r="BX74" s="5" t="s">
        <v>178</v>
      </c>
    </row>
    <row r="75" spans="1:76" x14ac:dyDescent="0.25">
      <c r="A75" s="31"/>
      <c r="C75" s="32" t="s">
        <v>86</v>
      </c>
      <c r="D75" s="32" t="s">
        <v>52</v>
      </c>
      <c r="F75" s="33">
        <v>4</v>
      </c>
      <c r="L75" s="34"/>
    </row>
    <row r="76" spans="1:76" x14ac:dyDescent="0.25">
      <c r="A76" s="2" t="s">
        <v>179</v>
      </c>
      <c r="B76" s="3" t="s">
        <v>180</v>
      </c>
      <c r="C76" s="84" t="s">
        <v>181</v>
      </c>
      <c r="D76" s="79"/>
      <c r="E76" s="3" t="s">
        <v>182</v>
      </c>
      <c r="F76" s="27">
        <v>4.8000000000000001E-2</v>
      </c>
      <c r="G76" s="27">
        <v>0</v>
      </c>
      <c r="H76" s="28">
        <v>12</v>
      </c>
      <c r="I76" s="27">
        <f>ROUND(F76*AO76,2)</f>
        <v>0</v>
      </c>
      <c r="J76" s="27">
        <f>ROUND(F76*AP76,2)</f>
        <v>0</v>
      </c>
      <c r="K76" s="27">
        <f>ROUND(F76*G76,2)</f>
        <v>0</v>
      </c>
      <c r="L76" s="29" t="s">
        <v>59</v>
      </c>
      <c r="Z76" s="27">
        <f>ROUND(IF(AQ76="5",BJ76,0),2)</f>
        <v>0</v>
      </c>
      <c r="AB76" s="27">
        <f>ROUND(IF(AQ76="1",BH76,0),2)</f>
        <v>0</v>
      </c>
      <c r="AC76" s="27">
        <f>ROUND(IF(AQ76="1",BI76,0),2)</f>
        <v>0</v>
      </c>
      <c r="AD76" s="27">
        <f>ROUND(IF(AQ76="7",BH76,0),2)</f>
        <v>0</v>
      </c>
      <c r="AE76" s="27">
        <f>ROUND(IF(AQ76="7",BI76,0),2)</f>
        <v>0</v>
      </c>
      <c r="AF76" s="27">
        <f>ROUND(IF(AQ76="2",BH76,0),2)</f>
        <v>0</v>
      </c>
      <c r="AG76" s="27">
        <f>ROUND(IF(AQ76="2",BI76,0),2)</f>
        <v>0</v>
      </c>
      <c r="AH76" s="27">
        <f>ROUND(IF(AQ76="0",BJ76,0),2)</f>
        <v>0</v>
      </c>
      <c r="AI76" s="12" t="s">
        <v>52</v>
      </c>
      <c r="AJ76" s="27">
        <f>IF(AN76=0,K76,0)</f>
        <v>0</v>
      </c>
      <c r="AK76" s="27">
        <f>IF(AN76=12,K76,0)</f>
        <v>0</v>
      </c>
      <c r="AL76" s="27">
        <f>IF(AN76=21,K76,0)</f>
        <v>0</v>
      </c>
      <c r="AN76" s="27">
        <v>12</v>
      </c>
      <c r="AO76" s="27">
        <f>G76*0</f>
        <v>0</v>
      </c>
      <c r="AP76" s="27">
        <f>G76*(1-0)</f>
        <v>0</v>
      </c>
      <c r="AQ76" s="30" t="s">
        <v>93</v>
      </c>
      <c r="AV76" s="27">
        <f>ROUND(AW76+AX76,2)</f>
        <v>0</v>
      </c>
      <c r="AW76" s="27">
        <f>ROUND(F76*AO76,2)</f>
        <v>0</v>
      </c>
      <c r="AX76" s="27">
        <f>ROUND(F76*AP76,2)</f>
        <v>0</v>
      </c>
      <c r="AY76" s="30" t="s">
        <v>163</v>
      </c>
      <c r="AZ76" s="30" t="s">
        <v>164</v>
      </c>
      <c r="BA76" s="12" t="s">
        <v>62</v>
      </c>
      <c r="BC76" s="27">
        <f>AW76+AX76</f>
        <v>0</v>
      </c>
      <c r="BD76" s="27">
        <f>G76/(100-BE76)*100</f>
        <v>0</v>
      </c>
      <c r="BE76" s="27">
        <v>0</v>
      </c>
      <c r="BF76" s="27">
        <f>76</f>
        <v>76</v>
      </c>
      <c r="BH76" s="27">
        <f>F76*AO76</f>
        <v>0</v>
      </c>
      <c r="BI76" s="27">
        <f>F76*AP76</f>
        <v>0</v>
      </c>
      <c r="BJ76" s="27">
        <f>F76*G76</f>
        <v>0</v>
      </c>
      <c r="BK76" s="30" t="s">
        <v>63</v>
      </c>
      <c r="BL76" s="27">
        <v>721</v>
      </c>
      <c r="BW76" s="27">
        <f>H76</f>
        <v>12</v>
      </c>
      <c r="BX76" s="5" t="s">
        <v>181</v>
      </c>
    </row>
    <row r="77" spans="1:76" x14ac:dyDescent="0.25">
      <c r="A77" s="31"/>
      <c r="C77" s="32" t="s">
        <v>183</v>
      </c>
      <c r="D77" s="32" t="s">
        <v>52</v>
      </c>
      <c r="F77" s="33">
        <v>4.8000000000000001E-2</v>
      </c>
      <c r="L77" s="34"/>
    </row>
    <row r="78" spans="1:76" x14ac:dyDescent="0.25">
      <c r="A78" s="37" t="s">
        <v>52</v>
      </c>
      <c r="B78" s="38" t="s">
        <v>184</v>
      </c>
      <c r="C78" s="103" t="s">
        <v>185</v>
      </c>
      <c r="D78" s="104"/>
      <c r="E78" s="39" t="s">
        <v>4</v>
      </c>
      <c r="F78" s="39" t="s">
        <v>4</v>
      </c>
      <c r="G78" s="39" t="s">
        <v>4</v>
      </c>
      <c r="H78" s="39" t="s">
        <v>4</v>
      </c>
      <c r="I78" s="1">
        <f>SUM(I79:I91)</f>
        <v>0</v>
      </c>
      <c r="J78" s="1">
        <f>SUM(J79:J91)</f>
        <v>0</v>
      </c>
      <c r="K78" s="1">
        <f>SUM(K79:K91)</f>
        <v>0</v>
      </c>
      <c r="L78" s="40" t="s">
        <v>52</v>
      </c>
      <c r="AI78" s="12" t="s">
        <v>52</v>
      </c>
      <c r="AS78" s="1">
        <f>SUM(AJ79:AJ91)</f>
        <v>0</v>
      </c>
      <c r="AT78" s="1">
        <f>SUM(AK79:AK91)</f>
        <v>0</v>
      </c>
      <c r="AU78" s="1">
        <f>SUM(AL79:AL91)</f>
        <v>0</v>
      </c>
    </row>
    <row r="79" spans="1:76" x14ac:dyDescent="0.25">
      <c r="A79" s="2" t="s">
        <v>186</v>
      </c>
      <c r="B79" s="3" t="s">
        <v>187</v>
      </c>
      <c r="C79" s="84" t="s">
        <v>188</v>
      </c>
      <c r="D79" s="79"/>
      <c r="E79" s="3" t="s">
        <v>89</v>
      </c>
      <c r="F79" s="27">
        <v>12.5</v>
      </c>
      <c r="G79" s="27">
        <v>0</v>
      </c>
      <c r="H79" s="28">
        <v>12</v>
      </c>
      <c r="I79" s="27">
        <f>ROUND(F79*AO79,2)</f>
        <v>0</v>
      </c>
      <c r="J79" s="27">
        <f>ROUND(F79*AP79,2)</f>
        <v>0</v>
      </c>
      <c r="K79" s="27">
        <f>ROUND(F79*G79,2)</f>
        <v>0</v>
      </c>
      <c r="L79" s="29" t="s">
        <v>59</v>
      </c>
      <c r="Z79" s="27">
        <f>ROUND(IF(AQ79="5",BJ79,0),2)</f>
        <v>0</v>
      </c>
      <c r="AB79" s="27">
        <f>ROUND(IF(AQ79="1",BH79,0),2)</f>
        <v>0</v>
      </c>
      <c r="AC79" s="27">
        <f>ROUND(IF(AQ79="1",BI79,0),2)</f>
        <v>0</v>
      </c>
      <c r="AD79" s="27">
        <f>ROUND(IF(AQ79="7",BH79,0),2)</f>
        <v>0</v>
      </c>
      <c r="AE79" s="27">
        <f>ROUND(IF(AQ79="7",BI79,0),2)</f>
        <v>0</v>
      </c>
      <c r="AF79" s="27">
        <f>ROUND(IF(AQ79="2",BH79,0),2)</f>
        <v>0</v>
      </c>
      <c r="AG79" s="27">
        <f>ROUND(IF(AQ79="2",BI79,0),2)</f>
        <v>0</v>
      </c>
      <c r="AH79" s="27">
        <f>ROUND(IF(AQ79="0",BJ79,0),2)</f>
        <v>0</v>
      </c>
      <c r="AI79" s="12" t="s">
        <v>52</v>
      </c>
      <c r="AJ79" s="27">
        <f>IF(AN79=0,K79,0)</f>
        <v>0</v>
      </c>
      <c r="AK79" s="27">
        <f>IF(AN79=12,K79,0)</f>
        <v>0</v>
      </c>
      <c r="AL79" s="27">
        <f>IF(AN79=21,K79,0)</f>
        <v>0</v>
      </c>
      <c r="AN79" s="27">
        <v>12</v>
      </c>
      <c r="AO79" s="27">
        <f>G79*0.226913064</f>
        <v>0</v>
      </c>
      <c r="AP79" s="27">
        <f>G79*(1-0.226913064)</f>
        <v>0</v>
      </c>
      <c r="AQ79" s="30" t="s">
        <v>104</v>
      </c>
      <c r="AV79" s="27">
        <f>ROUND(AW79+AX79,2)</f>
        <v>0</v>
      </c>
      <c r="AW79" s="27">
        <f>ROUND(F79*AO79,2)</f>
        <v>0</v>
      </c>
      <c r="AX79" s="27">
        <f>ROUND(F79*AP79,2)</f>
        <v>0</v>
      </c>
      <c r="AY79" s="30" t="s">
        <v>189</v>
      </c>
      <c r="AZ79" s="30" t="s">
        <v>164</v>
      </c>
      <c r="BA79" s="12" t="s">
        <v>62</v>
      </c>
      <c r="BC79" s="27">
        <f>AW79+AX79</f>
        <v>0</v>
      </c>
      <c r="BD79" s="27">
        <f>G79/(100-BE79)*100</f>
        <v>0</v>
      </c>
      <c r="BE79" s="27">
        <v>0</v>
      </c>
      <c r="BF79" s="27">
        <f>79</f>
        <v>79</v>
      </c>
      <c r="BH79" s="27">
        <f>F79*AO79</f>
        <v>0</v>
      </c>
      <c r="BI79" s="27">
        <f>F79*AP79</f>
        <v>0</v>
      </c>
      <c r="BJ79" s="27">
        <f>F79*G79</f>
        <v>0</v>
      </c>
      <c r="BK79" s="30" t="s">
        <v>63</v>
      </c>
      <c r="BL79" s="27">
        <v>722</v>
      </c>
      <c r="BW79" s="27">
        <f>H79</f>
        <v>12</v>
      </c>
      <c r="BX79" s="5" t="s">
        <v>188</v>
      </c>
    </row>
    <row r="80" spans="1:76" x14ac:dyDescent="0.25">
      <c r="A80" s="31"/>
      <c r="C80" s="32" t="s">
        <v>190</v>
      </c>
      <c r="D80" s="32" t="s">
        <v>52</v>
      </c>
      <c r="F80" s="33">
        <v>12.5</v>
      </c>
      <c r="L80" s="34"/>
    </row>
    <row r="81" spans="1:76" x14ac:dyDescent="0.25">
      <c r="A81" s="2" t="s">
        <v>191</v>
      </c>
      <c r="B81" s="3" t="s">
        <v>192</v>
      </c>
      <c r="C81" s="84" t="s">
        <v>193</v>
      </c>
      <c r="D81" s="79"/>
      <c r="E81" s="3" t="s">
        <v>194</v>
      </c>
      <c r="F81" s="27">
        <v>1</v>
      </c>
      <c r="G81" s="27">
        <v>0</v>
      </c>
      <c r="H81" s="28">
        <v>12</v>
      </c>
      <c r="I81" s="27">
        <f>ROUND(F81*AO81,2)</f>
        <v>0</v>
      </c>
      <c r="J81" s="27">
        <f>ROUND(F81*AP81,2)</f>
        <v>0</v>
      </c>
      <c r="K81" s="27">
        <f>ROUND(F81*G81,2)</f>
        <v>0</v>
      </c>
      <c r="L81" s="29" t="s">
        <v>59</v>
      </c>
      <c r="Z81" s="27">
        <f>ROUND(IF(AQ81="5",BJ81,0),2)</f>
        <v>0</v>
      </c>
      <c r="AB81" s="27">
        <f>ROUND(IF(AQ81="1",BH81,0),2)</f>
        <v>0</v>
      </c>
      <c r="AC81" s="27">
        <f>ROUND(IF(AQ81="1",BI81,0),2)</f>
        <v>0</v>
      </c>
      <c r="AD81" s="27">
        <f>ROUND(IF(AQ81="7",BH81,0),2)</f>
        <v>0</v>
      </c>
      <c r="AE81" s="27">
        <f>ROUND(IF(AQ81="7",BI81,0),2)</f>
        <v>0</v>
      </c>
      <c r="AF81" s="27">
        <f>ROUND(IF(AQ81="2",BH81,0),2)</f>
        <v>0</v>
      </c>
      <c r="AG81" s="27">
        <f>ROUND(IF(AQ81="2",BI81,0),2)</f>
        <v>0</v>
      </c>
      <c r="AH81" s="27">
        <f>ROUND(IF(AQ81="0",BJ81,0),2)</f>
        <v>0</v>
      </c>
      <c r="AI81" s="12" t="s">
        <v>52</v>
      </c>
      <c r="AJ81" s="27">
        <f>IF(AN81=0,K81,0)</f>
        <v>0</v>
      </c>
      <c r="AK81" s="27">
        <f>IF(AN81=12,K81,0)</f>
        <v>0</v>
      </c>
      <c r="AL81" s="27">
        <f>IF(AN81=21,K81,0)</f>
        <v>0</v>
      </c>
      <c r="AN81" s="27">
        <v>12</v>
      </c>
      <c r="AO81" s="27">
        <f>G81*0</f>
        <v>0</v>
      </c>
      <c r="AP81" s="27">
        <f>G81*(1-0)</f>
        <v>0</v>
      </c>
      <c r="AQ81" s="30" t="s">
        <v>104</v>
      </c>
      <c r="AV81" s="27">
        <f>ROUND(AW81+AX81,2)</f>
        <v>0</v>
      </c>
      <c r="AW81" s="27">
        <f>ROUND(F81*AO81,2)</f>
        <v>0</v>
      </c>
      <c r="AX81" s="27">
        <f>ROUND(F81*AP81,2)</f>
        <v>0</v>
      </c>
      <c r="AY81" s="30" t="s">
        <v>189</v>
      </c>
      <c r="AZ81" s="30" t="s">
        <v>164</v>
      </c>
      <c r="BA81" s="12" t="s">
        <v>62</v>
      </c>
      <c r="BC81" s="27">
        <f>AW81+AX81</f>
        <v>0</v>
      </c>
      <c r="BD81" s="27">
        <f>G81/(100-BE81)*100</f>
        <v>0</v>
      </c>
      <c r="BE81" s="27">
        <v>0</v>
      </c>
      <c r="BF81" s="27">
        <f>81</f>
        <v>81</v>
      </c>
      <c r="BH81" s="27">
        <f>F81*AO81</f>
        <v>0</v>
      </c>
      <c r="BI81" s="27">
        <f>F81*AP81</f>
        <v>0</v>
      </c>
      <c r="BJ81" s="27">
        <f>F81*G81</f>
        <v>0</v>
      </c>
      <c r="BK81" s="30" t="s">
        <v>63</v>
      </c>
      <c r="BL81" s="27">
        <v>722</v>
      </c>
      <c r="BW81" s="27">
        <f>H81</f>
        <v>12</v>
      </c>
      <c r="BX81" s="5" t="s">
        <v>193</v>
      </c>
    </row>
    <row r="82" spans="1:76" x14ac:dyDescent="0.25">
      <c r="A82" s="31"/>
      <c r="C82" s="32" t="s">
        <v>55</v>
      </c>
      <c r="D82" s="32" t="s">
        <v>52</v>
      </c>
      <c r="F82" s="33">
        <v>1</v>
      </c>
      <c r="L82" s="34"/>
    </row>
    <row r="83" spans="1:76" x14ac:dyDescent="0.25">
      <c r="A83" s="2" t="s">
        <v>195</v>
      </c>
      <c r="B83" s="3" t="s">
        <v>196</v>
      </c>
      <c r="C83" s="84" t="s">
        <v>197</v>
      </c>
      <c r="D83" s="79"/>
      <c r="E83" s="3" t="s">
        <v>69</v>
      </c>
      <c r="F83" s="27">
        <v>7</v>
      </c>
      <c r="G83" s="27">
        <v>0</v>
      </c>
      <c r="H83" s="28">
        <v>12</v>
      </c>
      <c r="I83" s="27">
        <f>ROUND(F83*AO83,2)</f>
        <v>0</v>
      </c>
      <c r="J83" s="27">
        <f>ROUND(F83*AP83,2)</f>
        <v>0</v>
      </c>
      <c r="K83" s="27">
        <f>ROUND(F83*G83,2)</f>
        <v>0</v>
      </c>
      <c r="L83" s="29" t="s">
        <v>59</v>
      </c>
      <c r="Z83" s="27">
        <f>ROUND(IF(AQ83="5",BJ83,0),2)</f>
        <v>0</v>
      </c>
      <c r="AB83" s="27">
        <f>ROUND(IF(AQ83="1",BH83,0),2)</f>
        <v>0</v>
      </c>
      <c r="AC83" s="27">
        <f>ROUND(IF(AQ83="1",BI83,0),2)</f>
        <v>0</v>
      </c>
      <c r="AD83" s="27">
        <f>ROUND(IF(AQ83="7",BH83,0),2)</f>
        <v>0</v>
      </c>
      <c r="AE83" s="27">
        <f>ROUND(IF(AQ83="7",BI83,0),2)</f>
        <v>0</v>
      </c>
      <c r="AF83" s="27">
        <f>ROUND(IF(AQ83="2",BH83,0),2)</f>
        <v>0</v>
      </c>
      <c r="AG83" s="27">
        <f>ROUND(IF(AQ83="2",BI83,0),2)</f>
        <v>0</v>
      </c>
      <c r="AH83" s="27">
        <f>ROUND(IF(AQ83="0",BJ83,0),2)</f>
        <v>0</v>
      </c>
      <c r="AI83" s="12" t="s">
        <v>52</v>
      </c>
      <c r="AJ83" s="27">
        <f>IF(AN83=0,K83,0)</f>
        <v>0</v>
      </c>
      <c r="AK83" s="27">
        <f>IF(AN83=12,K83,0)</f>
        <v>0</v>
      </c>
      <c r="AL83" s="27">
        <f>IF(AN83=21,K83,0)</f>
        <v>0</v>
      </c>
      <c r="AN83" s="27">
        <v>12</v>
      </c>
      <c r="AO83" s="27">
        <f>G83*0.378808674</f>
        <v>0</v>
      </c>
      <c r="AP83" s="27">
        <f>G83*(1-0.378808674)</f>
        <v>0</v>
      </c>
      <c r="AQ83" s="30" t="s">
        <v>104</v>
      </c>
      <c r="AV83" s="27">
        <f>ROUND(AW83+AX83,2)</f>
        <v>0</v>
      </c>
      <c r="AW83" s="27">
        <f>ROUND(F83*AO83,2)</f>
        <v>0</v>
      </c>
      <c r="AX83" s="27">
        <f>ROUND(F83*AP83,2)</f>
        <v>0</v>
      </c>
      <c r="AY83" s="30" t="s">
        <v>189</v>
      </c>
      <c r="AZ83" s="30" t="s">
        <v>164</v>
      </c>
      <c r="BA83" s="12" t="s">
        <v>62</v>
      </c>
      <c r="BC83" s="27">
        <f>AW83+AX83</f>
        <v>0</v>
      </c>
      <c r="BD83" s="27">
        <f>G83/(100-BE83)*100</f>
        <v>0</v>
      </c>
      <c r="BE83" s="27">
        <v>0</v>
      </c>
      <c r="BF83" s="27">
        <f>83</f>
        <v>83</v>
      </c>
      <c r="BH83" s="27">
        <f>F83*AO83</f>
        <v>0</v>
      </c>
      <c r="BI83" s="27">
        <f>F83*AP83</f>
        <v>0</v>
      </c>
      <c r="BJ83" s="27">
        <f>F83*G83</f>
        <v>0</v>
      </c>
      <c r="BK83" s="30" t="s">
        <v>63</v>
      </c>
      <c r="BL83" s="27">
        <v>722</v>
      </c>
      <c r="BW83" s="27">
        <f>H83</f>
        <v>12</v>
      </c>
      <c r="BX83" s="5" t="s">
        <v>197</v>
      </c>
    </row>
    <row r="84" spans="1:76" x14ac:dyDescent="0.25">
      <c r="A84" s="31"/>
      <c r="C84" s="32" t="s">
        <v>104</v>
      </c>
      <c r="D84" s="32" t="s">
        <v>52</v>
      </c>
      <c r="F84" s="33">
        <v>7</v>
      </c>
      <c r="L84" s="34"/>
    </row>
    <row r="85" spans="1:76" x14ac:dyDescent="0.25">
      <c r="A85" s="2" t="s">
        <v>198</v>
      </c>
      <c r="B85" s="3" t="s">
        <v>199</v>
      </c>
      <c r="C85" s="84" t="s">
        <v>200</v>
      </c>
      <c r="D85" s="79"/>
      <c r="E85" s="3" t="s">
        <v>69</v>
      </c>
      <c r="F85" s="27">
        <v>2</v>
      </c>
      <c r="G85" s="27">
        <v>0</v>
      </c>
      <c r="H85" s="28">
        <v>12</v>
      </c>
      <c r="I85" s="27">
        <f>ROUND(F85*AO85,2)</f>
        <v>0</v>
      </c>
      <c r="J85" s="27">
        <f>ROUND(F85*AP85,2)</f>
        <v>0</v>
      </c>
      <c r="K85" s="27">
        <f>ROUND(F85*G85,2)</f>
        <v>0</v>
      </c>
      <c r="L85" s="29" t="s">
        <v>59</v>
      </c>
      <c r="Z85" s="27">
        <f>ROUND(IF(AQ85="5",BJ85,0),2)</f>
        <v>0</v>
      </c>
      <c r="AB85" s="27">
        <f>ROUND(IF(AQ85="1",BH85,0),2)</f>
        <v>0</v>
      </c>
      <c r="AC85" s="27">
        <f>ROUND(IF(AQ85="1",BI85,0),2)</f>
        <v>0</v>
      </c>
      <c r="AD85" s="27">
        <f>ROUND(IF(AQ85="7",BH85,0),2)</f>
        <v>0</v>
      </c>
      <c r="AE85" s="27">
        <f>ROUND(IF(AQ85="7",BI85,0),2)</f>
        <v>0</v>
      </c>
      <c r="AF85" s="27">
        <f>ROUND(IF(AQ85="2",BH85,0),2)</f>
        <v>0</v>
      </c>
      <c r="AG85" s="27">
        <f>ROUND(IF(AQ85="2",BI85,0),2)</f>
        <v>0</v>
      </c>
      <c r="AH85" s="27">
        <f>ROUND(IF(AQ85="0",BJ85,0),2)</f>
        <v>0</v>
      </c>
      <c r="AI85" s="12" t="s">
        <v>52</v>
      </c>
      <c r="AJ85" s="27">
        <f>IF(AN85=0,K85,0)</f>
        <v>0</v>
      </c>
      <c r="AK85" s="27">
        <f>IF(AN85=12,K85,0)</f>
        <v>0</v>
      </c>
      <c r="AL85" s="27">
        <f>IF(AN85=21,K85,0)</f>
        <v>0</v>
      </c>
      <c r="AN85" s="27">
        <v>12</v>
      </c>
      <c r="AO85" s="27">
        <f>G85*0.694586826</f>
        <v>0</v>
      </c>
      <c r="AP85" s="27">
        <f>G85*(1-0.694586826)</f>
        <v>0</v>
      </c>
      <c r="AQ85" s="30" t="s">
        <v>104</v>
      </c>
      <c r="AV85" s="27">
        <f>ROUND(AW85+AX85,2)</f>
        <v>0</v>
      </c>
      <c r="AW85" s="27">
        <f>ROUND(F85*AO85,2)</f>
        <v>0</v>
      </c>
      <c r="AX85" s="27">
        <f>ROUND(F85*AP85,2)</f>
        <v>0</v>
      </c>
      <c r="AY85" s="30" t="s">
        <v>189</v>
      </c>
      <c r="AZ85" s="30" t="s">
        <v>164</v>
      </c>
      <c r="BA85" s="12" t="s">
        <v>62</v>
      </c>
      <c r="BC85" s="27">
        <f>AW85+AX85</f>
        <v>0</v>
      </c>
      <c r="BD85" s="27">
        <f>G85/(100-BE85)*100</f>
        <v>0</v>
      </c>
      <c r="BE85" s="27">
        <v>0</v>
      </c>
      <c r="BF85" s="27">
        <f>85</f>
        <v>85</v>
      </c>
      <c r="BH85" s="27">
        <f>F85*AO85</f>
        <v>0</v>
      </c>
      <c r="BI85" s="27">
        <f>F85*AP85</f>
        <v>0</v>
      </c>
      <c r="BJ85" s="27">
        <f>F85*G85</f>
        <v>0</v>
      </c>
      <c r="BK85" s="30" t="s">
        <v>63</v>
      </c>
      <c r="BL85" s="27">
        <v>722</v>
      </c>
      <c r="BW85" s="27">
        <f>H85</f>
        <v>12</v>
      </c>
      <c r="BX85" s="5" t="s">
        <v>200</v>
      </c>
    </row>
    <row r="86" spans="1:76" x14ac:dyDescent="0.25">
      <c r="A86" s="31"/>
      <c r="C86" s="32" t="s">
        <v>66</v>
      </c>
      <c r="D86" s="32" t="s">
        <v>52</v>
      </c>
      <c r="F86" s="33">
        <v>2</v>
      </c>
      <c r="L86" s="34"/>
    </row>
    <row r="87" spans="1:76" x14ac:dyDescent="0.25">
      <c r="A87" s="2" t="s">
        <v>201</v>
      </c>
      <c r="B87" s="3" t="s">
        <v>202</v>
      </c>
      <c r="C87" s="84" t="s">
        <v>203</v>
      </c>
      <c r="D87" s="79"/>
      <c r="E87" s="3" t="s">
        <v>89</v>
      </c>
      <c r="F87" s="27">
        <v>12.5</v>
      </c>
      <c r="G87" s="27">
        <v>0</v>
      </c>
      <c r="H87" s="28">
        <v>12</v>
      </c>
      <c r="I87" s="27">
        <f>ROUND(F87*AO87,2)</f>
        <v>0</v>
      </c>
      <c r="J87" s="27">
        <f>ROUND(F87*AP87,2)</f>
        <v>0</v>
      </c>
      <c r="K87" s="27">
        <f>ROUND(F87*G87,2)</f>
        <v>0</v>
      </c>
      <c r="L87" s="29" t="s">
        <v>59</v>
      </c>
      <c r="Z87" s="27">
        <f>ROUND(IF(AQ87="5",BJ87,0),2)</f>
        <v>0</v>
      </c>
      <c r="AB87" s="27">
        <f>ROUND(IF(AQ87="1",BH87,0),2)</f>
        <v>0</v>
      </c>
      <c r="AC87" s="27">
        <f>ROUND(IF(AQ87="1",BI87,0),2)</f>
        <v>0</v>
      </c>
      <c r="AD87" s="27">
        <f>ROUND(IF(AQ87="7",BH87,0),2)</f>
        <v>0</v>
      </c>
      <c r="AE87" s="27">
        <f>ROUND(IF(AQ87="7",BI87,0),2)</f>
        <v>0</v>
      </c>
      <c r="AF87" s="27">
        <f>ROUND(IF(AQ87="2",BH87,0),2)</f>
        <v>0</v>
      </c>
      <c r="AG87" s="27">
        <f>ROUND(IF(AQ87="2",BI87,0),2)</f>
        <v>0</v>
      </c>
      <c r="AH87" s="27">
        <f>ROUND(IF(AQ87="0",BJ87,0),2)</f>
        <v>0</v>
      </c>
      <c r="AI87" s="12" t="s">
        <v>52</v>
      </c>
      <c r="AJ87" s="27">
        <f>IF(AN87=0,K87,0)</f>
        <v>0</v>
      </c>
      <c r="AK87" s="27">
        <f>IF(AN87=12,K87,0)</f>
        <v>0</v>
      </c>
      <c r="AL87" s="27">
        <f>IF(AN87=21,K87,0)</f>
        <v>0</v>
      </c>
      <c r="AN87" s="27">
        <v>12</v>
      </c>
      <c r="AO87" s="27">
        <f>G87*0.051692308</f>
        <v>0</v>
      </c>
      <c r="AP87" s="27">
        <f>G87*(1-0.051692308)</f>
        <v>0</v>
      </c>
      <c r="AQ87" s="30" t="s">
        <v>104</v>
      </c>
      <c r="AV87" s="27">
        <f>ROUND(AW87+AX87,2)</f>
        <v>0</v>
      </c>
      <c r="AW87" s="27">
        <f>ROUND(F87*AO87,2)</f>
        <v>0</v>
      </c>
      <c r="AX87" s="27">
        <f>ROUND(F87*AP87,2)</f>
        <v>0</v>
      </c>
      <c r="AY87" s="30" t="s">
        <v>189</v>
      </c>
      <c r="AZ87" s="30" t="s">
        <v>164</v>
      </c>
      <c r="BA87" s="12" t="s">
        <v>62</v>
      </c>
      <c r="BC87" s="27">
        <f>AW87+AX87</f>
        <v>0</v>
      </c>
      <c r="BD87" s="27">
        <f>G87/(100-BE87)*100</f>
        <v>0</v>
      </c>
      <c r="BE87" s="27">
        <v>0</v>
      </c>
      <c r="BF87" s="27">
        <f>87</f>
        <v>87</v>
      </c>
      <c r="BH87" s="27">
        <f>F87*AO87</f>
        <v>0</v>
      </c>
      <c r="BI87" s="27">
        <f>F87*AP87</f>
        <v>0</v>
      </c>
      <c r="BJ87" s="27">
        <f>F87*G87</f>
        <v>0</v>
      </c>
      <c r="BK87" s="30" t="s">
        <v>63</v>
      </c>
      <c r="BL87" s="27">
        <v>722</v>
      </c>
      <c r="BW87" s="27">
        <f>H87</f>
        <v>12</v>
      </c>
      <c r="BX87" s="5" t="s">
        <v>203</v>
      </c>
    </row>
    <row r="88" spans="1:76" x14ac:dyDescent="0.25">
      <c r="A88" s="31"/>
      <c r="C88" s="32" t="s">
        <v>190</v>
      </c>
      <c r="D88" s="32" t="s">
        <v>52</v>
      </c>
      <c r="F88" s="33">
        <v>12.5</v>
      </c>
      <c r="L88" s="34"/>
    </row>
    <row r="89" spans="1:76" x14ac:dyDescent="0.25">
      <c r="A89" s="2" t="s">
        <v>204</v>
      </c>
      <c r="B89" s="3" t="s">
        <v>205</v>
      </c>
      <c r="C89" s="84" t="s">
        <v>206</v>
      </c>
      <c r="D89" s="79"/>
      <c r="E89" s="3" t="s">
        <v>89</v>
      </c>
      <c r="F89" s="27">
        <v>12.5</v>
      </c>
      <c r="G89" s="27">
        <v>0</v>
      </c>
      <c r="H89" s="28">
        <v>12</v>
      </c>
      <c r="I89" s="27">
        <f>ROUND(F89*AO89,2)</f>
        <v>0</v>
      </c>
      <c r="J89" s="27">
        <f>ROUND(F89*AP89,2)</f>
        <v>0</v>
      </c>
      <c r="K89" s="27">
        <f>ROUND(F89*G89,2)</f>
        <v>0</v>
      </c>
      <c r="L89" s="29" t="s">
        <v>59</v>
      </c>
      <c r="Z89" s="27">
        <f>ROUND(IF(AQ89="5",BJ89,0),2)</f>
        <v>0</v>
      </c>
      <c r="AB89" s="27">
        <f>ROUND(IF(AQ89="1",BH89,0),2)</f>
        <v>0</v>
      </c>
      <c r="AC89" s="27">
        <f>ROUND(IF(AQ89="1",BI89,0),2)</f>
        <v>0</v>
      </c>
      <c r="AD89" s="27">
        <f>ROUND(IF(AQ89="7",BH89,0),2)</f>
        <v>0</v>
      </c>
      <c r="AE89" s="27">
        <f>ROUND(IF(AQ89="7",BI89,0),2)</f>
        <v>0</v>
      </c>
      <c r="AF89" s="27">
        <f>ROUND(IF(AQ89="2",BH89,0),2)</f>
        <v>0</v>
      </c>
      <c r="AG89" s="27">
        <f>ROUND(IF(AQ89="2",BI89,0),2)</f>
        <v>0</v>
      </c>
      <c r="AH89" s="27">
        <f>ROUND(IF(AQ89="0",BJ89,0),2)</f>
        <v>0</v>
      </c>
      <c r="AI89" s="12" t="s">
        <v>52</v>
      </c>
      <c r="AJ89" s="27">
        <f>IF(AN89=0,K89,0)</f>
        <v>0</v>
      </c>
      <c r="AK89" s="27">
        <f>IF(AN89=12,K89,0)</f>
        <v>0</v>
      </c>
      <c r="AL89" s="27">
        <f>IF(AN89=21,K89,0)</f>
        <v>0</v>
      </c>
      <c r="AN89" s="27">
        <v>12</v>
      </c>
      <c r="AO89" s="27">
        <f>G89*0.222220705</f>
        <v>0</v>
      </c>
      <c r="AP89" s="27">
        <f>G89*(1-0.222220705)</f>
        <v>0</v>
      </c>
      <c r="AQ89" s="30" t="s">
        <v>104</v>
      </c>
      <c r="AV89" s="27">
        <f>ROUND(AW89+AX89,2)</f>
        <v>0</v>
      </c>
      <c r="AW89" s="27">
        <f>ROUND(F89*AO89,2)</f>
        <v>0</v>
      </c>
      <c r="AX89" s="27">
        <f>ROUND(F89*AP89,2)</f>
        <v>0</v>
      </c>
      <c r="AY89" s="30" t="s">
        <v>189</v>
      </c>
      <c r="AZ89" s="30" t="s">
        <v>164</v>
      </c>
      <c r="BA89" s="12" t="s">
        <v>62</v>
      </c>
      <c r="BC89" s="27">
        <f>AW89+AX89</f>
        <v>0</v>
      </c>
      <c r="BD89" s="27">
        <f>G89/(100-BE89)*100</f>
        <v>0</v>
      </c>
      <c r="BE89" s="27">
        <v>0</v>
      </c>
      <c r="BF89" s="27">
        <f>89</f>
        <v>89</v>
      </c>
      <c r="BH89" s="27">
        <f>F89*AO89</f>
        <v>0</v>
      </c>
      <c r="BI89" s="27">
        <f>F89*AP89</f>
        <v>0</v>
      </c>
      <c r="BJ89" s="27">
        <f>F89*G89</f>
        <v>0</v>
      </c>
      <c r="BK89" s="30" t="s">
        <v>63</v>
      </c>
      <c r="BL89" s="27">
        <v>722</v>
      </c>
      <c r="BW89" s="27">
        <f>H89</f>
        <v>12</v>
      </c>
      <c r="BX89" s="5" t="s">
        <v>206</v>
      </c>
    </row>
    <row r="90" spans="1:76" x14ac:dyDescent="0.25">
      <c r="A90" s="31"/>
      <c r="C90" s="32" t="s">
        <v>190</v>
      </c>
      <c r="D90" s="32" t="s">
        <v>52</v>
      </c>
      <c r="F90" s="33">
        <v>12.5</v>
      </c>
      <c r="L90" s="34"/>
    </row>
    <row r="91" spans="1:76" x14ac:dyDescent="0.25">
      <c r="A91" s="2" t="s">
        <v>207</v>
      </c>
      <c r="B91" s="3" t="s">
        <v>208</v>
      </c>
      <c r="C91" s="84" t="s">
        <v>209</v>
      </c>
      <c r="D91" s="79"/>
      <c r="E91" s="3" t="s">
        <v>182</v>
      </c>
      <c r="F91" s="27">
        <v>5.2999999999999999E-2</v>
      </c>
      <c r="G91" s="27">
        <v>0</v>
      </c>
      <c r="H91" s="28">
        <v>12</v>
      </c>
      <c r="I91" s="27">
        <f>ROUND(F91*AO91,2)</f>
        <v>0</v>
      </c>
      <c r="J91" s="27">
        <f>ROUND(F91*AP91,2)</f>
        <v>0</v>
      </c>
      <c r="K91" s="27">
        <f>ROUND(F91*G91,2)</f>
        <v>0</v>
      </c>
      <c r="L91" s="29" t="s">
        <v>59</v>
      </c>
      <c r="Z91" s="27">
        <f>ROUND(IF(AQ91="5",BJ91,0),2)</f>
        <v>0</v>
      </c>
      <c r="AB91" s="27">
        <f>ROUND(IF(AQ91="1",BH91,0),2)</f>
        <v>0</v>
      </c>
      <c r="AC91" s="27">
        <f>ROUND(IF(AQ91="1",BI91,0),2)</f>
        <v>0</v>
      </c>
      <c r="AD91" s="27">
        <f>ROUND(IF(AQ91="7",BH91,0),2)</f>
        <v>0</v>
      </c>
      <c r="AE91" s="27">
        <f>ROUND(IF(AQ91="7",BI91,0),2)</f>
        <v>0</v>
      </c>
      <c r="AF91" s="27">
        <f>ROUND(IF(AQ91="2",BH91,0),2)</f>
        <v>0</v>
      </c>
      <c r="AG91" s="27">
        <f>ROUND(IF(AQ91="2",BI91,0),2)</f>
        <v>0</v>
      </c>
      <c r="AH91" s="27">
        <f>ROUND(IF(AQ91="0",BJ91,0),2)</f>
        <v>0</v>
      </c>
      <c r="AI91" s="12" t="s">
        <v>52</v>
      </c>
      <c r="AJ91" s="27">
        <f>IF(AN91=0,K91,0)</f>
        <v>0</v>
      </c>
      <c r="AK91" s="27">
        <f>IF(AN91=12,K91,0)</f>
        <v>0</v>
      </c>
      <c r="AL91" s="27">
        <f>IF(AN91=21,K91,0)</f>
        <v>0</v>
      </c>
      <c r="AN91" s="27">
        <v>12</v>
      </c>
      <c r="AO91" s="27">
        <f>G91*0</f>
        <v>0</v>
      </c>
      <c r="AP91" s="27">
        <f>G91*(1-0)</f>
        <v>0</v>
      </c>
      <c r="AQ91" s="30" t="s">
        <v>93</v>
      </c>
      <c r="AV91" s="27">
        <f>ROUND(AW91+AX91,2)</f>
        <v>0</v>
      </c>
      <c r="AW91" s="27">
        <f>ROUND(F91*AO91,2)</f>
        <v>0</v>
      </c>
      <c r="AX91" s="27">
        <f>ROUND(F91*AP91,2)</f>
        <v>0</v>
      </c>
      <c r="AY91" s="30" t="s">
        <v>189</v>
      </c>
      <c r="AZ91" s="30" t="s">
        <v>164</v>
      </c>
      <c r="BA91" s="12" t="s">
        <v>62</v>
      </c>
      <c r="BC91" s="27">
        <f>AW91+AX91</f>
        <v>0</v>
      </c>
      <c r="BD91" s="27">
        <f>G91/(100-BE91)*100</f>
        <v>0</v>
      </c>
      <c r="BE91" s="27">
        <v>0</v>
      </c>
      <c r="BF91" s="27">
        <f>91</f>
        <v>91</v>
      </c>
      <c r="BH91" s="27">
        <f>F91*AO91</f>
        <v>0</v>
      </c>
      <c r="BI91" s="27">
        <f>F91*AP91</f>
        <v>0</v>
      </c>
      <c r="BJ91" s="27">
        <f>F91*G91</f>
        <v>0</v>
      </c>
      <c r="BK91" s="30" t="s">
        <v>63</v>
      </c>
      <c r="BL91" s="27">
        <v>722</v>
      </c>
      <c r="BW91" s="27">
        <f>H91</f>
        <v>12</v>
      </c>
      <c r="BX91" s="5" t="s">
        <v>209</v>
      </c>
    </row>
    <row r="92" spans="1:76" x14ac:dyDescent="0.25">
      <c r="A92" s="31"/>
      <c r="C92" s="32" t="s">
        <v>210</v>
      </c>
      <c r="D92" s="32" t="s">
        <v>52</v>
      </c>
      <c r="F92" s="33">
        <v>5.2999999999999999E-2</v>
      </c>
      <c r="L92" s="34"/>
    </row>
    <row r="93" spans="1:76" x14ac:dyDescent="0.25">
      <c r="A93" s="37" t="s">
        <v>52</v>
      </c>
      <c r="B93" s="38" t="s">
        <v>211</v>
      </c>
      <c r="C93" s="103" t="s">
        <v>212</v>
      </c>
      <c r="D93" s="104"/>
      <c r="E93" s="39" t="s">
        <v>4</v>
      </c>
      <c r="F93" s="39" t="s">
        <v>4</v>
      </c>
      <c r="G93" s="39" t="s">
        <v>4</v>
      </c>
      <c r="H93" s="39" t="s">
        <v>4</v>
      </c>
      <c r="I93" s="1">
        <f>SUM(I94:I94)</f>
        <v>0</v>
      </c>
      <c r="J93" s="1">
        <f>SUM(J94:J94)</f>
        <v>0</v>
      </c>
      <c r="K93" s="1">
        <f>SUM(K94:K94)</f>
        <v>0</v>
      </c>
      <c r="L93" s="40" t="s">
        <v>52</v>
      </c>
      <c r="AI93" s="12" t="s">
        <v>52</v>
      </c>
      <c r="AS93" s="1">
        <f>SUM(AJ94:AJ94)</f>
        <v>0</v>
      </c>
      <c r="AT93" s="1">
        <f>SUM(AK94:AK94)</f>
        <v>0</v>
      </c>
      <c r="AU93" s="1">
        <f>SUM(AL94:AL94)</f>
        <v>0</v>
      </c>
    </row>
    <row r="94" spans="1:76" x14ac:dyDescent="0.25">
      <c r="A94" s="2" t="s">
        <v>53</v>
      </c>
      <c r="B94" s="3" t="s">
        <v>213</v>
      </c>
      <c r="C94" s="84" t="s">
        <v>214</v>
      </c>
      <c r="D94" s="79"/>
      <c r="E94" s="3" t="s">
        <v>89</v>
      </c>
      <c r="F94" s="27">
        <v>6</v>
      </c>
      <c r="G94" s="27">
        <v>0</v>
      </c>
      <c r="H94" s="28">
        <v>12</v>
      </c>
      <c r="I94" s="27">
        <f>ROUND(F94*AO94,2)</f>
        <v>0</v>
      </c>
      <c r="J94" s="27">
        <f>ROUND(F94*AP94,2)</f>
        <v>0</v>
      </c>
      <c r="K94" s="27">
        <f>ROUND(F94*G94,2)</f>
        <v>0</v>
      </c>
      <c r="L94" s="29" t="s">
        <v>59</v>
      </c>
      <c r="Z94" s="27">
        <f>ROUND(IF(AQ94="5",BJ94,0),2)</f>
        <v>0</v>
      </c>
      <c r="AB94" s="27">
        <f>ROUND(IF(AQ94="1",BH94,0),2)</f>
        <v>0</v>
      </c>
      <c r="AC94" s="27">
        <f>ROUND(IF(AQ94="1",BI94,0),2)</f>
        <v>0</v>
      </c>
      <c r="AD94" s="27">
        <f>ROUND(IF(AQ94="7",BH94,0),2)</f>
        <v>0</v>
      </c>
      <c r="AE94" s="27">
        <f>ROUND(IF(AQ94="7",BI94,0),2)</f>
        <v>0</v>
      </c>
      <c r="AF94" s="27">
        <f>ROUND(IF(AQ94="2",BH94,0),2)</f>
        <v>0</v>
      </c>
      <c r="AG94" s="27">
        <f>ROUND(IF(AQ94="2",BI94,0),2)</f>
        <v>0</v>
      </c>
      <c r="AH94" s="27">
        <f>ROUND(IF(AQ94="0",BJ94,0),2)</f>
        <v>0</v>
      </c>
      <c r="AI94" s="12" t="s">
        <v>52</v>
      </c>
      <c r="AJ94" s="27">
        <f>IF(AN94=0,K94,0)</f>
        <v>0</v>
      </c>
      <c r="AK94" s="27">
        <f>IF(AN94=12,K94,0)</f>
        <v>0</v>
      </c>
      <c r="AL94" s="27">
        <f>IF(AN94=21,K94,0)</f>
        <v>0</v>
      </c>
      <c r="AN94" s="27">
        <v>12</v>
      </c>
      <c r="AO94" s="27">
        <f>G94*0</f>
        <v>0</v>
      </c>
      <c r="AP94" s="27">
        <f>G94*(1-0)</f>
        <v>0</v>
      </c>
      <c r="AQ94" s="30" t="s">
        <v>104</v>
      </c>
      <c r="AV94" s="27">
        <f>ROUND(AW94+AX94,2)</f>
        <v>0</v>
      </c>
      <c r="AW94" s="27">
        <f>ROUND(F94*AO94,2)</f>
        <v>0</v>
      </c>
      <c r="AX94" s="27">
        <f>ROUND(F94*AP94,2)</f>
        <v>0</v>
      </c>
      <c r="AY94" s="30" t="s">
        <v>215</v>
      </c>
      <c r="AZ94" s="30" t="s">
        <v>164</v>
      </c>
      <c r="BA94" s="12" t="s">
        <v>62</v>
      </c>
      <c r="BC94" s="27">
        <f>AW94+AX94</f>
        <v>0</v>
      </c>
      <c r="BD94" s="27">
        <f>G94/(100-BE94)*100</f>
        <v>0</v>
      </c>
      <c r="BE94" s="27">
        <v>0</v>
      </c>
      <c r="BF94" s="27">
        <f>94</f>
        <v>94</v>
      </c>
      <c r="BH94" s="27">
        <f>F94*AO94</f>
        <v>0</v>
      </c>
      <c r="BI94" s="27">
        <f>F94*AP94</f>
        <v>0</v>
      </c>
      <c r="BJ94" s="27">
        <f>F94*G94</f>
        <v>0</v>
      </c>
      <c r="BK94" s="30" t="s">
        <v>63</v>
      </c>
      <c r="BL94" s="27">
        <v>723</v>
      </c>
      <c r="BW94" s="27">
        <f>H94</f>
        <v>12</v>
      </c>
      <c r="BX94" s="5" t="s">
        <v>214</v>
      </c>
    </row>
    <row r="95" spans="1:76" x14ac:dyDescent="0.25">
      <c r="A95" s="31"/>
      <c r="C95" s="32" t="s">
        <v>99</v>
      </c>
      <c r="D95" s="32" t="s">
        <v>52</v>
      </c>
      <c r="F95" s="33">
        <v>6</v>
      </c>
      <c r="L95" s="34"/>
    </row>
    <row r="96" spans="1:76" x14ac:dyDescent="0.25">
      <c r="A96" s="37" t="s">
        <v>52</v>
      </c>
      <c r="B96" s="38" t="s">
        <v>216</v>
      </c>
      <c r="C96" s="103" t="s">
        <v>217</v>
      </c>
      <c r="D96" s="104"/>
      <c r="E96" s="39" t="s">
        <v>4</v>
      </c>
      <c r="F96" s="39" t="s">
        <v>4</v>
      </c>
      <c r="G96" s="39" t="s">
        <v>4</v>
      </c>
      <c r="H96" s="39" t="s">
        <v>4</v>
      </c>
      <c r="I96" s="1">
        <f>SUM(I97:I134)</f>
        <v>0</v>
      </c>
      <c r="J96" s="1">
        <f>SUM(J97:J134)</f>
        <v>0</v>
      </c>
      <c r="K96" s="1">
        <f>SUM(K97:K134)</f>
        <v>0</v>
      </c>
      <c r="L96" s="40" t="s">
        <v>52</v>
      </c>
      <c r="AI96" s="12" t="s">
        <v>52</v>
      </c>
      <c r="AS96" s="1">
        <f>SUM(AJ97:AJ134)</f>
        <v>0</v>
      </c>
      <c r="AT96" s="1">
        <f>SUM(AK97:AK134)</f>
        <v>0</v>
      </c>
      <c r="AU96" s="1">
        <f>SUM(AL97:AL134)</f>
        <v>0</v>
      </c>
    </row>
    <row r="97" spans="1:76" x14ac:dyDescent="0.25">
      <c r="A97" s="2" t="s">
        <v>218</v>
      </c>
      <c r="B97" s="3" t="s">
        <v>219</v>
      </c>
      <c r="C97" s="84" t="s">
        <v>220</v>
      </c>
      <c r="D97" s="79"/>
      <c r="E97" s="3" t="s">
        <v>194</v>
      </c>
      <c r="F97" s="27">
        <v>1</v>
      </c>
      <c r="G97" s="27">
        <v>0</v>
      </c>
      <c r="H97" s="28">
        <v>12</v>
      </c>
      <c r="I97" s="27">
        <f>ROUND(F97*AO97,2)</f>
        <v>0</v>
      </c>
      <c r="J97" s="27">
        <f>ROUND(F97*AP97,2)</f>
        <v>0</v>
      </c>
      <c r="K97" s="27">
        <f>ROUND(F97*G97,2)</f>
        <v>0</v>
      </c>
      <c r="L97" s="29" t="s">
        <v>59</v>
      </c>
      <c r="Z97" s="27">
        <f>ROUND(IF(AQ97="5",BJ97,0),2)</f>
        <v>0</v>
      </c>
      <c r="AB97" s="27">
        <f>ROUND(IF(AQ97="1",BH97,0),2)</f>
        <v>0</v>
      </c>
      <c r="AC97" s="27">
        <f>ROUND(IF(AQ97="1",BI97,0),2)</f>
        <v>0</v>
      </c>
      <c r="AD97" s="27">
        <f>ROUND(IF(AQ97="7",BH97,0),2)</f>
        <v>0</v>
      </c>
      <c r="AE97" s="27">
        <f>ROUND(IF(AQ97="7",BI97,0),2)</f>
        <v>0</v>
      </c>
      <c r="AF97" s="27">
        <f>ROUND(IF(AQ97="2",BH97,0),2)</f>
        <v>0</v>
      </c>
      <c r="AG97" s="27">
        <f>ROUND(IF(AQ97="2",BI97,0),2)</f>
        <v>0</v>
      </c>
      <c r="AH97" s="27">
        <f>ROUND(IF(AQ97="0",BJ97,0),2)</f>
        <v>0</v>
      </c>
      <c r="AI97" s="12" t="s">
        <v>52</v>
      </c>
      <c r="AJ97" s="27">
        <f>IF(AN97=0,K97,0)</f>
        <v>0</v>
      </c>
      <c r="AK97" s="27">
        <f>IF(AN97=12,K97,0)</f>
        <v>0</v>
      </c>
      <c r="AL97" s="27">
        <f>IF(AN97=21,K97,0)</f>
        <v>0</v>
      </c>
      <c r="AN97" s="27">
        <v>12</v>
      </c>
      <c r="AO97" s="27">
        <f>G97*0</f>
        <v>0</v>
      </c>
      <c r="AP97" s="27">
        <f>G97*(1-0)</f>
        <v>0</v>
      </c>
      <c r="AQ97" s="30" t="s">
        <v>104</v>
      </c>
      <c r="AV97" s="27">
        <f>ROUND(AW97+AX97,2)</f>
        <v>0</v>
      </c>
      <c r="AW97" s="27">
        <f>ROUND(F97*AO97,2)</f>
        <v>0</v>
      </c>
      <c r="AX97" s="27">
        <f>ROUND(F97*AP97,2)</f>
        <v>0</v>
      </c>
      <c r="AY97" s="30" t="s">
        <v>221</v>
      </c>
      <c r="AZ97" s="30" t="s">
        <v>164</v>
      </c>
      <c r="BA97" s="12" t="s">
        <v>62</v>
      </c>
      <c r="BC97" s="27">
        <f>AW97+AX97</f>
        <v>0</v>
      </c>
      <c r="BD97" s="27">
        <f>G97/(100-BE97)*100</f>
        <v>0</v>
      </c>
      <c r="BE97" s="27">
        <v>0</v>
      </c>
      <c r="BF97" s="27">
        <f>97</f>
        <v>97</v>
      </c>
      <c r="BH97" s="27">
        <f>F97*AO97</f>
        <v>0</v>
      </c>
      <c r="BI97" s="27">
        <f>F97*AP97</f>
        <v>0</v>
      </c>
      <c r="BJ97" s="27">
        <f>F97*G97</f>
        <v>0</v>
      </c>
      <c r="BK97" s="30" t="s">
        <v>63</v>
      </c>
      <c r="BL97" s="27">
        <v>725</v>
      </c>
      <c r="BW97" s="27">
        <f>H97</f>
        <v>12</v>
      </c>
      <c r="BX97" s="5" t="s">
        <v>220</v>
      </c>
    </row>
    <row r="98" spans="1:76" x14ac:dyDescent="0.25">
      <c r="A98" s="31"/>
      <c r="C98" s="32" t="s">
        <v>55</v>
      </c>
      <c r="D98" s="32" t="s">
        <v>52</v>
      </c>
      <c r="F98" s="33">
        <v>1</v>
      </c>
      <c r="L98" s="34"/>
    </row>
    <row r="99" spans="1:76" x14ac:dyDescent="0.25">
      <c r="A99" s="2" t="s">
        <v>222</v>
      </c>
      <c r="B99" s="3" t="s">
        <v>223</v>
      </c>
      <c r="C99" s="84" t="s">
        <v>224</v>
      </c>
      <c r="D99" s="79"/>
      <c r="E99" s="3" t="s">
        <v>194</v>
      </c>
      <c r="F99" s="27">
        <v>1</v>
      </c>
      <c r="G99" s="27">
        <v>0</v>
      </c>
      <c r="H99" s="28">
        <v>12</v>
      </c>
      <c r="I99" s="27">
        <f>ROUND(F99*AO99,2)</f>
        <v>0</v>
      </c>
      <c r="J99" s="27">
        <f>ROUND(F99*AP99,2)</f>
        <v>0</v>
      </c>
      <c r="K99" s="27">
        <f>ROUND(F99*G99,2)</f>
        <v>0</v>
      </c>
      <c r="L99" s="29" t="s">
        <v>59</v>
      </c>
      <c r="Z99" s="27">
        <f>ROUND(IF(AQ99="5",BJ99,0),2)</f>
        <v>0</v>
      </c>
      <c r="AB99" s="27">
        <f>ROUND(IF(AQ99="1",BH99,0),2)</f>
        <v>0</v>
      </c>
      <c r="AC99" s="27">
        <f>ROUND(IF(AQ99="1",BI99,0),2)</f>
        <v>0</v>
      </c>
      <c r="AD99" s="27">
        <f>ROUND(IF(AQ99="7",BH99,0),2)</f>
        <v>0</v>
      </c>
      <c r="AE99" s="27">
        <f>ROUND(IF(AQ99="7",BI99,0),2)</f>
        <v>0</v>
      </c>
      <c r="AF99" s="27">
        <f>ROUND(IF(AQ99="2",BH99,0),2)</f>
        <v>0</v>
      </c>
      <c r="AG99" s="27">
        <f>ROUND(IF(AQ99="2",BI99,0),2)</f>
        <v>0</v>
      </c>
      <c r="AH99" s="27">
        <f>ROUND(IF(AQ99="0",BJ99,0),2)</f>
        <v>0</v>
      </c>
      <c r="AI99" s="12" t="s">
        <v>52</v>
      </c>
      <c r="AJ99" s="27">
        <f>IF(AN99=0,K99,0)</f>
        <v>0</v>
      </c>
      <c r="AK99" s="27">
        <f>IF(AN99=12,K99,0)</f>
        <v>0</v>
      </c>
      <c r="AL99" s="27">
        <f>IF(AN99=21,K99,0)</f>
        <v>0</v>
      </c>
      <c r="AN99" s="27">
        <v>12</v>
      </c>
      <c r="AO99" s="27">
        <f>G99*0.876541317</f>
        <v>0</v>
      </c>
      <c r="AP99" s="27">
        <f>G99*(1-0.876541317)</f>
        <v>0</v>
      </c>
      <c r="AQ99" s="30" t="s">
        <v>104</v>
      </c>
      <c r="AV99" s="27">
        <f>ROUND(AW99+AX99,2)</f>
        <v>0</v>
      </c>
      <c r="AW99" s="27">
        <f>ROUND(F99*AO99,2)</f>
        <v>0</v>
      </c>
      <c r="AX99" s="27">
        <f>ROUND(F99*AP99,2)</f>
        <v>0</v>
      </c>
      <c r="AY99" s="30" t="s">
        <v>221</v>
      </c>
      <c r="AZ99" s="30" t="s">
        <v>164</v>
      </c>
      <c r="BA99" s="12" t="s">
        <v>62</v>
      </c>
      <c r="BC99" s="27">
        <f>AW99+AX99</f>
        <v>0</v>
      </c>
      <c r="BD99" s="27">
        <f>G99/(100-BE99)*100</f>
        <v>0</v>
      </c>
      <c r="BE99" s="27">
        <v>0</v>
      </c>
      <c r="BF99" s="27">
        <f>99</f>
        <v>99</v>
      </c>
      <c r="BH99" s="27">
        <f>F99*AO99</f>
        <v>0</v>
      </c>
      <c r="BI99" s="27">
        <f>F99*AP99</f>
        <v>0</v>
      </c>
      <c r="BJ99" s="27">
        <f>F99*G99</f>
        <v>0</v>
      </c>
      <c r="BK99" s="30" t="s">
        <v>63</v>
      </c>
      <c r="BL99" s="27">
        <v>725</v>
      </c>
      <c r="BW99" s="27">
        <f>H99</f>
        <v>12</v>
      </c>
      <c r="BX99" s="5" t="s">
        <v>224</v>
      </c>
    </row>
    <row r="100" spans="1:76" x14ac:dyDescent="0.25">
      <c r="A100" s="31"/>
      <c r="C100" s="32" t="s">
        <v>55</v>
      </c>
      <c r="D100" s="32" t="s">
        <v>52</v>
      </c>
      <c r="F100" s="33">
        <v>1</v>
      </c>
      <c r="L100" s="34"/>
    </row>
    <row r="101" spans="1:76" ht="25.5" x14ac:dyDescent="0.25">
      <c r="A101" s="31"/>
      <c r="B101" s="35" t="s">
        <v>71</v>
      </c>
      <c r="C101" s="100" t="s">
        <v>225</v>
      </c>
      <c r="D101" s="101"/>
      <c r="E101" s="101"/>
      <c r="F101" s="101"/>
      <c r="G101" s="101"/>
      <c r="H101" s="101"/>
      <c r="I101" s="101"/>
      <c r="J101" s="101"/>
      <c r="K101" s="101"/>
      <c r="L101" s="102"/>
      <c r="BX101" s="36" t="s">
        <v>225</v>
      </c>
    </row>
    <row r="102" spans="1:76" x14ac:dyDescent="0.25">
      <c r="A102" s="2" t="s">
        <v>226</v>
      </c>
      <c r="B102" s="3" t="s">
        <v>227</v>
      </c>
      <c r="C102" s="84" t="s">
        <v>228</v>
      </c>
      <c r="D102" s="79"/>
      <c r="E102" s="3" t="s">
        <v>194</v>
      </c>
      <c r="F102" s="27">
        <v>1</v>
      </c>
      <c r="G102" s="27">
        <v>0</v>
      </c>
      <c r="H102" s="28">
        <v>12</v>
      </c>
      <c r="I102" s="27">
        <f>ROUND(F102*AO102,2)</f>
        <v>0</v>
      </c>
      <c r="J102" s="27">
        <f>ROUND(F102*AP102,2)</f>
        <v>0</v>
      </c>
      <c r="K102" s="27">
        <f>ROUND(F102*G102,2)</f>
        <v>0</v>
      </c>
      <c r="L102" s="29" t="s">
        <v>59</v>
      </c>
      <c r="Z102" s="27">
        <f>ROUND(IF(AQ102="5",BJ102,0),2)</f>
        <v>0</v>
      </c>
      <c r="AB102" s="27">
        <f>ROUND(IF(AQ102="1",BH102,0),2)</f>
        <v>0</v>
      </c>
      <c r="AC102" s="27">
        <f>ROUND(IF(AQ102="1",BI102,0),2)</f>
        <v>0</v>
      </c>
      <c r="AD102" s="27">
        <f>ROUND(IF(AQ102="7",BH102,0),2)</f>
        <v>0</v>
      </c>
      <c r="AE102" s="27">
        <f>ROUND(IF(AQ102="7",BI102,0),2)</f>
        <v>0</v>
      </c>
      <c r="AF102" s="27">
        <f>ROUND(IF(AQ102="2",BH102,0),2)</f>
        <v>0</v>
      </c>
      <c r="AG102" s="27">
        <f>ROUND(IF(AQ102="2",BI102,0),2)</f>
        <v>0</v>
      </c>
      <c r="AH102" s="27">
        <f>ROUND(IF(AQ102="0",BJ102,0),2)</f>
        <v>0</v>
      </c>
      <c r="AI102" s="12" t="s">
        <v>52</v>
      </c>
      <c r="AJ102" s="27">
        <f>IF(AN102=0,K102,0)</f>
        <v>0</v>
      </c>
      <c r="AK102" s="27">
        <f>IF(AN102=12,K102,0)</f>
        <v>0</v>
      </c>
      <c r="AL102" s="27">
        <f>IF(AN102=21,K102,0)</f>
        <v>0</v>
      </c>
      <c r="AN102" s="27">
        <v>12</v>
      </c>
      <c r="AO102" s="27">
        <f>G102*0</f>
        <v>0</v>
      </c>
      <c r="AP102" s="27">
        <f>G102*(1-0)</f>
        <v>0</v>
      </c>
      <c r="AQ102" s="30" t="s">
        <v>104</v>
      </c>
      <c r="AV102" s="27">
        <f>ROUND(AW102+AX102,2)</f>
        <v>0</v>
      </c>
      <c r="AW102" s="27">
        <f>ROUND(F102*AO102,2)</f>
        <v>0</v>
      </c>
      <c r="AX102" s="27">
        <f>ROUND(F102*AP102,2)</f>
        <v>0</v>
      </c>
      <c r="AY102" s="30" t="s">
        <v>221</v>
      </c>
      <c r="AZ102" s="30" t="s">
        <v>164</v>
      </c>
      <c r="BA102" s="12" t="s">
        <v>62</v>
      </c>
      <c r="BC102" s="27">
        <f>AW102+AX102</f>
        <v>0</v>
      </c>
      <c r="BD102" s="27">
        <f>G102/(100-BE102)*100</f>
        <v>0</v>
      </c>
      <c r="BE102" s="27">
        <v>0</v>
      </c>
      <c r="BF102" s="27">
        <f>102</f>
        <v>102</v>
      </c>
      <c r="BH102" s="27">
        <f>F102*AO102</f>
        <v>0</v>
      </c>
      <c r="BI102" s="27">
        <f>F102*AP102</f>
        <v>0</v>
      </c>
      <c r="BJ102" s="27">
        <f>F102*G102</f>
        <v>0</v>
      </c>
      <c r="BK102" s="30" t="s">
        <v>63</v>
      </c>
      <c r="BL102" s="27">
        <v>725</v>
      </c>
      <c r="BW102" s="27">
        <f>H102</f>
        <v>12</v>
      </c>
      <c r="BX102" s="5" t="s">
        <v>228</v>
      </c>
    </row>
    <row r="103" spans="1:76" x14ac:dyDescent="0.25">
      <c r="A103" s="31"/>
      <c r="C103" s="32" t="s">
        <v>55</v>
      </c>
      <c r="D103" s="32" t="s">
        <v>52</v>
      </c>
      <c r="F103" s="33">
        <v>1</v>
      </c>
      <c r="L103" s="34"/>
    </row>
    <row r="104" spans="1:76" x14ac:dyDescent="0.25">
      <c r="A104" s="2" t="s">
        <v>229</v>
      </c>
      <c r="B104" s="3" t="s">
        <v>230</v>
      </c>
      <c r="C104" s="84" t="s">
        <v>231</v>
      </c>
      <c r="D104" s="79"/>
      <c r="E104" s="3" t="s">
        <v>69</v>
      </c>
      <c r="F104" s="27">
        <v>1</v>
      </c>
      <c r="G104" s="27">
        <v>0</v>
      </c>
      <c r="H104" s="28">
        <v>12</v>
      </c>
      <c r="I104" s="27">
        <f>ROUND(F104*AO104,2)</f>
        <v>0</v>
      </c>
      <c r="J104" s="27">
        <f>ROUND(F104*AP104,2)</f>
        <v>0</v>
      </c>
      <c r="K104" s="27">
        <f>ROUND(F104*G104,2)</f>
        <v>0</v>
      </c>
      <c r="L104" s="29" t="s">
        <v>116</v>
      </c>
      <c r="Z104" s="27">
        <f>ROUND(IF(AQ104="5",BJ104,0),2)</f>
        <v>0</v>
      </c>
      <c r="AB104" s="27">
        <f>ROUND(IF(AQ104="1",BH104,0),2)</f>
        <v>0</v>
      </c>
      <c r="AC104" s="27">
        <f>ROUND(IF(AQ104="1",BI104,0),2)</f>
        <v>0</v>
      </c>
      <c r="AD104" s="27">
        <f>ROUND(IF(AQ104="7",BH104,0),2)</f>
        <v>0</v>
      </c>
      <c r="AE104" s="27">
        <f>ROUND(IF(AQ104="7",BI104,0),2)</f>
        <v>0</v>
      </c>
      <c r="AF104" s="27">
        <f>ROUND(IF(AQ104="2",BH104,0),2)</f>
        <v>0</v>
      </c>
      <c r="AG104" s="27">
        <f>ROUND(IF(AQ104="2",BI104,0),2)</f>
        <v>0</v>
      </c>
      <c r="AH104" s="27">
        <f>ROUND(IF(AQ104="0",BJ104,0),2)</f>
        <v>0</v>
      </c>
      <c r="AI104" s="12" t="s">
        <v>52</v>
      </c>
      <c r="AJ104" s="27">
        <f>IF(AN104=0,K104,0)</f>
        <v>0</v>
      </c>
      <c r="AK104" s="27">
        <f>IF(AN104=12,K104,0)</f>
        <v>0</v>
      </c>
      <c r="AL104" s="27">
        <f>IF(AN104=21,K104,0)</f>
        <v>0</v>
      </c>
      <c r="AN104" s="27">
        <v>12</v>
      </c>
      <c r="AO104" s="27">
        <f>G104*0.303698324</f>
        <v>0</v>
      </c>
      <c r="AP104" s="27">
        <f>G104*(1-0.303698324)</f>
        <v>0</v>
      </c>
      <c r="AQ104" s="30" t="s">
        <v>104</v>
      </c>
      <c r="AV104" s="27">
        <f>ROUND(AW104+AX104,2)</f>
        <v>0</v>
      </c>
      <c r="AW104" s="27">
        <f>ROUND(F104*AO104,2)</f>
        <v>0</v>
      </c>
      <c r="AX104" s="27">
        <f>ROUND(F104*AP104,2)</f>
        <v>0</v>
      </c>
      <c r="AY104" s="30" t="s">
        <v>221</v>
      </c>
      <c r="AZ104" s="30" t="s">
        <v>164</v>
      </c>
      <c r="BA104" s="12" t="s">
        <v>62</v>
      </c>
      <c r="BC104" s="27">
        <f>AW104+AX104</f>
        <v>0</v>
      </c>
      <c r="BD104" s="27">
        <f>G104/(100-BE104)*100</f>
        <v>0</v>
      </c>
      <c r="BE104" s="27">
        <v>0</v>
      </c>
      <c r="BF104" s="27">
        <f>104</f>
        <v>104</v>
      </c>
      <c r="BH104" s="27">
        <f>F104*AO104</f>
        <v>0</v>
      </c>
      <c r="BI104" s="27">
        <f>F104*AP104</f>
        <v>0</v>
      </c>
      <c r="BJ104" s="27">
        <f>F104*G104</f>
        <v>0</v>
      </c>
      <c r="BK104" s="30" t="s">
        <v>63</v>
      </c>
      <c r="BL104" s="27">
        <v>725</v>
      </c>
      <c r="BW104" s="27">
        <f>H104</f>
        <v>12</v>
      </c>
      <c r="BX104" s="5" t="s">
        <v>231</v>
      </c>
    </row>
    <row r="105" spans="1:76" x14ac:dyDescent="0.25">
      <c r="A105" s="31"/>
      <c r="C105" s="32" t="s">
        <v>55</v>
      </c>
      <c r="D105" s="32" t="s">
        <v>52</v>
      </c>
      <c r="F105" s="33">
        <v>1</v>
      </c>
      <c r="L105" s="34"/>
    </row>
    <row r="106" spans="1:76" x14ac:dyDescent="0.25">
      <c r="A106" s="2" t="s">
        <v>232</v>
      </c>
      <c r="B106" s="3" t="s">
        <v>233</v>
      </c>
      <c r="C106" s="84" t="s">
        <v>234</v>
      </c>
      <c r="D106" s="79"/>
      <c r="E106" s="3" t="s">
        <v>69</v>
      </c>
      <c r="F106" s="27">
        <v>1</v>
      </c>
      <c r="G106" s="27">
        <v>0</v>
      </c>
      <c r="H106" s="28">
        <v>12</v>
      </c>
      <c r="I106" s="27">
        <f>ROUND(F106*AO106,2)</f>
        <v>0</v>
      </c>
      <c r="J106" s="27">
        <f>ROUND(F106*AP106,2)</f>
        <v>0</v>
      </c>
      <c r="K106" s="27">
        <f>ROUND(F106*G106,2)</f>
        <v>0</v>
      </c>
      <c r="L106" s="29" t="s">
        <v>59</v>
      </c>
      <c r="Z106" s="27">
        <f>ROUND(IF(AQ106="5",BJ106,0),2)</f>
        <v>0</v>
      </c>
      <c r="AB106" s="27">
        <f>ROUND(IF(AQ106="1",BH106,0),2)</f>
        <v>0</v>
      </c>
      <c r="AC106" s="27">
        <f>ROUND(IF(AQ106="1",BI106,0),2)</f>
        <v>0</v>
      </c>
      <c r="AD106" s="27">
        <f>ROUND(IF(AQ106="7",BH106,0),2)</f>
        <v>0</v>
      </c>
      <c r="AE106" s="27">
        <f>ROUND(IF(AQ106="7",BI106,0),2)</f>
        <v>0</v>
      </c>
      <c r="AF106" s="27">
        <f>ROUND(IF(AQ106="2",BH106,0),2)</f>
        <v>0</v>
      </c>
      <c r="AG106" s="27">
        <f>ROUND(IF(AQ106="2",BI106,0),2)</f>
        <v>0</v>
      </c>
      <c r="AH106" s="27">
        <f>ROUND(IF(AQ106="0",BJ106,0),2)</f>
        <v>0</v>
      </c>
      <c r="AI106" s="12" t="s">
        <v>52</v>
      </c>
      <c r="AJ106" s="27">
        <f>IF(AN106=0,K106,0)</f>
        <v>0</v>
      </c>
      <c r="AK106" s="27">
        <f>IF(AN106=12,K106,0)</f>
        <v>0</v>
      </c>
      <c r="AL106" s="27">
        <f>IF(AN106=21,K106,0)</f>
        <v>0</v>
      </c>
      <c r="AN106" s="27">
        <v>12</v>
      </c>
      <c r="AO106" s="27">
        <f>G106*1</f>
        <v>0</v>
      </c>
      <c r="AP106" s="27">
        <f>G106*(1-1)</f>
        <v>0</v>
      </c>
      <c r="AQ106" s="30" t="s">
        <v>104</v>
      </c>
      <c r="AV106" s="27">
        <f>ROUND(AW106+AX106,2)</f>
        <v>0</v>
      </c>
      <c r="AW106" s="27">
        <f>ROUND(F106*AO106,2)</f>
        <v>0</v>
      </c>
      <c r="AX106" s="27">
        <f>ROUND(F106*AP106,2)</f>
        <v>0</v>
      </c>
      <c r="AY106" s="30" t="s">
        <v>221</v>
      </c>
      <c r="AZ106" s="30" t="s">
        <v>164</v>
      </c>
      <c r="BA106" s="12" t="s">
        <v>62</v>
      </c>
      <c r="BC106" s="27">
        <f>AW106+AX106</f>
        <v>0</v>
      </c>
      <c r="BD106" s="27">
        <f>G106/(100-BE106)*100</f>
        <v>0</v>
      </c>
      <c r="BE106" s="27">
        <v>0</v>
      </c>
      <c r="BF106" s="27">
        <f>106</f>
        <v>106</v>
      </c>
      <c r="BH106" s="27">
        <f>F106*AO106</f>
        <v>0</v>
      </c>
      <c r="BI106" s="27">
        <f>F106*AP106</f>
        <v>0</v>
      </c>
      <c r="BJ106" s="27">
        <f>F106*G106</f>
        <v>0</v>
      </c>
      <c r="BK106" s="30" t="s">
        <v>134</v>
      </c>
      <c r="BL106" s="27">
        <v>725</v>
      </c>
      <c r="BW106" s="27">
        <f>H106</f>
        <v>12</v>
      </c>
      <c r="BX106" s="5" t="s">
        <v>234</v>
      </c>
    </row>
    <row r="107" spans="1:76" x14ac:dyDescent="0.25">
      <c r="A107" s="31"/>
      <c r="C107" s="32" t="s">
        <v>55</v>
      </c>
      <c r="D107" s="32" t="s">
        <v>52</v>
      </c>
      <c r="F107" s="33">
        <v>1</v>
      </c>
      <c r="L107" s="34"/>
    </row>
    <row r="108" spans="1:76" ht="25.5" x14ac:dyDescent="0.25">
      <c r="A108" s="31"/>
      <c r="B108" s="35" t="s">
        <v>71</v>
      </c>
      <c r="C108" s="100" t="s">
        <v>235</v>
      </c>
      <c r="D108" s="101"/>
      <c r="E108" s="101"/>
      <c r="F108" s="101"/>
      <c r="G108" s="101"/>
      <c r="H108" s="101"/>
      <c r="I108" s="101"/>
      <c r="J108" s="101"/>
      <c r="K108" s="101"/>
      <c r="L108" s="102"/>
      <c r="BX108" s="36" t="s">
        <v>235</v>
      </c>
    </row>
    <row r="109" spans="1:76" x14ac:dyDescent="0.25">
      <c r="A109" s="2" t="s">
        <v>236</v>
      </c>
      <c r="B109" s="3" t="s">
        <v>237</v>
      </c>
      <c r="C109" s="84" t="s">
        <v>238</v>
      </c>
      <c r="D109" s="79"/>
      <c r="E109" s="3" t="s">
        <v>194</v>
      </c>
      <c r="F109" s="27">
        <v>2</v>
      </c>
      <c r="G109" s="27">
        <v>0</v>
      </c>
      <c r="H109" s="28">
        <v>12</v>
      </c>
      <c r="I109" s="27">
        <f>ROUND(F109*AO109,2)</f>
        <v>0</v>
      </c>
      <c r="J109" s="27">
        <f>ROUND(F109*AP109,2)</f>
        <v>0</v>
      </c>
      <c r="K109" s="27">
        <f>ROUND(F109*G109,2)</f>
        <v>0</v>
      </c>
      <c r="L109" s="29" t="s">
        <v>59</v>
      </c>
      <c r="Z109" s="27">
        <f>ROUND(IF(AQ109="5",BJ109,0),2)</f>
        <v>0</v>
      </c>
      <c r="AB109" s="27">
        <f>ROUND(IF(AQ109="1",BH109,0),2)</f>
        <v>0</v>
      </c>
      <c r="AC109" s="27">
        <f>ROUND(IF(AQ109="1",BI109,0),2)</f>
        <v>0</v>
      </c>
      <c r="AD109" s="27">
        <f>ROUND(IF(AQ109="7",BH109,0),2)</f>
        <v>0</v>
      </c>
      <c r="AE109" s="27">
        <f>ROUND(IF(AQ109="7",BI109,0),2)</f>
        <v>0</v>
      </c>
      <c r="AF109" s="27">
        <f>ROUND(IF(AQ109="2",BH109,0),2)</f>
        <v>0</v>
      </c>
      <c r="AG109" s="27">
        <f>ROUND(IF(AQ109="2",BI109,0),2)</f>
        <v>0</v>
      </c>
      <c r="AH109" s="27">
        <f>ROUND(IF(AQ109="0",BJ109,0),2)</f>
        <v>0</v>
      </c>
      <c r="AI109" s="12" t="s">
        <v>52</v>
      </c>
      <c r="AJ109" s="27">
        <f>IF(AN109=0,K109,0)</f>
        <v>0</v>
      </c>
      <c r="AK109" s="27">
        <f>IF(AN109=12,K109,0)</f>
        <v>0</v>
      </c>
      <c r="AL109" s="27">
        <f>IF(AN109=21,K109,0)</f>
        <v>0</v>
      </c>
      <c r="AN109" s="27">
        <v>12</v>
      </c>
      <c r="AO109" s="27">
        <f>G109*0</f>
        <v>0</v>
      </c>
      <c r="AP109" s="27">
        <f>G109*(1-0)</f>
        <v>0</v>
      </c>
      <c r="AQ109" s="30" t="s">
        <v>104</v>
      </c>
      <c r="AV109" s="27">
        <f>ROUND(AW109+AX109,2)</f>
        <v>0</v>
      </c>
      <c r="AW109" s="27">
        <f>ROUND(F109*AO109,2)</f>
        <v>0</v>
      </c>
      <c r="AX109" s="27">
        <f>ROUND(F109*AP109,2)</f>
        <v>0</v>
      </c>
      <c r="AY109" s="30" t="s">
        <v>221</v>
      </c>
      <c r="AZ109" s="30" t="s">
        <v>164</v>
      </c>
      <c r="BA109" s="12" t="s">
        <v>62</v>
      </c>
      <c r="BC109" s="27">
        <f>AW109+AX109</f>
        <v>0</v>
      </c>
      <c r="BD109" s="27">
        <f>G109/(100-BE109)*100</f>
        <v>0</v>
      </c>
      <c r="BE109" s="27">
        <v>0</v>
      </c>
      <c r="BF109" s="27">
        <f>109</f>
        <v>109</v>
      </c>
      <c r="BH109" s="27">
        <f>F109*AO109</f>
        <v>0</v>
      </c>
      <c r="BI109" s="27">
        <f>F109*AP109</f>
        <v>0</v>
      </c>
      <c r="BJ109" s="27">
        <f>F109*G109</f>
        <v>0</v>
      </c>
      <c r="BK109" s="30" t="s">
        <v>63</v>
      </c>
      <c r="BL109" s="27">
        <v>725</v>
      </c>
      <c r="BW109" s="27">
        <f>H109</f>
        <v>12</v>
      </c>
      <c r="BX109" s="5" t="s">
        <v>238</v>
      </c>
    </row>
    <row r="110" spans="1:76" x14ac:dyDescent="0.25">
      <c r="A110" s="31"/>
      <c r="C110" s="32" t="s">
        <v>66</v>
      </c>
      <c r="D110" s="32" t="s">
        <v>52</v>
      </c>
      <c r="F110" s="33">
        <v>2</v>
      </c>
      <c r="L110" s="34"/>
    </row>
    <row r="111" spans="1:76" x14ac:dyDescent="0.25">
      <c r="A111" s="2" t="s">
        <v>239</v>
      </c>
      <c r="B111" s="3" t="s">
        <v>240</v>
      </c>
      <c r="C111" s="84" t="s">
        <v>241</v>
      </c>
      <c r="D111" s="79"/>
      <c r="E111" s="3" t="s">
        <v>194</v>
      </c>
      <c r="F111" s="27">
        <v>1</v>
      </c>
      <c r="G111" s="27">
        <v>0</v>
      </c>
      <c r="H111" s="28">
        <v>12</v>
      </c>
      <c r="I111" s="27">
        <f>ROUND(F111*AO111,2)</f>
        <v>0</v>
      </c>
      <c r="J111" s="27">
        <f>ROUND(F111*AP111,2)</f>
        <v>0</v>
      </c>
      <c r="K111" s="27">
        <f>ROUND(F111*G111,2)</f>
        <v>0</v>
      </c>
      <c r="L111" s="29" t="s">
        <v>59</v>
      </c>
      <c r="Z111" s="27">
        <f>ROUND(IF(AQ111="5",BJ111,0),2)</f>
        <v>0</v>
      </c>
      <c r="AB111" s="27">
        <f>ROUND(IF(AQ111="1",BH111,0),2)</f>
        <v>0</v>
      </c>
      <c r="AC111" s="27">
        <f>ROUND(IF(AQ111="1",BI111,0),2)</f>
        <v>0</v>
      </c>
      <c r="AD111" s="27">
        <f>ROUND(IF(AQ111="7",BH111,0),2)</f>
        <v>0</v>
      </c>
      <c r="AE111" s="27">
        <f>ROUND(IF(AQ111="7",BI111,0),2)</f>
        <v>0</v>
      </c>
      <c r="AF111" s="27">
        <f>ROUND(IF(AQ111="2",BH111,0),2)</f>
        <v>0</v>
      </c>
      <c r="AG111" s="27">
        <f>ROUND(IF(AQ111="2",BI111,0),2)</f>
        <v>0</v>
      </c>
      <c r="AH111" s="27">
        <f>ROUND(IF(AQ111="0",BJ111,0),2)</f>
        <v>0</v>
      </c>
      <c r="AI111" s="12" t="s">
        <v>52</v>
      </c>
      <c r="AJ111" s="27">
        <f>IF(AN111=0,K111,0)</f>
        <v>0</v>
      </c>
      <c r="AK111" s="27">
        <f>IF(AN111=12,K111,0)</f>
        <v>0</v>
      </c>
      <c r="AL111" s="27">
        <f>IF(AN111=21,K111,0)</f>
        <v>0</v>
      </c>
      <c r="AN111" s="27">
        <v>12</v>
      </c>
      <c r="AO111" s="27">
        <f>G111*0.710746903</f>
        <v>0</v>
      </c>
      <c r="AP111" s="27">
        <f>G111*(1-0.710746903)</f>
        <v>0</v>
      </c>
      <c r="AQ111" s="30" t="s">
        <v>104</v>
      </c>
      <c r="AV111" s="27">
        <f>ROUND(AW111+AX111,2)</f>
        <v>0</v>
      </c>
      <c r="AW111" s="27">
        <f>ROUND(F111*AO111,2)</f>
        <v>0</v>
      </c>
      <c r="AX111" s="27">
        <f>ROUND(F111*AP111,2)</f>
        <v>0</v>
      </c>
      <c r="AY111" s="30" t="s">
        <v>221</v>
      </c>
      <c r="AZ111" s="30" t="s">
        <v>164</v>
      </c>
      <c r="BA111" s="12" t="s">
        <v>62</v>
      </c>
      <c r="BC111" s="27">
        <f>AW111+AX111</f>
        <v>0</v>
      </c>
      <c r="BD111" s="27">
        <f>G111/(100-BE111)*100</f>
        <v>0</v>
      </c>
      <c r="BE111" s="27">
        <v>0</v>
      </c>
      <c r="BF111" s="27">
        <f>111</f>
        <v>111</v>
      </c>
      <c r="BH111" s="27">
        <f>F111*AO111</f>
        <v>0</v>
      </c>
      <c r="BI111" s="27">
        <f>F111*AP111</f>
        <v>0</v>
      </c>
      <c r="BJ111" s="27">
        <f>F111*G111</f>
        <v>0</v>
      </c>
      <c r="BK111" s="30" t="s">
        <v>63</v>
      </c>
      <c r="BL111" s="27">
        <v>725</v>
      </c>
      <c r="BW111" s="27">
        <f>H111</f>
        <v>12</v>
      </c>
      <c r="BX111" s="5" t="s">
        <v>241</v>
      </c>
    </row>
    <row r="112" spans="1:76" x14ac:dyDescent="0.25">
      <c r="A112" s="31"/>
      <c r="C112" s="32" t="s">
        <v>55</v>
      </c>
      <c r="D112" s="32" t="s">
        <v>242</v>
      </c>
      <c r="F112" s="33">
        <v>1</v>
      </c>
      <c r="L112" s="34"/>
    </row>
    <row r="113" spans="1:76" x14ac:dyDescent="0.25">
      <c r="A113" s="31"/>
      <c r="B113" s="35" t="s">
        <v>71</v>
      </c>
      <c r="C113" s="100" t="s">
        <v>4</v>
      </c>
      <c r="D113" s="101"/>
      <c r="E113" s="101"/>
      <c r="F113" s="101"/>
      <c r="G113" s="101"/>
      <c r="H113" s="101"/>
      <c r="I113" s="101"/>
      <c r="J113" s="101"/>
      <c r="K113" s="101"/>
      <c r="L113" s="102"/>
      <c r="BX113" s="36" t="s">
        <v>4</v>
      </c>
    </row>
    <row r="114" spans="1:76" x14ac:dyDescent="0.25">
      <c r="A114" s="2" t="s">
        <v>243</v>
      </c>
      <c r="B114" s="3" t="s">
        <v>244</v>
      </c>
      <c r="C114" s="84" t="s">
        <v>245</v>
      </c>
      <c r="D114" s="79"/>
      <c r="E114" s="3" t="s">
        <v>194</v>
      </c>
      <c r="F114" s="27">
        <v>1</v>
      </c>
      <c r="G114" s="27">
        <v>0</v>
      </c>
      <c r="H114" s="28">
        <v>12</v>
      </c>
      <c r="I114" s="27">
        <f>ROUND(F114*AO114,2)</f>
        <v>0</v>
      </c>
      <c r="J114" s="27">
        <f>ROUND(F114*AP114,2)</f>
        <v>0</v>
      </c>
      <c r="K114" s="27">
        <f>ROUND(F114*G114,2)</f>
        <v>0</v>
      </c>
      <c r="L114" s="29" t="s">
        <v>59</v>
      </c>
      <c r="Z114" s="27">
        <f>ROUND(IF(AQ114="5",BJ114,0),2)</f>
        <v>0</v>
      </c>
      <c r="AB114" s="27">
        <f>ROUND(IF(AQ114="1",BH114,0),2)</f>
        <v>0</v>
      </c>
      <c r="AC114" s="27">
        <f>ROUND(IF(AQ114="1",BI114,0),2)</f>
        <v>0</v>
      </c>
      <c r="AD114" s="27">
        <f>ROUND(IF(AQ114="7",BH114,0),2)</f>
        <v>0</v>
      </c>
      <c r="AE114" s="27">
        <f>ROUND(IF(AQ114="7",BI114,0),2)</f>
        <v>0</v>
      </c>
      <c r="AF114" s="27">
        <f>ROUND(IF(AQ114="2",BH114,0),2)</f>
        <v>0</v>
      </c>
      <c r="AG114" s="27">
        <f>ROUND(IF(AQ114="2",BI114,0),2)</f>
        <v>0</v>
      </c>
      <c r="AH114" s="27">
        <f>ROUND(IF(AQ114="0",BJ114,0),2)</f>
        <v>0</v>
      </c>
      <c r="AI114" s="12" t="s">
        <v>52</v>
      </c>
      <c r="AJ114" s="27">
        <f>IF(AN114=0,K114,0)</f>
        <v>0</v>
      </c>
      <c r="AK114" s="27">
        <f>IF(AN114=12,K114,0)</f>
        <v>0</v>
      </c>
      <c r="AL114" s="27">
        <f>IF(AN114=21,K114,0)</f>
        <v>0</v>
      </c>
      <c r="AN114" s="27">
        <v>12</v>
      </c>
      <c r="AO114" s="27">
        <f>G114*0.679917213</f>
        <v>0</v>
      </c>
      <c r="AP114" s="27">
        <f>G114*(1-0.679917213)</f>
        <v>0</v>
      </c>
      <c r="AQ114" s="30" t="s">
        <v>104</v>
      </c>
      <c r="AV114" s="27">
        <f>ROUND(AW114+AX114,2)</f>
        <v>0</v>
      </c>
      <c r="AW114" s="27">
        <f>ROUND(F114*AO114,2)</f>
        <v>0</v>
      </c>
      <c r="AX114" s="27">
        <f>ROUND(F114*AP114,2)</f>
        <v>0</v>
      </c>
      <c r="AY114" s="30" t="s">
        <v>221</v>
      </c>
      <c r="AZ114" s="30" t="s">
        <v>164</v>
      </c>
      <c r="BA114" s="12" t="s">
        <v>62</v>
      </c>
      <c r="BC114" s="27">
        <f>AW114+AX114</f>
        <v>0</v>
      </c>
      <c r="BD114" s="27">
        <f>G114/(100-BE114)*100</f>
        <v>0</v>
      </c>
      <c r="BE114" s="27">
        <v>0</v>
      </c>
      <c r="BF114" s="27">
        <f>114</f>
        <v>114</v>
      </c>
      <c r="BH114" s="27">
        <f>F114*AO114</f>
        <v>0</v>
      </c>
      <c r="BI114" s="27">
        <f>F114*AP114</f>
        <v>0</v>
      </c>
      <c r="BJ114" s="27">
        <f>F114*G114</f>
        <v>0</v>
      </c>
      <c r="BK114" s="30" t="s">
        <v>63</v>
      </c>
      <c r="BL114" s="27">
        <v>725</v>
      </c>
      <c r="BW114" s="27">
        <f>H114</f>
        <v>12</v>
      </c>
      <c r="BX114" s="5" t="s">
        <v>245</v>
      </c>
    </row>
    <row r="115" spans="1:76" x14ac:dyDescent="0.25">
      <c r="A115" s="31"/>
      <c r="C115" s="32" t="s">
        <v>55</v>
      </c>
      <c r="D115" s="32" t="s">
        <v>246</v>
      </c>
      <c r="F115" s="33">
        <v>1</v>
      </c>
      <c r="L115" s="34"/>
    </row>
    <row r="116" spans="1:76" x14ac:dyDescent="0.25">
      <c r="A116" s="2" t="s">
        <v>247</v>
      </c>
      <c r="B116" s="3" t="s">
        <v>248</v>
      </c>
      <c r="C116" s="84" t="s">
        <v>249</v>
      </c>
      <c r="D116" s="79"/>
      <c r="E116" s="3" t="s">
        <v>194</v>
      </c>
      <c r="F116" s="27">
        <v>3</v>
      </c>
      <c r="G116" s="27">
        <v>0</v>
      </c>
      <c r="H116" s="28">
        <v>12</v>
      </c>
      <c r="I116" s="27">
        <f>ROUND(F116*AO116,2)</f>
        <v>0</v>
      </c>
      <c r="J116" s="27">
        <f>ROUND(F116*AP116,2)</f>
        <v>0</v>
      </c>
      <c r="K116" s="27">
        <f>ROUND(F116*G116,2)</f>
        <v>0</v>
      </c>
      <c r="L116" s="29" t="s">
        <v>59</v>
      </c>
      <c r="Z116" s="27">
        <f>ROUND(IF(AQ116="5",BJ116,0),2)</f>
        <v>0</v>
      </c>
      <c r="AB116" s="27">
        <f>ROUND(IF(AQ116="1",BH116,0),2)</f>
        <v>0</v>
      </c>
      <c r="AC116" s="27">
        <f>ROUND(IF(AQ116="1",BI116,0),2)</f>
        <v>0</v>
      </c>
      <c r="AD116" s="27">
        <f>ROUND(IF(AQ116="7",BH116,0),2)</f>
        <v>0</v>
      </c>
      <c r="AE116" s="27">
        <f>ROUND(IF(AQ116="7",BI116,0),2)</f>
        <v>0</v>
      </c>
      <c r="AF116" s="27">
        <f>ROUND(IF(AQ116="2",BH116,0),2)</f>
        <v>0</v>
      </c>
      <c r="AG116" s="27">
        <f>ROUND(IF(AQ116="2",BI116,0),2)</f>
        <v>0</v>
      </c>
      <c r="AH116" s="27">
        <f>ROUND(IF(AQ116="0",BJ116,0),2)</f>
        <v>0</v>
      </c>
      <c r="AI116" s="12" t="s">
        <v>52</v>
      </c>
      <c r="AJ116" s="27">
        <f>IF(AN116=0,K116,0)</f>
        <v>0</v>
      </c>
      <c r="AK116" s="27">
        <f>IF(AN116=12,K116,0)</f>
        <v>0</v>
      </c>
      <c r="AL116" s="27">
        <f>IF(AN116=21,K116,0)</f>
        <v>0</v>
      </c>
      <c r="AN116" s="27">
        <v>12</v>
      </c>
      <c r="AO116" s="27">
        <f>G116*0</f>
        <v>0</v>
      </c>
      <c r="AP116" s="27">
        <f>G116*(1-0)</f>
        <v>0</v>
      </c>
      <c r="AQ116" s="30" t="s">
        <v>104</v>
      </c>
      <c r="AV116" s="27">
        <f>ROUND(AW116+AX116,2)</f>
        <v>0</v>
      </c>
      <c r="AW116" s="27">
        <f>ROUND(F116*AO116,2)</f>
        <v>0</v>
      </c>
      <c r="AX116" s="27">
        <f>ROUND(F116*AP116,2)</f>
        <v>0</v>
      </c>
      <c r="AY116" s="30" t="s">
        <v>221</v>
      </c>
      <c r="AZ116" s="30" t="s">
        <v>164</v>
      </c>
      <c r="BA116" s="12" t="s">
        <v>62</v>
      </c>
      <c r="BC116" s="27">
        <f>AW116+AX116</f>
        <v>0</v>
      </c>
      <c r="BD116" s="27">
        <f>G116/(100-BE116)*100</f>
        <v>0</v>
      </c>
      <c r="BE116" s="27">
        <v>0</v>
      </c>
      <c r="BF116" s="27">
        <f>116</f>
        <v>116</v>
      </c>
      <c r="BH116" s="27">
        <f>F116*AO116</f>
        <v>0</v>
      </c>
      <c r="BI116" s="27">
        <f>F116*AP116</f>
        <v>0</v>
      </c>
      <c r="BJ116" s="27">
        <f>F116*G116</f>
        <v>0</v>
      </c>
      <c r="BK116" s="30" t="s">
        <v>63</v>
      </c>
      <c r="BL116" s="27">
        <v>725</v>
      </c>
      <c r="BW116" s="27">
        <f>H116</f>
        <v>12</v>
      </c>
      <c r="BX116" s="5" t="s">
        <v>249</v>
      </c>
    </row>
    <row r="117" spans="1:76" x14ac:dyDescent="0.25">
      <c r="A117" s="31"/>
      <c r="C117" s="32" t="s">
        <v>75</v>
      </c>
      <c r="D117" s="32" t="s">
        <v>52</v>
      </c>
      <c r="F117" s="33">
        <v>3</v>
      </c>
      <c r="L117" s="34"/>
    </row>
    <row r="118" spans="1:76" x14ac:dyDescent="0.25">
      <c r="A118" s="2" t="s">
        <v>73</v>
      </c>
      <c r="B118" s="3" t="s">
        <v>250</v>
      </c>
      <c r="C118" s="84" t="s">
        <v>251</v>
      </c>
      <c r="D118" s="79"/>
      <c r="E118" s="3" t="s">
        <v>69</v>
      </c>
      <c r="F118" s="27">
        <v>1</v>
      </c>
      <c r="G118" s="27">
        <v>0</v>
      </c>
      <c r="H118" s="28">
        <v>12</v>
      </c>
      <c r="I118" s="27">
        <f>ROUND(F118*AO118,2)</f>
        <v>0</v>
      </c>
      <c r="J118" s="27">
        <f>ROUND(F118*AP118,2)</f>
        <v>0</v>
      </c>
      <c r="K118" s="27">
        <f>ROUND(F118*G118,2)</f>
        <v>0</v>
      </c>
      <c r="L118" s="29" t="s">
        <v>59</v>
      </c>
      <c r="Z118" s="27">
        <f>ROUND(IF(AQ118="5",BJ118,0),2)</f>
        <v>0</v>
      </c>
      <c r="AB118" s="27">
        <f>ROUND(IF(AQ118="1",BH118,0),2)</f>
        <v>0</v>
      </c>
      <c r="AC118" s="27">
        <f>ROUND(IF(AQ118="1",BI118,0),2)</f>
        <v>0</v>
      </c>
      <c r="AD118" s="27">
        <f>ROUND(IF(AQ118="7",BH118,0),2)</f>
        <v>0</v>
      </c>
      <c r="AE118" s="27">
        <f>ROUND(IF(AQ118="7",BI118,0),2)</f>
        <v>0</v>
      </c>
      <c r="AF118" s="27">
        <f>ROUND(IF(AQ118="2",BH118,0),2)</f>
        <v>0</v>
      </c>
      <c r="AG118" s="27">
        <f>ROUND(IF(AQ118="2",BI118,0),2)</f>
        <v>0</v>
      </c>
      <c r="AH118" s="27">
        <f>ROUND(IF(AQ118="0",BJ118,0),2)</f>
        <v>0</v>
      </c>
      <c r="AI118" s="12" t="s">
        <v>52</v>
      </c>
      <c r="AJ118" s="27">
        <f>IF(AN118=0,K118,0)</f>
        <v>0</v>
      </c>
      <c r="AK118" s="27">
        <f>IF(AN118=12,K118,0)</f>
        <v>0</v>
      </c>
      <c r="AL118" s="27">
        <f>IF(AN118=21,K118,0)</f>
        <v>0</v>
      </c>
      <c r="AN118" s="27">
        <v>12</v>
      </c>
      <c r="AO118" s="27">
        <f>G118*0.784972106</f>
        <v>0</v>
      </c>
      <c r="AP118" s="27">
        <f>G118*(1-0.784972106)</f>
        <v>0</v>
      </c>
      <c r="AQ118" s="30" t="s">
        <v>104</v>
      </c>
      <c r="AV118" s="27">
        <f>ROUND(AW118+AX118,2)</f>
        <v>0</v>
      </c>
      <c r="AW118" s="27">
        <f>ROUND(F118*AO118,2)</f>
        <v>0</v>
      </c>
      <c r="AX118" s="27">
        <f>ROUND(F118*AP118,2)</f>
        <v>0</v>
      </c>
      <c r="AY118" s="30" t="s">
        <v>221</v>
      </c>
      <c r="AZ118" s="30" t="s">
        <v>164</v>
      </c>
      <c r="BA118" s="12" t="s">
        <v>62</v>
      </c>
      <c r="BC118" s="27">
        <f>AW118+AX118</f>
        <v>0</v>
      </c>
      <c r="BD118" s="27">
        <f>G118/(100-BE118)*100</f>
        <v>0</v>
      </c>
      <c r="BE118" s="27">
        <v>0</v>
      </c>
      <c r="BF118" s="27">
        <f>118</f>
        <v>118</v>
      </c>
      <c r="BH118" s="27">
        <f>F118*AO118</f>
        <v>0</v>
      </c>
      <c r="BI118" s="27">
        <f>F118*AP118</f>
        <v>0</v>
      </c>
      <c r="BJ118" s="27">
        <f>F118*G118</f>
        <v>0</v>
      </c>
      <c r="BK118" s="30" t="s">
        <v>63</v>
      </c>
      <c r="BL118" s="27">
        <v>725</v>
      </c>
      <c r="BW118" s="27">
        <f>H118</f>
        <v>12</v>
      </c>
      <c r="BX118" s="5" t="s">
        <v>251</v>
      </c>
    </row>
    <row r="119" spans="1:76" x14ac:dyDescent="0.25">
      <c r="A119" s="31"/>
      <c r="C119" s="32" t="s">
        <v>55</v>
      </c>
      <c r="D119" s="32" t="s">
        <v>52</v>
      </c>
      <c r="F119" s="33">
        <v>1</v>
      </c>
      <c r="L119" s="34"/>
    </row>
    <row r="120" spans="1:76" x14ac:dyDescent="0.25">
      <c r="A120" s="2" t="s">
        <v>252</v>
      </c>
      <c r="B120" s="3" t="s">
        <v>253</v>
      </c>
      <c r="C120" s="84" t="s">
        <v>254</v>
      </c>
      <c r="D120" s="79"/>
      <c r="E120" s="3" t="s">
        <v>69</v>
      </c>
      <c r="F120" s="27">
        <v>1</v>
      </c>
      <c r="G120" s="27">
        <v>0</v>
      </c>
      <c r="H120" s="28">
        <v>12</v>
      </c>
      <c r="I120" s="27">
        <f>ROUND(F120*AO120,2)</f>
        <v>0</v>
      </c>
      <c r="J120" s="27">
        <f>ROUND(F120*AP120,2)</f>
        <v>0</v>
      </c>
      <c r="K120" s="27">
        <f>ROUND(F120*G120,2)</f>
        <v>0</v>
      </c>
      <c r="L120" s="29" t="s">
        <v>59</v>
      </c>
      <c r="Z120" s="27">
        <f>ROUND(IF(AQ120="5",BJ120,0),2)</f>
        <v>0</v>
      </c>
      <c r="AB120" s="27">
        <f>ROUND(IF(AQ120="1",BH120,0),2)</f>
        <v>0</v>
      </c>
      <c r="AC120" s="27">
        <f>ROUND(IF(AQ120="1",BI120,0),2)</f>
        <v>0</v>
      </c>
      <c r="AD120" s="27">
        <f>ROUND(IF(AQ120="7",BH120,0),2)</f>
        <v>0</v>
      </c>
      <c r="AE120" s="27">
        <f>ROUND(IF(AQ120="7",BI120,0),2)</f>
        <v>0</v>
      </c>
      <c r="AF120" s="27">
        <f>ROUND(IF(AQ120="2",BH120,0),2)</f>
        <v>0</v>
      </c>
      <c r="AG120" s="27">
        <f>ROUND(IF(AQ120="2",BI120,0),2)</f>
        <v>0</v>
      </c>
      <c r="AH120" s="27">
        <f>ROUND(IF(AQ120="0",BJ120,0),2)</f>
        <v>0</v>
      </c>
      <c r="AI120" s="12" t="s">
        <v>52</v>
      </c>
      <c r="AJ120" s="27">
        <f>IF(AN120=0,K120,0)</f>
        <v>0</v>
      </c>
      <c r="AK120" s="27">
        <f>IF(AN120=12,K120,0)</f>
        <v>0</v>
      </c>
      <c r="AL120" s="27">
        <f>IF(AN120=21,K120,0)</f>
        <v>0</v>
      </c>
      <c r="AN120" s="27">
        <v>12</v>
      </c>
      <c r="AO120" s="27">
        <f>G120*0.769199102</f>
        <v>0</v>
      </c>
      <c r="AP120" s="27">
        <f>G120*(1-0.769199102)</f>
        <v>0</v>
      </c>
      <c r="AQ120" s="30" t="s">
        <v>104</v>
      </c>
      <c r="AV120" s="27">
        <f>ROUND(AW120+AX120,2)</f>
        <v>0</v>
      </c>
      <c r="AW120" s="27">
        <f>ROUND(F120*AO120,2)</f>
        <v>0</v>
      </c>
      <c r="AX120" s="27">
        <f>ROUND(F120*AP120,2)</f>
        <v>0</v>
      </c>
      <c r="AY120" s="30" t="s">
        <v>221</v>
      </c>
      <c r="AZ120" s="30" t="s">
        <v>164</v>
      </c>
      <c r="BA120" s="12" t="s">
        <v>62</v>
      </c>
      <c r="BC120" s="27">
        <f>AW120+AX120</f>
        <v>0</v>
      </c>
      <c r="BD120" s="27">
        <f>G120/(100-BE120)*100</f>
        <v>0</v>
      </c>
      <c r="BE120" s="27">
        <v>0</v>
      </c>
      <c r="BF120" s="27">
        <f>120</f>
        <v>120</v>
      </c>
      <c r="BH120" s="27">
        <f>F120*AO120</f>
        <v>0</v>
      </c>
      <c r="BI120" s="27">
        <f>F120*AP120</f>
        <v>0</v>
      </c>
      <c r="BJ120" s="27">
        <f>F120*G120</f>
        <v>0</v>
      </c>
      <c r="BK120" s="30" t="s">
        <v>63</v>
      </c>
      <c r="BL120" s="27">
        <v>725</v>
      </c>
      <c r="BW120" s="27">
        <f>H120</f>
        <v>12</v>
      </c>
      <c r="BX120" s="5" t="s">
        <v>254</v>
      </c>
    </row>
    <row r="121" spans="1:76" x14ac:dyDescent="0.25">
      <c r="A121" s="31"/>
      <c r="C121" s="32" t="s">
        <v>55</v>
      </c>
      <c r="D121" s="32" t="s">
        <v>52</v>
      </c>
      <c r="F121" s="33">
        <v>1</v>
      </c>
      <c r="L121" s="34"/>
    </row>
    <row r="122" spans="1:76" x14ac:dyDescent="0.25">
      <c r="A122" s="2" t="s">
        <v>255</v>
      </c>
      <c r="B122" s="3" t="s">
        <v>256</v>
      </c>
      <c r="C122" s="84" t="s">
        <v>257</v>
      </c>
      <c r="D122" s="79"/>
      <c r="E122" s="3" t="s">
        <v>194</v>
      </c>
      <c r="F122" s="27">
        <v>1</v>
      </c>
      <c r="G122" s="27">
        <v>0</v>
      </c>
      <c r="H122" s="28">
        <v>12</v>
      </c>
      <c r="I122" s="27">
        <f>ROUND(F122*AO122,2)</f>
        <v>0</v>
      </c>
      <c r="J122" s="27">
        <f>ROUND(F122*AP122,2)</f>
        <v>0</v>
      </c>
      <c r="K122" s="27">
        <f>ROUND(F122*G122,2)</f>
        <v>0</v>
      </c>
      <c r="L122" s="29" t="s">
        <v>59</v>
      </c>
      <c r="Z122" s="27">
        <f>ROUND(IF(AQ122="5",BJ122,0),2)</f>
        <v>0</v>
      </c>
      <c r="AB122" s="27">
        <f>ROUND(IF(AQ122="1",BH122,0),2)</f>
        <v>0</v>
      </c>
      <c r="AC122" s="27">
        <f>ROUND(IF(AQ122="1",BI122,0),2)</f>
        <v>0</v>
      </c>
      <c r="AD122" s="27">
        <f>ROUND(IF(AQ122="7",BH122,0),2)</f>
        <v>0</v>
      </c>
      <c r="AE122" s="27">
        <f>ROUND(IF(AQ122="7",BI122,0),2)</f>
        <v>0</v>
      </c>
      <c r="AF122" s="27">
        <f>ROUND(IF(AQ122="2",BH122,0),2)</f>
        <v>0</v>
      </c>
      <c r="AG122" s="27">
        <f>ROUND(IF(AQ122="2",BI122,0),2)</f>
        <v>0</v>
      </c>
      <c r="AH122" s="27">
        <f>ROUND(IF(AQ122="0",BJ122,0),2)</f>
        <v>0</v>
      </c>
      <c r="AI122" s="12" t="s">
        <v>52</v>
      </c>
      <c r="AJ122" s="27">
        <f>IF(AN122=0,K122,0)</f>
        <v>0</v>
      </c>
      <c r="AK122" s="27">
        <f>IF(AN122=12,K122,0)</f>
        <v>0</v>
      </c>
      <c r="AL122" s="27">
        <f>IF(AN122=21,K122,0)</f>
        <v>0</v>
      </c>
      <c r="AN122" s="27">
        <v>12</v>
      </c>
      <c r="AO122" s="27">
        <f>G122*0.826598326</f>
        <v>0</v>
      </c>
      <c r="AP122" s="27">
        <f>G122*(1-0.826598326)</f>
        <v>0</v>
      </c>
      <c r="AQ122" s="30" t="s">
        <v>104</v>
      </c>
      <c r="AV122" s="27">
        <f>ROUND(AW122+AX122,2)</f>
        <v>0</v>
      </c>
      <c r="AW122" s="27">
        <f>ROUND(F122*AO122,2)</f>
        <v>0</v>
      </c>
      <c r="AX122" s="27">
        <f>ROUND(F122*AP122,2)</f>
        <v>0</v>
      </c>
      <c r="AY122" s="30" t="s">
        <v>221</v>
      </c>
      <c r="AZ122" s="30" t="s">
        <v>164</v>
      </c>
      <c r="BA122" s="12" t="s">
        <v>62</v>
      </c>
      <c r="BC122" s="27">
        <f>AW122+AX122</f>
        <v>0</v>
      </c>
      <c r="BD122" s="27">
        <f>G122/(100-BE122)*100</f>
        <v>0</v>
      </c>
      <c r="BE122" s="27">
        <v>0</v>
      </c>
      <c r="BF122" s="27">
        <f>122</f>
        <v>122</v>
      </c>
      <c r="BH122" s="27">
        <f>F122*AO122</f>
        <v>0</v>
      </c>
      <c r="BI122" s="27">
        <f>F122*AP122</f>
        <v>0</v>
      </c>
      <c r="BJ122" s="27">
        <f>F122*G122</f>
        <v>0</v>
      </c>
      <c r="BK122" s="30" t="s">
        <v>63</v>
      </c>
      <c r="BL122" s="27">
        <v>725</v>
      </c>
      <c r="BW122" s="27">
        <f>H122</f>
        <v>12</v>
      </c>
      <c r="BX122" s="5" t="s">
        <v>257</v>
      </c>
    </row>
    <row r="123" spans="1:76" x14ac:dyDescent="0.25">
      <c r="A123" s="31"/>
      <c r="C123" s="32" t="s">
        <v>55</v>
      </c>
      <c r="D123" s="32" t="s">
        <v>52</v>
      </c>
      <c r="F123" s="33">
        <v>1</v>
      </c>
      <c r="L123" s="34"/>
    </row>
    <row r="124" spans="1:76" x14ac:dyDescent="0.25">
      <c r="A124" s="2" t="s">
        <v>258</v>
      </c>
      <c r="B124" s="3" t="s">
        <v>259</v>
      </c>
      <c r="C124" s="84" t="s">
        <v>260</v>
      </c>
      <c r="D124" s="79"/>
      <c r="E124" s="3" t="s">
        <v>69</v>
      </c>
      <c r="F124" s="27">
        <v>3</v>
      </c>
      <c r="G124" s="27">
        <v>0</v>
      </c>
      <c r="H124" s="28">
        <v>12</v>
      </c>
      <c r="I124" s="27">
        <f>ROUND(F124*AO124,2)</f>
        <v>0</v>
      </c>
      <c r="J124" s="27">
        <f>ROUND(F124*AP124,2)</f>
        <v>0</v>
      </c>
      <c r="K124" s="27">
        <f>ROUND(F124*G124,2)</f>
        <v>0</v>
      </c>
      <c r="L124" s="29" t="s">
        <v>59</v>
      </c>
      <c r="Z124" s="27">
        <f>ROUND(IF(AQ124="5",BJ124,0),2)</f>
        <v>0</v>
      </c>
      <c r="AB124" s="27">
        <f>ROUND(IF(AQ124="1",BH124,0),2)</f>
        <v>0</v>
      </c>
      <c r="AC124" s="27">
        <f>ROUND(IF(AQ124="1",BI124,0),2)</f>
        <v>0</v>
      </c>
      <c r="AD124" s="27">
        <f>ROUND(IF(AQ124="7",BH124,0),2)</f>
        <v>0</v>
      </c>
      <c r="AE124" s="27">
        <f>ROUND(IF(AQ124="7",BI124,0),2)</f>
        <v>0</v>
      </c>
      <c r="AF124" s="27">
        <f>ROUND(IF(AQ124="2",BH124,0),2)</f>
        <v>0</v>
      </c>
      <c r="AG124" s="27">
        <f>ROUND(IF(AQ124="2",BI124,0),2)</f>
        <v>0</v>
      </c>
      <c r="AH124" s="27">
        <f>ROUND(IF(AQ124="0",BJ124,0),2)</f>
        <v>0</v>
      </c>
      <c r="AI124" s="12" t="s">
        <v>52</v>
      </c>
      <c r="AJ124" s="27">
        <f>IF(AN124=0,K124,0)</f>
        <v>0</v>
      </c>
      <c r="AK124" s="27">
        <f>IF(AN124=12,K124,0)</f>
        <v>0</v>
      </c>
      <c r="AL124" s="27">
        <f>IF(AN124=21,K124,0)</f>
        <v>0</v>
      </c>
      <c r="AN124" s="27">
        <v>12</v>
      </c>
      <c r="AO124" s="27">
        <f>G124*0.423694581</f>
        <v>0</v>
      </c>
      <c r="AP124" s="27">
        <f>G124*(1-0.423694581)</f>
        <v>0</v>
      </c>
      <c r="AQ124" s="30" t="s">
        <v>104</v>
      </c>
      <c r="AV124" s="27">
        <f>ROUND(AW124+AX124,2)</f>
        <v>0</v>
      </c>
      <c r="AW124" s="27">
        <f>ROUND(F124*AO124,2)</f>
        <v>0</v>
      </c>
      <c r="AX124" s="27">
        <f>ROUND(F124*AP124,2)</f>
        <v>0</v>
      </c>
      <c r="AY124" s="30" t="s">
        <v>221</v>
      </c>
      <c r="AZ124" s="30" t="s">
        <v>164</v>
      </c>
      <c r="BA124" s="12" t="s">
        <v>62</v>
      </c>
      <c r="BC124" s="27">
        <f>AW124+AX124</f>
        <v>0</v>
      </c>
      <c r="BD124" s="27">
        <f>G124/(100-BE124)*100</f>
        <v>0</v>
      </c>
      <c r="BE124" s="27">
        <v>0</v>
      </c>
      <c r="BF124" s="27">
        <f>124</f>
        <v>124</v>
      </c>
      <c r="BH124" s="27">
        <f>F124*AO124</f>
        <v>0</v>
      </c>
      <c r="BI124" s="27">
        <f>F124*AP124</f>
        <v>0</v>
      </c>
      <c r="BJ124" s="27">
        <f>F124*G124</f>
        <v>0</v>
      </c>
      <c r="BK124" s="30" t="s">
        <v>63</v>
      </c>
      <c r="BL124" s="27">
        <v>725</v>
      </c>
      <c r="BW124" s="27">
        <f>H124</f>
        <v>12</v>
      </c>
      <c r="BX124" s="5" t="s">
        <v>260</v>
      </c>
    </row>
    <row r="125" spans="1:76" x14ac:dyDescent="0.25">
      <c r="A125" s="31"/>
      <c r="C125" s="32" t="s">
        <v>75</v>
      </c>
      <c r="D125" s="32" t="s">
        <v>52</v>
      </c>
      <c r="F125" s="33">
        <v>3</v>
      </c>
      <c r="L125" s="34"/>
    </row>
    <row r="126" spans="1:76" x14ac:dyDescent="0.25">
      <c r="A126" s="2" t="s">
        <v>261</v>
      </c>
      <c r="B126" s="3" t="s">
        <v>262</v>
      </c>
      <c r="C126" s="84" t="s">
        <v>263</v>
      </c>
      <c r="D126" s="79"/>
      <c r="E126" s="3" t="s">
        <v>69</v>
      </c>
      <c r="F126" s="27">
        <v>3</v>
      </c>
      <c r="G126" s="27">
        <v>0</v>
      </c>
      <c r="H126" s="28">
        <v>12</v>
      </c>
      <c r="I126" s="27">
        <f>ROUND(F126*AO126,2)</f>
        <v>0</v>
      </c>
      <c r="J126" s="27">
        <f>ROUND(F126*AP126,2)</f>
        <v>0</v>
      </c>
      <c r="K126" s="27">
        <f>ROUND(F126*G126,2)</f>
        <v>0</v>
      </c>
      <c r="L126" s="29" t="s">
        <v>59</v>
      </c>
      <c r="Z126" s="27">
        <f>ROUND(IF(AQ126="5",BJ126,0),2)</f>
        <v>0</v>
      </c>
      <c r="AB126" s="27">
        <f>ROUND(IF(AQ126="1",BH126,0),2)</f>
        <v>0</v>
      </c>
      <c r="AC126" s="27">
        <f>ROUND(IF(AQ126="1",BI126,0),2)</f>
        <v>0</v>
      </c>
      <c r="AD126" s="27">
        <f>ROUND(IF(AQ126="7",BH126,0),2)</f>
        <v>0</v>
      </c>
      <c r="AE126" s="27">
        <f>ROUND(IF(AQ126="7",BI126,0),2)</f>
        <v>0</v>
      </c>
      <c r="AF126" s="27">
        <f>ROUND(IF(AQ126="2",BH126,0),2)</f>
        <v>0</v>
      </c>
      <c r="AG126" s="27">
        <f>ROUND(IF(AQ126="2",BI126,0),2)</f>
        <v>0</v>
      </c>
      <c r="AH126" s="27">
        <f>ROUND(IF(AQ126="0",BJ126,0),2)</f>
        <v>0</v>
      </c>
      <c r="AI126" s="12" t="s">
        <v>52</v>
      </c>
      <c r="AJ126" s="27">
        <f>IF(AN126=0,K126,0)</f>
        <v>0</v>
      </c>
      <c r="AK126" s="27">
        <f>IF(AN126=12,K126,0)</f>
        <v>0</v>
      </c>
      <c r="AL126" s="27">
        <f>IF(AN126=21,K126,0)</f>
        <v>0</v>
      </c>
      <c r="AN126" s="27">
        <v>12</v>
      </c>
      <c r="AO126" s="27">
        <f>G126*0</f>
        <v>0</v>
      </c>
      <c r="AP126" s="27">
        <f>G126*(1-0)</f>
        <v>0</v>
      </c>
      <c r="AQ126" s="30" t="s">
        <v>104</v>
      </c>
      <c r="AV126" s="27">
        <f>ROUND(AW126+AX126,2)</f>
        <v>0</v>
      </c>
      <c r="AW126" s="27">
        <f>ROUND(F126*AO126,2)</f>
        <v>0</v>
      </c>
      <c r="AX126" s="27">
        <f>ROUND(F126*AP126,2)</f>
        <v>0</v>
      </c>
      <c r="AY126" s="30" t="s">
        <v>221</v>
      </c>
      <c r="AZ126" s="30" t="s">
        <v>164</v>
      </c>
      <c r="BA126" s="12" t="s">
        <v>62</v>
      </c>
      <c r="BC126" s="27">
        <f>AW126+AX126</f>
        <v>0</v>
      </c>
      <c r="BD126" s="27">
        <f>G126/(100-BE126)*100</f>
        <v>0</v>
      </c>
      <c r="BE126" s="27">
        <v>0</v>
      </c>
      <c r="BF126" s="27">
        <f>126</f>
        <v>126</v>
      </c>
      <c r="BH126" s="27">
        <f>F126*AO126</f>
        <v>0</v>
      </c>
      <c r="BI126" s="27">
        <f>F126*AP126</f>
        <v>0</v>
      </c>
      <c r="BJ126" s="27">
        <f>F126*G126</f>
        <v>0</v>
      </c>
      <c r="BK126" s="30" t="s">
        <v>63</v>
      </c>
      <c r="BL126" s="27">
        <v>725</v>
      </c>
      <c r="BW126" s="27">
        <f>H126</f>
        <v>12</v>
      </c>
      <c r="BX126" s="5" t="s">
        <v>263</v>
      </c>
    </row>
    <row r="127" spans="1:76" x14ac:dyDescent="0.25">
      <c r="A127" s="31"/>
      <c r="C127" s="32" t="s">
        <v>75</v>
      </c>
      <c r="D127" s="32" t="s">
        <v>52</v>
      </c>
      <c r="F127" s="33">
        <v>3</v>
      </c>
      <c r="L127" s="34"/>
    </row>
    <row r="128" spans="1:76" x14ac:dyDescent="0.25">
      <c r="A128" s="2" t="s">
        <v>264</v>
      </c>
      <c r="B128" s="3" t="s">
        <v>265</v>
      </c>
      <c r="C128" s="84" t="s">
        <v>266</v>
      </c>
      <c r="D128" s="79"/>
      <c r="E128" s="3" t="s">
        <v>69</v>
      </c>
      <c r="F128" s="27">
        <v>1</v>
      </c>
      <c r="G128" s="27">
        <v>0</v>
      </c>
      <c r="H128" s="28">
        <v>12</v>
      </c>
      <c r="I128" s="27">
        <f>ROUND(F128*AO128,2)</f>
        <v>0</v>
      </c>
      <c r="J128" s="27">
        <f>ROUND(F128*AP128,2)</f>
        <v>0</v>
      </c>
      <c r="K128" s="27">
        <f>ROUND(F128*G128,2)</f>
        <v>0</v>
      </c>
      <c r="L128" s="29" t="s">
        <v>59</v>
      </c>
      <c r="Z128" s="27">
        <f>ROUND(IF(AQ128="5",BJ128,0),2)</f>
        <v>0</v>
      </c>
      <c r="AB128" s="27">
        <f>ROUND(IF(AQ128="1",BH128,0),2)</f>
        <v>0</v>
      </c>
      <c r="AC128" s="27">
        <f>ROUND(IF(AQ128="1",BI128,0),2)</f>
        <v>0</v>
      </c>
      <c r="AD128" s="27">
        <f>ROUND(IF(AQ128="7",BH128,0),2)</f>
        <v>0</v>
      </c>
      <c r="AE128" s="27">
        <f>ROUND(IF(AQ128="7",BI128,0),2)</f>
        <v>0</v>
      </c>
      <c r="AF128" s="27">
        <f>ROUND(IF(AQ128="2",BH128,0),2)</f>
        <v>0</v>
      </c>
      <c r="AG128" s="27">
        <f>ROUND(IF(AQ128="2",BI128,0),2)</f>
        <v>0</v>
      </c>
      <c r="AH128" s="27">
        <f>ROUND(IF(AQ128="0",BJ128,0),2)</f>
        <v>0</v>
      </c>
      <c r="AI128" s="12" t="s">
        <v>52</v>
      </c>
      <c r="AJ128" s="27">
        <f>IF(AN128=0,K128,0)</f>
        <v>0</v>
      </c>
      <c r="AK128" s="27">
        <f>IF(AN128=12,K128,0)</f>
        <v>0</v>
      </c>
      <c r="AL128" s="27">
        <f>IF(AN128=21,K128,0)</f>
        <v>0</v>
      </c>
      <c r="AN128" s="27">
        <v>12</v>
      </c>
      <c r="AO128" s="27">
        <f>G128*0</f>
        <v>0</v>
      </c>
      <c r="AP128" s="27">
        <f>G128*(1-0)</f>
        <v>0</v>
      </c>
      <c r="AQ128" s="30" t="s">
        <v>104</v>
      </c>
      <c r="AV128" s="27">
        <f>ROUND(AW128+AX128,2)</f>
        <v>0</v>
      </c>
      <c r="AW128" s="27">
        <f>ROUND(F128*AO128,2)</f>
        <v>0</v>
      </c>
      <c r="AX128" s="27">
        <f>ROUND(F128*AP128,2)</f>
        <v>0</v>
      </c>
      <c r="AY128" s="30" t="s">
        <v>221</v>
      </c>
      <c r="AZ128" s="30" t="s">
        <v>164</v>
      </c>
      <c r="BA128" s="12" t="s">
        <v>62</v>
      </c>
      <c r="BC128" s="27">
        <f>AW128+AX128</f>
        <v>0</v>
      </c>
      <c r="BD128" s="27">
        <f>G128/(100-BE128)*100</f>
        <v>0</v>
      </c>
      <c r="BE128" s="27">
        <v>0</v>
      </c>
      <c r="BF128" s="27">
        <f>128</f>
        <v>128</v>
      </c>
      <c r="BH128" s="27">
        <f>F128*AO128</f>
        <v>0</v>
      </c>
      <c r="BI128" s="27">
        <f>F128*AP128</f>
        <v>0</v>
      </c>
      <c r="BJ128" s="27">
        <f>F128*G128</f>
        <v>0</v>
      </c>
      <c r="BK128" s="30" t="s">
        <v>63</v>
      </c>
      <c r="BL128" s="27">
        <v>725</v>
      </c>
      <c r="BW128" s="27">
        <f>H128</f>
        <v>12</v>
      </c>
      <c r="BX128" s="5" t="s">
        <v>266</v>
      </c>
    </row>
    <row r="129" spans="1:76" x14ac:dyDescent="0.25">
      <c r="A129" s="31"/>
      <c r="C129" s="32" t="s">
        <v>55</v>
      </c>
      <c r="D129" s="32" t="s">
        <v>52</v>
      </c>
      <c r="F129" s="33">
        <v>1</v>
      </c>
      <c r="L129" s="34"/>
    </row>
    <row r="130" spans="1:76" x14ac:dyDescent="0.25">
      <c r="A130" s="2" t="s">
        <v>267</v>
      </c>
      <c r="B130" s="3" t="s">
        <v>268</v>
      </c>
      <c r="C130" s="84" t="s">
        <v>269</v>
      </c>
      <c r="D130" s="79"/>
      <c r="E130" s="3" t="s">
        <v>194</v>
      </c>
      <c r="F130" s="27">
        <v>9</v>
      </c>
      <c r="G130" s="27">
        <v>0</v>
      </c>
      <c r="H130" s="28">
        <v>12</v>
      </c>
      <c r="I130" s="27">
        <f>ROUND(F130*AO130,2)</f>
        <v>0</v>
      </c>
      <c r="J130" s="27">
        <f>ROUND(F130*AP130,2)</f>
        <v>0</v>
      </c>
      <c r="K130" s="27">
        <f>ROUND(F130*G130,2)</f>
        <v>0</v>
      </c>
      <c r="L130" s="29" t="s">
        <v>59</v>
      </c>
      <c r="Z130" s="27">
        <f>ROUND(IF(AQ130="5",BJ130,0),2)</f>
        <v>0</v>
      </c>
      <c r="AB130" s="27">
        <f>ROUND(IF(AQ130="1",BH130,0),2)</f>
        <v>0</v>
      </c>
      <c r="AC130" s="27">
        <f>ROUND(IF(AQ130="1",BI130,0),2)</f>
        <v>0</v>
      </c>
      <c r="AD130" s="27">
        <f>ROUND(IF(AQ130="7",BH130,0),2)</f>
        <v>0</v>
      </c>
      <c r="AE130" s="27">
        <f>ROUND(IF(AQ130="7",BI130,0),2)</f>
        <v>0</v>
      </c>
      <c r="AF130" s="27">
        <f>ROUND(IF(AQ130="2",BH130,0),2)</f>
        <v>0</v>
      </c>
      <c r="AG130" s="27">
        <f>ROUND(IF(AQ130="2",BI130,0),2)</f>
        <v>0</v>
      </c>
      <c r="AH130" s="27">
        <f>ROUND(IF(AQ130="0",BJ130,0),2)</f>
        <v>0</v>
      </c>
      <c r="AI130" s="12" t="s">
        <v>52</v>
      </c>
      <c r="AJ130" s="27">
        <f>IF(AN130=0,K130,0)</f>
        <v>0</v>
      </c>
      <c r="AK130" s="27">
        <f>IF(AN130=12,K130,0)</f>
        <v>0</v>
      </c>
      <c r="AL130" s="27">
        <f>IF(AN130=21,K130,0)</f>
        <v>0</v>
      </c>
      <c r="AN130" s="27">
        <v>12</v>
      </c>
      <c r="AO130" s="27">
        <f>G130*0.750506329</f>
        <v>0</v>
      </c>
      <c r="AP130" s="27">
        <f>G130*(1-0.750506329)</f>
        <v>0</v>
      </c>
      <c r="AQ130" s="30" t="s">
        <v>104</v>
      </c>
      <c r="AV130" s="27">
        <f>ROUND(AW130+AX130,2)</f>
        <v>0</v>
      </c>
      <c r="AW130" s="27">
        <f>ROUND(F130*AO130,2)</f>
        <v>0</v>
      </c>
      <c r="AX130" s="27">
        <f>ROUND(F130*AP130,2)</f>
        <v>0</v>
      </c>
      <c r="AY130" s="30" t="s">
        <v>221</v>
      </c>
      <c r="AZ130" s="30" t="s">
        <v>164</v>
      </c>
      <c r="BA130" s="12" t="s">
        <v>62</v>
      </c>
      <c r="BC130" s="27">
        <f>AW130+AX130</f>
        <v>0</v>
      </c>
      <c r="BD130" s="27">
        <f>G130/(100-BE130)*100</f>
        <v>0</v>
      </c>
      <c r="BE130" s="27">
        <v>0</v>
      </c>
      <c r="BF130" s="27">
        <f>130</f>
        <v>130</v>
      </c>
      <c r="BH130" s="27">
        <f>F130*AO130</f>
        <v>0</v>
      </c>
      <c r="BI130" s="27">
        <f>F130*AP130</f>
        <v>0</v>
      </c>
      <c r="BJ130" s="27">
        <f>F130*G130</f>
        <v>0</v>
      </c>
      <c r="BK130" s="30" t="s">
        <v>63</v>
      </c>
      <c r="BL130" s="27">
        <v>725</v>
      </c>
      <c r="BW130" s="27">
        <f>H130</f>
        <v>12</v>
      </c>
      <c r="BX130" s="5" t="s">
        <v>269</v>
      </c>
    </row>
    <row r="131" spans="1:76" x14ac:dyDescent="0.25">
      <c r="A131" s="31"/>
      <c r="C131" s="32" t="s">
        <v>113</v>
      </c>
      <c r="D131" s="32" t="s">
        <v>52</v>
      </c>
      <c r="F131" s="33">
        <v>9</v>
      </c>
      <c r="L131" s="34"/>
    </row>
    <row r="132" spans="1:76" x14ac:dyDescent="0.25">
      <c r="A132" s="2" t="s">
        <v>270</v>
      </c>
      <c r="B132" s="3" t="s">
        <v>271</v>
      </c>
      <c r="C132" s="84" t="s">
        <v>272</v>
      </c>
      <c r="D132" s="79"/>
      <c r="E132" s="3" t="s">
        <v>194</v>
      </c>
      <c r="F132" s="27">
        <v>1</v>
      </c>
      <c r="G132" s="27">
        <v>0</v>
      </c>
      <c r="H132" s="28">
        <v>12</v>
      </c>
      <c r="I132" s="27">
        <f>ROUND(F132*AO132,2)</f>
        <v>0</v>
      </c>
      <c r="J132" s="27">
        <f>ROUND(F132*AP132,2)</f>
        <v>0</v>
      </c>
      <c r="K132" s="27">
        <f>ROUND(F132*G132,2)</f>
        <v>0</v>
      </c>
      <c r="L132" s="29" t="s">
        <v>59</v>
      </c>
      <c r="Z132" s="27">
        <f>ROUND(IF(AQ132="5",BJ132,0),2)</f>
        <v>0</v>
      </c>
      <c r="AB132" s="27">
        <f>ROUND(IF(AQ132="1",BH132,0),2)</f>
        <v>0</v>
      </c>
      <c r="AC132" s="27">
        <f>ROUND(IF(AQ132="1",BI132,0),2)</f>
        <v>0</v>
      </c>
      <c r="AD132" s="27">
        <f>ROUND(IF(AQ132="7",BH132,0),2)</f>
        <v>0</v>
      </c>
      <c r="AE132" s="27">
        <f>ROUND(IF(AQ132="7",BI132,0),2)</f>
        <v>0</v>
      </c>
      <c r="AF132" s="27">
        <f>ROUND(IF(AQ132="2",BH132,0),2)</f>
        <v>0</v>
      </c>
      <c r="AG132" s="27">
        <f>ROUND(IF(AQ132="2",BI132,0),2)</f>
        <v>0</v>
      </c>
      <c r="AH132" s="27">
        <f>ROUND(IF(AQ132="0",BJ132,0),2)</f>
        <v>0</v>
      </c>
      <c r="AI132" s="12" t="s">
        <v>52</v>
      </c>
      <c r="AJ132" s="27">
        <f>IF(AN132=0,K132,0)</f>
        <v>0</v>
      </c>
      <c r="AK132" s="27">
        <f>IF(AN132=12,K132,0)</f>
        <v>0</v>
      </c>
      <c r="AL132" s="27">
        <f>IF(AN132=21,K132,0)</f>
        <v>0</v>
      </c>
      <c r="AN132" s="27">
        <v>12</v>
      </c>
      <c r="AO132" s="27">
        <f>G132*0.87757764</f>
        <v>0</v>
      </c>
      <c r="AP132" s="27">
        <f>G132*(1-0.87757764)</f>
        <v>0</v>
      </c>
      <c r="AQ132" s="30" t="s">
        <v>104</v>
      </c>
      <c r="AV132" s="27">
        <f>ROUND(AW132+AX132,2)</f>
        <v>0</v>
      </c>
      <c r="AW132" s="27">
        <f>ROUND(F132*AO132,2)</f>
        <v>0</v>
      </c>
      <c r="AX132" s="27">
        <f>ROUND(F132*AP132,2)</f>
        <v>0</v>
      </c>
      <c r="AY132" s="30" t="s">
        <v>221</v>
      </c>
      <c r="AZ132" s="30" t="s">
        <v>164</v>
      </c>
      <c r="BA132" s="12" t="s">
        <v>62</v>
      </c>
      <c r="BC132" s="27">
        <f>AW132+AX132</f>
        <v>0</v>
      </c>
      <c r="BD132" s="27">
        <f>G132/(100-BE132)*100</f>
        <v>0</v>
      </c>
      <c r="BE132" s="27">
        <v>0</v>
      </c>
      <c r="BF132" s="27">
        <f>132</f>
        <v>132</v>
      </c>
      <c r="BH132" s="27">
        <f>F132*AO132</f>
        <v>0</v>
      </c>
      <c r="BI132" s="27">
        <f>F132*AP132</f>
        <v>0</v>
      </c>
      <c r="BJ132" s="27">
        <f>F132*G132</f>
        <v>0</v>
      </c>
      <c r="BK132" s="30" t="s">
        <v>63</v>
      </c>
      <c r="BL132" s="27">
        <v>725</v>
      </c>
      <c r="BW132" s="27">
        <f>H132</f>
        <v>12</v>
      </c>
      <c r="BX132" s="5" t="s">
        <v>272</v>
      </c>
    </row>
    <row r="133" spans="1:76" x14ac:dyDescent="0.25">
      <c r="A133" s="31"/>
      <c r="C133" s="32" t="s">
        <v>55</v>
      </c>
      <c r="D133" s="32" t="s">
        <v>52</v>
      </c>
      <c r="F133" s="33">
        <v>1</v>
      </c>
      <c r="L133" s="34"/>
    </row>
    <row r="134" spans="1:76" x14ac:dyDescent="0.25">
      <c r="A134" s="2" t="s">
        <v>273</v>
      </c>
      <c r="B134" s="3" t="s">
        <v>274</v>
      </c>
      <c r="C134" s="84" t="s">
        <v>275</v>
      </c>
      <c r="D134" s="79"/>
      <c r="E134" s="3" t="s">
        <v>182</v>
      </c>
      <c r="F134" s="27">
        <v>0.17299999999999999</v>
      </c>
      <c r="G134" s="27">
        <v>0</v>
      </c>
      <c r="H134" s="28">
        <v>12</v>
      </c>
      <c r="I134" s="27">
        <f>ROUND(F134*AO134,2)</f>
        <v>0</v>
      </c>
      <c r="J134" s="27">
        <f>ROUND(F134*AP134,2)</f>
        <v>0</v>
      </c>
      <c r="K134" s="27">
        <f>ROUND(F134*G134,2)</f>
        <v>0</v>
      </c>
      <c r="L134" s="29" t="s">
        <v>59</v>
      </c>
      <c r="Z134" s="27">
        <f>ROUND(IF(AQ134="5",BJ134,0),2)</f>
        <v>0</v>
      </c>
      <c r="AB134" s="27">
        <f>ROUND(IF(AQ134="1",BH134,0),2)</f>
        <v>0</v>
      </c>
      <c r="AC134" s="27">
        <f>ROUND(IF(AQ134="1",BI134,0),2)</f>
        <v>0</v>
      </c>
      <c r="AD134" s="27">
        <f>ROUND(IF(AQ134="7",BH134,0),2)</f>
        <v>0</v>
      </c>
      <c r="AE134" s="27">
        <f>ROUND(IF(AQ134="7",BI134,0),2)</f>
        <v>0</v>
      </c>
      <c r="AF134" s="27">
        <f>ROUND(IF(AQ134="2",BH134,0),2)</f>
        <v>0</v>
      </c>
      <c r="AG134" s="27">
        <f>ROUND(IF(AQ134="2",BI134,0),2)</f>
        <v>0</v>
      </c>
      <c r="AH134" s="27">
        <f>ROUND(IF(AQ134="0",BJ134,0),2)</f>
        <v>0</v>
      </c>
      <c r="AI134" s="12" t="s">
        <v>52</v>
      </c>
      <c r="AJ134" s="27">
        <f>IF(AN134=0,K134,0)</f>
        <v>0</v>
      </c>
      <c r="AK134" s="27">
        <f>IF(AN134=12,K134,0)</f>
        <v>0</v>
      </c>
      <c r="AL134" s="27">
        <f>IF(AN134=21,K134,0)</f>
        <v>0</v>
      </c>
      <c r="AN134" s="27">
        <v>12</v>
      </c>
      <c r="AO134" s="27">
        <f>G134*0</f>
        <v>0</v>
      </c>
      <c r="AP134" s="27">
        <f>G134*(1-0)</f>
        <v>0</v>
      </c>
      <c r="AQ134" s="30" t="s">
        <v>93</v>
      </c>
      <c r="AV134" s="27">
        <f>ROUND(AW134+AX134,2)</f>
        <v>0</v>
      </c>
      <c r="AW134" s="27">
        <f>ROUND(F134*AO134,2)</f>
        <v>0</v>
      </c>
      <c r="AX134" s="27">
        <f>ROUND(F134*AP134,2)</f>
        <v>0</v>
      </c>
      <c r="AY134" s="30" t="s">
        <v>221</v>
      </c>
      <c r="AZ134" s="30" t="s">
        <v>164</v>
      </c>
      <c r="BA134" s="12" t="s">
        <v>62</v>
      </c>
      <c r="BC134" s="27">
        <f>AW134+AX134</f>
        <v>0</v>
      </c>
      <c r="BD134" s="27">
        <f>G134/(100-BE134)*100</f>
        <v>0</v>
      </c>
      <c r="BE134" s="27">
        <v>0</v>
      </c>
      <c r="BF134" s="27">
        <f>134</f>
        <v>134</v>
      </c>
      <c r="BH134" s="27">
        <f>F134*AO134</f>
        <v>0</v>
      </c>
      <c r="BI134" s="27">
        <f>F134*AP134</f>
        <v>0</v>
      </c>
      <c r="BJ134" s="27">
        <f>F134*G134</f>
        <v>0</v>
      </c>
      <c r="BK134" s="30" t="s">
        <v>63</v>
      </c>
      <c r="BL134" s="27">
        <v>725</v>
      </c>
      <c r="BW134" s="27">
        <f>H134</f>
        <v>12</v>
      </c>
      <c r="BX134" s="5" t="s">
        <v>275</v>
      </c>
    </row>
    <row r="135" spans="1:76" x14ac:dyDescent="0.25">
      <c r="A135" s="31"/>
      <c r="C135" s="32" t="s">
        <v>276</v>
      </c>
      <c r="D135" s="32" t="s">
        <v>52</v>
      </c>
      <c r="F135" s="33">
        <v>0.17299999999999999</v>
      </c>
      <c r="L135" s="34"/>
    </row>
    <row r="136" spans="1:76" x14ac:dyDescent="0.25">
      <c r="A136" s="37" t="s">
        <v>52</v>
      </c>
      <c r="B136" s="38" t="s">
        <v>277</v>
      </c>
      <c r="C136" s="103" t="s">
        <v>278</v>
      </c>
      <c r="D136" s="104"/>
      <c r="E136" s="39" t="s">
        <v>4</v>
      </c>
      <c r="F136" s="39" t="s">
        <v>4</v>
      </c>
      <c r="G136" s="39" t="s">
        <v>4</v>
      </c>
      <c r="H136" s="39" t="s">
        <v>4</v>
      </c>
      <c r="I136" s="1">
        <f>SUM(I137:I143)</f>
        <v>0</v>
      </c>
      <c r="J136" s="1">
        <f>SUM(J137:J143)</f>
        <v>0</v>
      </c>
      <c r="K136" s="1">
        <f>SUM(K137:K143)</f>
        <v>0</v>
      </c>
      <c r="L136" s="40" t="s">
        <v>52</v>
      </c>
      <c r="AI136" s="12" t="s">
        <v>52</v>
      </c>
      <c r="AS136" s="1">
        <f>SUM(AJ137:AJ143)</f>
        <v>0</v>
      </c>
      <c r="AT136" s="1">
        <f>SUM(AK137:AK143)</f>
        <v>0</v>
      </c>
      <c r="AU136" s="1">
        <f>SUM(AL137:AL143)</f>
        <v>0</v>
      </c>
    </row>
    <row r="137" spans="1:76" x14ac:dyDescent="0.25">
      <c r="A137" s="2" t="s">
        <v>279</v>
      </c>
      <c r="B137" s="3" t="s">
        <v>280</v>
      </c>
      <c r="C137" s="84" t="s">
        <v>281</v>
      </c>
      <c r="D137" s="79"/>
      <c r="E137" s="3" t="s">
        <v>69</v>
      </c>
      <c r="F137" s="27">
        <v>1</v>
      </c>
      <c r="G137" s="27">
        <v>0</v>
      </c>
      <c r="H137" s="28">
        <v>12</v>
      </c>
      <c r="I137" s="27">
        <f>ROUND(F137*AO137,2)</f>
        <v>0</v>
      </c>
      <c r="J137" s="27">
        <f>ROUND(F137*AP137,2)</f>
        <v>0</v>
      </c>
      <c r="K137" s="27">
        <f>ROUND(F137*G137,2)</f>
        <v>0</v>
      </c>
      <c r="L137" s="29" t="s">
        <v>59</v>
      </c>
      <c r="Z137" s="27">
        <f>ROUND(IF(AQ137="5",BJ137,0),2)</f>
        <v>0</v>
      </c>
      <c r="AB137" s="27">
        <f>ROUND(IF(AQ137="1",BH137,0),2)</f>
        <v>0</v>
      </c>
      <c r="AC137" s="27">
        <f>ROUND(IF(AQ137="1",BI137,0),2)</f>
        <v>0</v>
      </c>
      <c r="AD137" s="27">
        <f>ROUND(IF(AQ137="7",BH137,0),2)</f>
        <v>0</v>
      </c>
      <c r="AE137" s="27">
        <f>ROUND(IF(AQ137="7",BI137,0),2)</f>
        <v>0</v>
      </c>
      <c r="AF137" s="27">
        <f>ROUND(IF(AQ137="2",BH137,0),2)</f>
        <v>0</v>
      </c>
      <c r="AG137" s="27">
        <f>ROUND(IF(AQ137="2",BI137,0),2)</f>
        <v>0</v>
      </c>
      <c r="AH137" s="27">
        <f>ROUND(IF(AQ137="0",BJ137,0),2)</f>
        <v>0</v>
      </c>
      <c r="AI137" s="12" t="s">
        <v>52</v>
      </c>
      <c r="AJ137" s="27">
        <f>IF(AN137=0,K137,0)</f>
        <v>0</v>
      </c>
      <c r="AK137" s="27">
        <f>IF(AN137=12,K137,0)</f>
        <v>0</v>
      </c>
      <c r="AL137" s="27">
        <f>IF(AN137=21,K137,0)</f>
        <v>0</v>
      </c>
      <c r="AN137" s="27">
        <v>12</v>
      </c>
      <c r="AO137" s="27">
        <f>G137*0</f>
        <v>0</v>
      </c>
      <c r="AP137" s="27">
        <f>G137*(1-0)</f>
        <v>0</v>
      </c>
      <c r="AQ137" s="30" t="s">
        <v>104</v>
      </c>
      <c r="AV137" s="27">
        <f>ROUND(AW137+AX137,2)</f>
        <v>0</v>
      </c>
      <c r="AW137" s="27">
        <f>ROUND(F137*AO137,2)</f>
        <v>0</v>
      </c>
      <c r="AX137" s="27">
        <f>ROUND(F137*AP137,2)</f>
        <v>0</v>
      </c>
      <c r="AY137" s="30" t="s">
        <v>282</v>
      </c>
      <c r="AZ137" s="30" t="s">
        <v>164</v>
      </c>
      <c r="BA137" s="12" t="s">
        <v>62</v>
      </c>
      <c r="BC137" s="27">
        <f>AW137+AX137</f>
        <v>0</v>
      </c>
      <c r="BD137" s="27">
        <f>G137/(100-BE137)*100</f>
        <v>0</v>
      </c>
      <c r="BE137" s="27">
        <v>0</v>
      </c>
      <c r="BF137" s="27">
        <f>137</f>
        <v>137</v>
      </c>
      <c r="BH137" s="27">
        <f>F137*AO137</f>
        <v>0</v>
      </c>
      <c r="BI137" s="27">
        <f>F137*AP137</f>
        <v>0</v>
      </c>
      <c r="BJ137" s="27">
        <f>F137*G137</f>
        <v>0</v>
      </c>
      <c r="BK137" s="30" t="s">
        <v>63</v>
      </c>
      <c r="BL137" s="27">
        <v>728</v>
      </c>
      <c r="BW137" s="27">
        <f>H137</f>
        <v>12</v>
      </c>
      <c r="BX137" s="5" t="s">
        <v>281</v>
      </c>
    </row>
    <row r="138" spans="1:76" x14ac:dyDescent="0.25">
      <c r="A138" s="31"/>
      <c r="C138" s="32" t="s">
        <v>55</v>
      </c>
      <c r="D138" s="32" t="s">
        <v>52</v>
      </c>
      <c r="F138" s="33">
        <v>1</v>
      </c>
      <c r="L138" s="34"/>
    </row>
    <row r="139" spans="1:76" x14ac:dyDescent="0.25">
      <c r="A139" s="2" t="s">
        <v>283</v>
      </c>
      <c r="B139" s="3" t="s">
        <v>284</v>
      </c>
      <c r="C139" s="84" t="s">
        <v>285</v>
      </c>
      <c r="D139" s="79"/>
      <c r="E139" s="3" t="s">
        <v>69</v>
      </c>
      <c r="F139" s="27">
        <v>1</v>
      </c>
      <c r="G139" s="27">
        <v>0</v>
      </c>
      <c r="H139" s="28">
        <v>12</v>
      </c>
      <c r="I139" s="27">
        <f>ROUND(F139*AO139,2)</f>
        <v>0</v>
      </c>
      <c r="J139" s="27">
        <f>ROUND(F139*AP139,2)</f>
        <v>0</v>
      </c>
      <c r="K139" s="27">
        <f>ROUND(F139*G139,2)</f>
        <v>0</v>
      </c>
      <c r="L139" s="29" t="s">
        <v>59</v>
      </c>
      <c r="Z139" s="27">
        <f>ROUND(IF(AQ139="5",BJ139,0),2)</f>
        <v>0</v>
      </c>
      <c r="AB139" s="27">
        <f>ROUND(IF(AQ139="1",BH139,0),2)</f>
        <v>0</v>
      </c>
      <c r="AC139" s="27">
        <f>ROUND(IF(AQ139="1",BI139,0),2)</f>
        <v>0</v>
      </c>
      <c r="AD139" s="27">
        <f>ROUND(IF(AQ139="7",BH139,0),2)</f>
        <v>0</v>
      </c>
      <c r="AE139" s="27">
        <f>ROUND(IF(AQ139="7",BI139,0),2)</f>
        <v>0</v>
      </c>
      <c r="AF139" s="27">
        <f>ROUND(IF(AQ139="2",BH139,0),2)</f>
        <v>0</v>
      </c>
      <c r="AG139" s="27">
        <f>ROUND(IF(AQ139="2",BI139,0),2)</f>
        <v>0</v>
      </c>
      <c r="AH139" s="27">
        <f>ROUND(IF(AQ139="0",BJ139,0),2)</f>
        <v>0</v>
      </c>
      <c r="AI139" s="12" t="s">
        <v>52</v>
      </c>
      <c r="AJ139" s="27">
        <f>IF(AN139=0,K139,0)</f>
        <v>0</v>
      </c>
      <c r="AK139" s="27">
        <f>IF(AN139=12,K139,0)</f>
        <v>0</v>
      </c>
      <c r="AL139" s="27">
        <f>IF(AN139=21,K139,0)</f>
        <v>0</v>
      </c>
      <c r="AN139" s="27">
        <v>12</v>
      </c>
      <c r="AO139" s="27">
        <f>G139*0</f>
        <v>0</v>
      </c>
      <c r="AP139" s="27">
        <f>G139*(1-0)</f>
        <v>0</v>
      </c>
      <c r="AQ139" s="30" t="s">
        <v>104</v>
      </c>
      <c r="AV139" s="27">
        <f>ROUND(AW139+AX139,2)</f>
        <v>0</v>
      </c>
      <c r="AW139" s="27">
        <f>ROUND(F139*AO139,2)</f>
        <v>0</v>
      </c>
      <c r="AX139" s="27">
        <f>ROUND(F139*AP139,2)</f>
        <v>0</v>
      </c>
      <c r="AY139" s="30" t="s">
        <v>282</v>
      </c>
      <c r="AZ139" s="30" t="s">
        <v>164</v>
      </c>
      <c r="BA139" s="12" t="s">
        <v>62</v>
      </c>
      <c r="BC139" s="27">
        <f>AW139+AX139</f>
        <v>0</v>
      </c>
      <c r="BD139" s="27">
        <f>G139/(100-BE139)*100</f>
        <v>0</v>
      </c>
      <c r="BE139" s="27">
        <v>0</v>
      </c>
      <c r="BF139" s="27">
        <f>139</f>
        <v>139</v>
      </c>
      <c r="BH139" s="27">
        <f>F139*AO139</f>
        <v>0</v>
      </c>
      <c r="BI139" s="27">
        <f>F139*AP139</f>
        <v>0</v>
      </c>
      <c r="BJ139" s="27">
        <f>F139*G139</f>
        <v>0</v>
      </c>
      <c r="BK139" s="30" t="s">
        <v>63</v>
      </c>
      <c r="BL139" s="27">
        <v>728</v>
      </c>
      <c r="BW139" s="27">
        <f>H139</f>
        <v>12</v>
      </c>
      <c r="BX139" s="5" t="s">
        <v>285</v>
      </c>
    </row>
    <row r="140" spans="1:76" x14ac:dyDescent="0.25">
      <c r="A140" s="31"/>
      <c r="C140" s="32" t="s">
        <v>55</v>
      </c>
      <c r="D140" s="32" t="s">
        <v>52</v>
      </c>
      <c r="F140" s="33">
        <v>1</v>
      </c>
      <c r="L140" s="34"/>
    </row>
    <row r="141" spans="1:76" x14ac:dyDescent="0.25">
      <c r="A141" s="2" t="s">
        <v>286</v>
      </c>
      <c r="B141" s="3" t="s">
        <v>287</v>
      </c>
      <c r="C141" s="84" t="s">
        <v>288</v>
      </c>
      <c r="D141" s="79"/>
      <c r="E141" s="3" t="s">
        <v>69</v>
      </c>
      <c r="F141" s="27">
        <v>1</v>
      </c>
      <c r="G141" s="27">
        <v>0</v>
      </c>
      <c r="H141" s="28">
        <v>12</v>
      </c>
      <c r="I141" s="27">
        <f>ROUND(F141*AO141,2)</f>
        <v>0</v>
      </c>
      <c r="J141" s="27">
        <f>ROUND(F141*AP141,2)</f>
        <v>0</v>
      </c>
      <c r="K141" s="27">
        <f>ROUND(F141*G141,2)</f>
        <v>0</v>
      </c>
      <c r="L141" s="29" t="s">
        <v>59</v>
      </c>
      <c r="Z141" s="27">
        <f>ROUND(IF(AQ141="5",BJ141,0),2)</f>
        <v>0</v>
      </c>
      <c r="AB141" s="27">
        <f>ROUND(IF(AQ141="1",BH141,0),2)</f>
        <v>0</v>
      </c>
      <c r="AC141" s="27">
        <f>ROUND(IF(AQ141="1",BI141,0),2)</f>
        <v>0</v>
      </c>
      <c r="AD141" s="27">
        <f>ROUND(IF(AQ141="7",BH141,0),2)</f>
        <v>0</v>
      </c>
      <c r="AE141" s="27">
        <f>ROUND(IF(AQ141="7",BI141,0),2)</f>
        <v>0</v>
      </c>
      <c r="AF141" s="27">
        <f>ROUND(IF(AQ141="2",BH141,0),2)</f>
        <v>0</v>
      </c>
      <c r="AG141" s="27">
        <f>ROUND(IF(AQ141="2",BI141,0),2)</f>
        <v>0</v>
      </c>
      <c r="AH141" s="27">
        <f>ROUND(IF(AQ141="0",BJ141,0),2)</f>
        <v>0</v>
      </c>
      <c r="AI141" s="12" t="s">
        <v>52</v>
      </c>
      <c r="AJ141" s="27">
        <f>IF(AN141=0,K141,0)</f>
        <v>0</v>
      </c>
      <c r="AK141" s="27">
        <f>IF(AN141=12,K141,0)</f>
        <v>0</v>
      </c>
      <c r="AL141" s="27">
        <f>IF(AN141=21,K141,0)</f>
        <v>0</v>
      </c>
      <c r="AN141" s="27">
        <v>12</v>
      </c>
      <c r="AO141" s="27">
        <f>G141*0</f>
        <v>0</v>
      </c>
      <c r="AP141" s="27">
        <f>G141*(1-0)</f>
        <v>0</v>
      </c>
      <c r="AQ141" s="30" t="s">
        <v>104</v>
      </c>
      <c r="AV141" s="27">
        <f>ROUND(AW141+AX141,2)</f>
        <v>0</v>
      </c>
      <c r="AW141" s="27">
        <f>ROUND(F141*AO141,2)</f>
        <v>0</v>
      </c>
      <c r="AX141" s="27">
        <f>ROUND(F141*AP141,2)</f>
        <v>0</v>
      </c>
      <c r="AY141" s="30" t="s">
        <v>282</v>
      </c>
      <c r="AZ141" s="30" t="s">
        <v>164</v>
      </c>
      <c r="BA141" s="12" t="s">
        <v>62</v>
      </c>
      <c r="BC141" s="27">
        <f>AW141+AX141</f>
        <v>0</v>
      </c>
      <c r="BD141" s="27">
        <f>G141/(100-BE141)*100</f>
        <v>0</v>
      </c>
      <c r="BE141" s="27">
        <v>0</v>
      </c>
      <c r="BF141" s="27">
        <f>141</f>
        <v>141</v>
      </c>
      <c r="BH141" s="27">
        <f>F141*AO141</f>
        <v>0</v>
      </c>
      <c r="BI141" s="27">
        <f>F141*AP141</f>
        <v>0</v>
      </c>
      <c r="BJ141" s="27">
        <f>F141*G141</f>
        <v>0</v>
      </c>
      <c r="BK141" s="30" t="s">
        <v>63</v>
      </c>
      <c r="BL141" s="27">
        <v>728</v>
      </c>
      <c r="BW141" s="27">
        <f>H141</f>
        <v>12</v>
      </c>
      <c r="BX141" s="5" t="s">
        <v>288</v>
      </c>
    </row>
    <row r="142" spans="1:76" x14ac:dyDescent="0.25">
      <c r="A142" s="31"/>
      <c r="C142" s="32" t="s">
        <v>55</v>
      </c>
      <c r="D142" s="32" t="s">
        <v>52</v>
      </c>
      <c r="F142" s="33">
        <v>1</v>
      </c>
      <c r="L142" s="34"/>
    </row>
    <row r="143" spans="1:76" x14ac:dyDescent="0.25">
      <c r="A143" s="2" t="s">
        <v>289</v>
      </c>
      <c r="B143" s="3" t="s">
        <v>290</v>
      </c>
      <c r="C143" s="84" t="s">
        <v>291</v>
      </c>
      <c r="D143" s="79"/>
      <c r="E143" s="3" t="s">
        <v>69</v>
      </c>
      <c r="F143" s="27">
        <v>1</v>
      </c>
      <c r="G143" s="27">
        <v>0</v>
      </c>
      <c r="H143" s="28">
        <v>12</v>
      </c>
      <c r="I143" s="27">
        <f>ROUND(F143*AO143,2)</f>
        <v>0</v>
      </c>
      <c r="J143" s="27">
        <f>ROUND(F143*AP143,2)</f>
        <v>0</v>
      </c>
      <c r="K143" s="27">
        <f>ROUND(F143*G143,2)</f>
        <v>0</v>
      </c>
      <c r="L143" s="29" t="s">
        <v>59</v>
      </c>
      <c r="Z143" s="27">
        <f>ROUND(IF(AQ143="5",BJ143,0),2)</f>
        <v>0</v>
      </c>
      <c r="AB143" s="27">
        <f>ROUND(IF(AQ143="1",BH143,0),2)</f>
        <v>0</v>
      </c>
      <c r="AC143" s="27">
        <f>ROUND(IF(AQ143="1",BI143,0),2)</f>
        <v>0</v>
      </c>
      <c r="AD143" s="27">
        <f>ROUND(IF(AQ143="7",BH143,0),2)</f>
        <v>0</v>
      </c>
      <c r="AE143" s="27">
        <f>ROUND(IF(AQ143="7",BI143,0),2)</f>
        <v>0</v>
      </c>
      <c r="AF143" s="27">
        <f>ROUND(IF(AQ143="2",BH143,0),2)</f>
        <v>0</v>
      </c>
      <c r="AG143" s="27">
        <f>ROUND(IF(AQ143="2",BI143,0),2)</f>
        <v>0</v>
      </c>
      <c r="AH143" s="27">
        <f>ROUND(IF(AQ143="0",BJ143,0),2)</f>
        <v>0</v>
      </c>
      <c r="AI143" s="12" t="s">
        <v>52</v>
      </c>
      <c r="AJ143" s="27">
        <f>IF(AN143=0,K143,0)</f>
        <v>0</v>
      </c>
      <c r="AK143" s="27">
        <f>IF(AN143=12,K143,0)</f>
        <v>0</v>
      </c>
      <c r="AL143" s="27">
        <f>IF(AN143=21,K143,0)</f>
        <v>0</v>
      </c>
      <c r="AN143" s="27">
        <v>12</v>
      </c>
      <c r="AO143" s="27">
        <f>G143*0</f>
        <v>0</v>
      </c>
      <c r="AP143" s="27">
        <f>G143*(1-0)</f>
        <v>0</v>
      </c>
      <c r="AQ143" s="30" t="s">
        <v>104</v>
      </c>
      <c r="AV143" s="27">
        <f>ROUND(AW143+AX143,2)</f>
        <v>0</v>
      </c>
      <c r="AW143" s="27">
        <f>ROUND(F143*AO143,2)</f>
        <v>0</v>
      </c>
      <c r="AX143" s="27">
        <f>ROUND(F143*AP143,2)</f>
        <v>0</v>
      </c>
      <c r="AY143" s="30" t="s">
        <v>282</v>
      </c>
      <c r="AZ143" s="30" t="s">
        <v>164</v>
      </c>
      <c r="BA143" s="12" t="s">
        <v>62</v>
      </c>
      <c r="BC143" s="27">
        <f>AW143+AX143</f>
        <v>0</v>
      </c>
      <c r="BD143" s="27">
        <f>G143/(100-BE143)*100</f>
        <v>0</v>
      </c>
      <c r="BE143" s="27">
        <v>0</v>
      </c>
      <c r="BF143" s="27">
        <f>143</f>
        <v>143</v>
      </c>
      <c r="BH143" s="27">
        <f>F143*AO143</f>
        <v>0</v>
      </c>
      <c r="BI143" s="27">
        <f>F143*AP143</f>
        <v>0</v>
      </c>
      <c r="BJ143" s="27">
        <f>F143*G143</f>
        <v>0</v>
      </c>
      <c r="BK143" s="30" t="s">
        <v>63</v>
      </c>
      <c r="BL143" s="27">
        <v>728</v>
      </c>
      <c r="BW143" s="27">
        <f>H143</f>
        <v>12</v>
      </c>
      <c r="BX143" s="5" t="s">
        <v>291</v>
      </c>
    </row>
    <row r="144" spans="1:76" x14ac:dyDescent="0.25">
      <c r="A144" s="31"/>
      <c r="C144" s="32" t="s">
        <v>55</v>
      </c>
      <c r="D144" s="32" t="s">
        <v>52</v>
      </c>
      <c r="F144" s="33">
        <v>1</v>
      </c>
      <c r="L144" s="34"/>
    </row>
    <row r="145" spans="1:76" x14ac:dyDescent="0.25">
      <c r="A145" s="37" t="s">
        <v>52</v>
      </c>
      <c r="B145" s="38" t="s">
        <v>292</v>
      </c>
      <c r="C145" s="103" t="s">
        <v>293</v>
      </c>
      <c r="D145" s="104"/>
      <c r="E145" s="39" t="s">
        <v>4</v>
      </c>
      <c r="F145" s="39" t="s">
        <v>4</v>
      </c>
      <c r="G145" s="39" t="s">
        <v>4</v>
      </c>
      <c r="H145" s="39" t="s">
        <v>4</v>
      </c>
      <c r="I145" s="1">
        <f>SUM(I146:I156)</f>
        <v>0</v>
      </c>
      <c r="J145" s="1">
        <f>SUM(J146:J156)</f>
        <v>0</v>
      </c>
      <c r="K145" s="1">
        <f>SUM(K146:K156)</f>
        <v>0</v>
      </c>
      <c r="L145" s="40" t="s">
        <v>52</v>
      </c>
      <c r="AI145" s="12" t="s">
        <v>52</v>
      </c>
      <c r="AS145" s="1">
        <f>SUM(AJ146:AJ156)</f>
        <v>0</v>
      </c>
      <c r="AT145" s="1">
        <f>SUM(AK146:AK156)</f>
        <v>0</v>
      </c>
      <c r="AU145" s="1">
        <f>SUM(AL146:AL156)</f>
        <v>0</v>
      </c>
    </row>
    <row r="146" spans="1:76" x14ac:dyDescent="0.25">
      <c r="A146" s="2" t="s">
        <v>294</v>
      </c>
      <c r="B146" s="3" t="s">
        <v>295</v>
      </c>
      <c r="C146" s="84" t="s">
        <v>296</v>
      </c>
      <c r="D146" s="79"/>
      <c r="E146" s="3" t="s">
        <v>69</v>
      </c>
      <c r="F146" s="27">
        <v>1</v>
      </c>
      <c r="G146" s="27">
        <v>0</v>
      </c>
      <c r="H146" s="28">
        <v>12</v>
      </c>
      <c r="I146" s="27">
        <f>ROUND(F146*AO146,2)</f>
        <v>0</v>
      </c>
      <c r="J146" s="27">
        <f>ROUND(F146*AP146,2)</f>
        <v>0</v>
      </c>
      <c r="K146" s="27">
        <f>ROUND(F146*G146,2)</f>
        <v>0</v>
      </c>
      <c r="L146" s="29" t="s">
        <v>59</v>
      </c>
      <c r="Z146" s="27">
        <f>ROUND(IF(AQ146="5",BJ146,0),2)</f>
        <v>0</v>
      </c>
      <c r="AB146" s="27">
        <f>ROUND(IF(AQ146="1",BH146,0),2)</f>
        <v>0</v>
      </c>
      <c r="AC146" s="27">
        <f>ROUND(IF(AQ146="1",BI146,0),2)</f>
        <v>0</v>
      </c>
      <c r="AD146" s="27">
        <f>ROUND(IF(AQ146="7",BH146,0),2)</f>
        <v>0</v>
      </c>
      <c r="AE146" s="27">
        <f>ROUND(IF(AQ146="7",BI146,0),2)</f>
        <v>0</v>
      </c>
      <c r="AF146" s="27">
        <f>ROUND(IF(AQ146="2",BH146,0),2)</f>
        <v>0</v>
      </c>
      <c r="AG146" s="27">
        <f>ROUND(IF(AQ146="2",BI146,0),2)</f>
        <v>0</v>
      </c>
      <c r="AH146" s="27">
        <f>ROUND(IF(AQ146="0",BJ146,0),2)</f>
        <v>0</v>
      </c>
      <c r="AI146" s="12" t="s">
        <v>52</v>
      </c>
      <c r="AJ146" s="27">
        <f>IF(AN146=0,K146,0)</f>
        <v>0</v>
      </c>
      <c r="AK146" s="27">
        <f>IF(AN146=12,K146,0)</f>
        <v>0</v>
      </c>
      <c r="AL146" s="27">
        <f>IF(AN146=21,K146,0)</f>
        <v>0</v>
      </c>
      <c r="AN146" s="27">
        <v>12</v>
      </c>
      <c r="AO146" s="27">
        <f>G146*0.022199005</f>
        <v>0</v>
      </c>
      <c r="AP146" s="27">
        <f>G146*(1-0.022199005)</f>
        <v>0</v>
      </c>
      <c r="AQ146" s="30" t="s">
        <v>104</v>
      </c>
      <c r="AV146" s="27">
        <f>ROUND(AW146+AX146,2)</f>
        <v>0</v>
      </c>
      <c r="AW146" s="27">
        <f>ROUND(F146*AO146,2)</f>
        <v>0</v>
      </c>
      <c r="AX146" s="27">
        <f>ROUND(F146*AP146,2)</f>
        <v>0</v>
      </c>
      <c r="AY146" s="30" t="s">
        <v>297</v>
      </c>
      <c r="AZ146" s="30" t="s">
        <v>298</v>
      </c>
      <c r="BA146" s="12" t="s">
        <v>62</v>
      </c>
      <c r="BC146" s="27">
        <f>AW146+AX146</f>
        <v>0</v>
      </c>
      <c r="BD146" s="27">
        <f>G146/(100-BE146)*100</f>
        <v>0</v>
      </c>
      <c r="BE146" s="27">
        <v>0</v>
      </c>
      <c r="BF146" s="27">
        <f>146</f>
        <v>146</v>
      </c>
      <c r="BH146" s="27">
        <f>F146*AO146</f>
        <v>0</v>
      </c>
      <c r="BI146" s="27">
        <f>F146*AP146</f>
        <v>0</v>
      </c>
      <c r="BJ146" s="27">
        <f>F146*G146</f>
        <v>0</v>
      </c>
      <c r="BK146" s="30" t="s">
        <v>63</v>
      </c>
      <c r="BL146" s="27">
        <v>731</v>
      </c>
      <c r="BW146" s="27">
        <f>H146</f>
        <v>12</v>
      </c>
      <c r="BX146" s="5" t="s">
        <v>296</v>
      </c>
    </row>
    <row r="147" spans="1:76" x14ac:dyDescent="0.25">
      <c r="A147" s="31"/>
      <c r="C147" s="32" t="s">
        <v>55</v>
      </c>
      <c r="D147" s="32" t="s">
        <v>52</v>
      </c>
      <c r="F147" s="33">
        <v>1</v>
      </c>
      <c r="L147" s="34"/>
    </row>
    <row r="148" spans="1:76" x14ac:dyDescent="0.25">
      <c r="A148" s="2" t="s">
        <v>299</v>
      </c>
      <c r="B148" s="3" t="s">
        <v>300</v>
      </c>
      <c r="C148" s="84" t="s">
        <v>301</v>
      </c>
      <c r="D148" s="79"/>
      <c r="E148" s="3" t="s">
        <v>89</v>
      </c>
      <c r="F148" s="27">
        <v>8</v>
      </c>
      <c r="G148" s="27">
        <v>0</v>
      </c>
      <c r="H148" s="28">
        <v>12</v>
      </c>
      <c r="I148" s="27">
        <f>ROUND(F148*AO148,2)</f>
        <v>0</v>
      </c>
      <c r="J148" s="27">
        <f>ROUND(F148*AP148,2)</f>
        <v>0</v>
      </c>
      <c r="K148" s="27">
        <f>ROUND(F148*G148,2)</f>
        <v>0</v>
      </c>
      <c r="L148" s="29" t="s">
        <v>59</v>
      </c>
      <c r="Z148" s="27">
        <f>ROUND(IF(AQ148="5",BJ148,0),2)</f>
        <v>0</v>
      </c>
      <c r="AB148" s="27">
        <f>ROUND(IF(AQ148="1",BH148,0),2)</f>
        <v>0</v>
      </c>
      <c r="AC148" s="27">
        <f>ROUND(IF(AQ148="1",BI148,0),2)</f>
        <v>0</v>
      </c>
      <c r="AD148" s="27">
        <f>ROUND(IF(AQ148="7",BH148,0),2)</f>
        <v>0</v>
      </c>
      <c r="AE148" s="27">
        <f>ROUND(IF(AQ148="7",BI148,0),2)</f>
        <v>0</v>
      </c>
      <c r="AF148" s="27">
        <f>ROUND(IF(AQ148="2",BH148,0),2)</f>
        <v>0</v>
      </c>
      <c r="AG148" s="27">
        <f>ROUND(IF(AQ148="2",BI148,0),2)</f>
        <v>0</v>
      </c>
      <c r="AH148" s="27">
        <f>ROUND(IF(AQ148="0",BJ148,0),2)</f>
        <v>0</v>
      </c>
      <c r="AI148" s="12" t="s">
        <v>52</v>
      </c>
      <c r="AJ148" s="27">
        <f>IF(AN148=0,K148,0)</f>
        <v>0</v>
      </c>
      <c r="AK148" s="27">
        <f>IF(AN148=12,K148,0)</f>
        <v>0</v>
      </c>
      <c r="AL148" s="27">
        <f>IF(AN148=21,K148,0)</f>
        <v>0</v>
      </c>
      <c r="AN148" s="27">
        <v>12</v>
      </c>
      <c r="AO148" s="27">
        <f>G148*0.925499358</f>
        <v>0</v>
      </c>
      <c r="AP148" s="27">
        <f>G148*(1-0.925499358)</f>
        <v>0</v>
      </c>
      <c r="AQ148" s="30" t="s">
        <v>104</v>
      </c>
      <c r="AV148" s="27">
        <f>ROUND(AW148+AX148,2)</f>
        <v>0</v>
      </c>
      <c r="AW148" s="27">
        <f>ROUND(F148*AO148,2)</f>
        <v>0</v>
      </c>
      <c r="AX148" s="27">
        <f>ROUND(F148*AP148,2)</f>
        <v>0</v>
      </c>
      <c r="AY148" s="30" t="s">
        <v>297</v>
      </c>
      <c r="AZ148" s="30" t="s">
        <v>298</v>
      </c>
      <c r="BA148" s="12" t="s">
        <v>62</v>
      </c>
      <c r="BC148" s="27">
        <f>AW148+AX148</f>
        <v>0</v>
      </c>
      <c r="BD148" s="27">
        <f>G148/(100-BE148)*100</f>
        <v>0</v>
      </c>
      <c r="BE148" s="27">
        <v>0</v>
      </c>
      <c r="BF148" s="27">
        <f>148</f>
        <v>148</v>
      </c>
      <c r="BH148" s="27">
        <f>F148*AO148</f>
        <v>0</v>
      </c>
      <c r="BI148" s="27">
        <f>F148*AP148</f>
        <v>0</v>
      </c>
      <c r="BJ148" s="27">
        <f>F148*G148</f>
        <v>0</v>
      </c>
      <c r="BK148" s="30" t="s">
        <v>63</v>
      </c>
      <c r="BL148" s="27">
        <v>731</v>
      </c>
      <c r="BW148" s="27">
        <f>H148</f>
        <v>12</v>
      </c>
      <c r="BX148" s="5" t="s">
        <v>301</v>
      </c>
    </row>
    <row r="149" spans="1:76" x14ac:dyDescent="0.25">
      <c r="A149" s="31"/>
      <c r="C149" s="32" t="s">
        <v>108</v>
      </c>
      <c r="D149" s="32" t="s">
        <v>302</v>
      </c>
      <c r="F149" s="33">
        <v>8</v>
      </c>
      <c r="L149" s="34"/>
    </row>
    <row r="150" spans="1:76" x14ac:dyDescent="0.25">
      <c r="A150" s="2" t="s">
        <v>303</v>
      </c>
      <c r="B150" s="3" t="s">
        <v>304</v>
      </c>
      <c r="C150" s="84" t="s">
        <v>305</v>
      </c>
      <c r="D150" s="79"/>
      <c r="E150" s="3" t="s">
        <v>194</v>
      </c>
      <c r="F150" s="27">
        <v>1</v>
      </c>
      <c r="G150" s="27">
        <v>0</v>
      </c>
      <c r="H150" s="28">
        <v>12</v>
      </c>
      <c r="I150" s="27">
        <f>ROUND(F150*AO150,2)</f>
        <v>0</v>
      </c>
      <c r="J150" s="27">
        <f>ROUND(F150*AP150,2)</f>
        <v>0</v>
      </c>
      <c r="K150" s="27">
        <f>ROUND(F150*G150,2)</f>
        <v>0</v>
      </c>
      <c r="L150" s="29" t="s">
        <v>59</v>
      </c>
      <c r="Z150" s="27">
        <f>ROUND(IF(AQ150="5",BJ150,0),2)</f>
        <v>0</v>
      </c>
      <c r="AB150" s="27">
        <f>ROUND(IF(AQ150="1",BH150,0),2)</f>
        <v>0</v>
      </c>
      <c r="AC150" s="27">
        <f>ROUND(IF(AQ150="1",BI150,0),2)</f>
        <v>0</v>
      </c>
      <c r="AD150" s="27">
        <f>ROUND(IF(AQ150="7",BH150,0),2)</f>
        <v>0</v>
      </c>
      <c r="AE150" s="27">
        <f>ROUND(IF(AQ150="7",BI150,0),2)</f>
        <v>0</v>
      </c>
      <c r="AF150" s="27">
        <f>ROUND(IF(AQ150="2",BH150,0),2)</f>
        <v>0</v>
      </c>
      <c r="AG150" s="27">
        <f>ROUND(IF(AQ150="2",BI150,0),2)</f>
        <v>0</v>
      </c>
      <c r="AH150" s="27">
        <f>ROUND(IF(AQ150="0",BJ150,0),2)</f>
        <v>0</v>
      </c>
      <c r="AI150" s="12" t="s">
        <v>52</v>
      </c>
      <c r="AJ150" s="27">
        <f>IF(AN150=0,K150,0)</f>
        <v>0</v>
      </c>
      <c r="AK150" s="27">
        <f>IF(AN150=12,K150,0)</f>
        <v>0</v>
      </c>
      <c r="AL150" s="27">
        <f>IF(AN150=21,K150,0)</f>
        <v>0</v>
      </c>
      <c r="AN150" s="27">
        <v>12</v>
      </c>
      <c r="AO150" s="27">
        <f>G150*0.04801682</f>
        <v>0</v>
      </c>
      <c r="AP150" s="27">
        <f>G150*(1-0.04801682)</f>
        <v>0</v>
      </c>
      <c r="AQ150" s="30" t="s">
        <v>104</v>
      </c>
      <c r="AV150" s="27">
        <f>ROUND(AW150+AX150,2)</f>
        <v>0</v>
      </c>
      <c r="AW150" s="27">
        <f>ROUND(F150*AO150,2)</f>
        <v>0</v>
      </c>
      <c r="AX150" s="27">
        <f>ROUND(F150*AP150,2)</f>
        <v>0</v>
      </c>
      <c r="AY150" s="30" t="s">
        <v>297</v>
      </c>
      <c r="AZ150" s="30" t="s">
        <v>298</v>
      </c>
      <c r="BA150" s="12" t="s">
        <v>62</v>
      </c>
      <c r="BC150" s="27">
        <f>AW150+AX150</f>
        <v>0</v>
      </c>
      <c r="BD150" s="27">
        <f>G150/(100-BE150)*100</f>
        <v>0</v>
      </c>
      <c r="BE150" s="27">
        <v>0</v>
      </c>
      <c r="BF150" s="27">
        <f>150</f>
        <v>150</v>
      </c>
      <c r="BH150" s="27">
        <f>F150*AO150</f>
        <v>0</v>
      </c>
      <c r="BI150" s="27">
        <f>F150*AP150</f>
        <v>0</v>
      </c>
      <c r="BJ150" s="27">
        <f>F150*G150</f>
        <v>0</v>
      </c>
      <c r="BK150" s="30" t="s">
        <v>63</v>
      </c>
      <c r="BL150" s="27">
        <v>731</v>
      </c>
      <c r="BW150" s="27">
        <f>H150</f>
        <v>12</v>
      </c>
      <c r="BX150" s="5" t="s">
        <v>305</v>
      </c>
    </row>
    <row r="151" spans="1:76" x14ac:dyDescent="0.25">
      <c r="A151" s="31"/>
      <c r="C151" s="32" t="s">
        <v>55</v>
      </c>
      <c r="D151" s="32" t="s">
        <v>52</v>
      </c>
      <c r="F151" s="33">
        <v>1</v>
      </c>
      <c r="L151" s="34"/>
    </row>
    <row r="152" spans="1:76" ht="38.25" x14ac:dyDescent="0.25">
      <c r="A152" s="31"/>
      <c r="B152" s="35" t="s">
        <v>71</v>
      </c>
      <c r="C152" s="100" t="s">
        <v>306</v>
      </c>
      <c r="D152" s="101"/>
      <c r="E152" s="101"/>
      <c r="F152" s="101"/>
      <c r="G152" s="101"/>
      <c r="H152" s="101"/>
      <c r="I152" s="101"/>
      <c r="J152" s="101"/>
      <c r="K152" s="101"/>
      <c r="L152" s="102"/>
      <c r="BX152" s="36" t="s">
        <v>306</v>
      </c>
    </row>
    <row r="153" spans="1:76" x14ac:dyDescent="0.25">
      <c r="A153" s="2" t="s">
        <v>307</v>
      </c>
      <c r="B153" s="3" t="s">
        <v>308</v>
      </c>
      <c r="C153" s="84" t="s">
        <v>309</v>
      </c>
      <c r="D153" s="79"/>
      <c r="E153" s="3" t="s">
        <v>69</v>
      </c>
      <c r="F153" s="27">
        <v>1</v>
      </c>
      <c r="G153" s="27">
        <v>0</v>
      </c>
      <c r="H153" s="28">
        <v>12</v>
      </c>
      <c r="I153" s="27">
        <f>ROUND(F153*AO153,2)</f>
        <v>0</v>
      </c>
      <c r="J153" s="27">
        <f>ROUND(F153*AP153,2)</f>
        <v>0</v>
      </c>
      <c r="K153" s="27">
        <f>ROUND(F153*G153,2)</f>
        <v>0</v>
      </c>
      <c r="L153" s="29" t="s">
        <v>59</v>
      </c>
      <c r="Z153" s="27">
        <f>ROUND(IF(AQ153="5",BJ153,0),2)</f>
        <v>0</v>
      </c>
      <c r="AB153" s="27">
        <f>ROUND(IF(AQ153="1",BH153,0),2)</f>
        <v>0</v>
      </c>
      <c r="AC153" s="27">
        <f>ROUND(IF(AQ153="1",BI153,0),2)</f>
        <v>0</v>
      </c>
      <c r="AD153" s="27">
        <f>ROUND(IF(AQ153="7",BH153,0),2)</f>
        <v>0</v>
      </c>
      <c r="AE153" s="27">
        <f>ROUND(IF(AQ153="7",BI153,0),2)</f>
        <v>0</v>
      </c>
      <c r="AF153" s="27">
        <f>ROUND(IF(AQ153="2",BH153,0),2)</f>
        <v>0</v>
      </c>
      <c r="AG153" s="27">
        <f>ROUND(IF(AQ153="2",BI153,0),2)</f>
        <v>0</v>
      </c>
      <c r="AH153" s="27">
        <f>ROUND(IF(AQ153="0",BJ153,0),2)</f>
        <v>0</v>
      </c>
      <c r="AI153" s="12" t="s">
        <v>52</v>
      </c>
      <c r="AJ153" s="27">
        <f>IF(AN153=0,K153,0)</f>
        <v>0</v>
      </c>
      <c r="AK153" s="27">
        <f>IF(AN153=12,K153,0)</f>
        <v>0</v>
      </c>
      <c r="AL153" s="27">
        <f>IF(AN153=21,K153,0)</f>
        <v>0</v>
      </c>
      <c r="AN153" s="27">
        <v>12</v>
      </c>
      <c r="AO153" s="27">
        <f>G153*1</f>
        <v>0</v>
      </c>
      <c r="AP153" s="27">
        <f>G153*(1-1)</f>
        <v>0</v>
      </c>
      <c r="AQ153" s="30" t="s">
        <v>104</v>
      </c>
      <c r="AV153" s="27">
        <f>ROUND(AW153+AX153,2)</f>
        <v>0</v>
      </c>
      <c r="AW153" s="27">
        <f>ROUND(F153*AO153,2)</f>
        <v>0</v>
      </c>
      <c r="AX153" s="27">
        <f>ROUND(F153*AP153,2)</f>
        <v>0</v>
      </c>
      <c r="AY153" s="30" t="s">
        <v>297</v>
      </c>
      <c r="AZ153" s="30" t="s">
        <v>298</v>
      </c>
      <c r="BA153" s="12" t="s">
        <v>62</v>
      </c>
      <c r="BC153" s="27">
        <f>AW153+AX153</f>
        <v>0</v>
      </c>
      <c r="BD153" s="27">
        <f>G153/(100-BE153)*100</f>
        <v>0</v>
      </c>
      <c r="BE153" s="27">
        <v>0</v>
      </c>
      <c r="BF153" s="27">
        <f>153</f>
        <v>153</v>
      </c>
      <c r="BH153" s="27">
        <f>F153*AO153</f>
        <v>0</v>
      </c>
      <c r="BI153" s="27">
        <f>F153*AP153</f>
        <v>0</v>
      </c>
      <c r="BJ153" s="27">
        <f>F153*G153</f>
        <v>0</v>
      </c>
      <c r="BK153" s="30" t="s">
        <v>134</v>
      </c>
      <c r="BL153" s="27">
        <v>731</v>
      </c>
      <c r="BW153" s="27">
        <f>H153</f>
        <v>12</v>
      </c>
      <c r="BX153" s="5" t="s">
        <v>309</v>
      </c>
    </row>
    <row r="154" spans="1:76" x14ac:dyDescent="0.25">
      <c r="A154" s="31"/>
      <c r="C154" s="32" t="s">
        <v>55</v>
      </c>
      <c r="D154" s="32" t="s">
        <v>52</v>
      </c>
      <c r="F154" s="33">
        <v>1</v>
      </c>
      <c r="L154" s="34"/>
    </row>
    <row r="155" spans="1:76" ht="191.25" x14ac:dyDescent="0.25">
      <c r="A155" s="31"/>
      <c r="B155" s="35" t="s">
        <v>71</v>
      </c>
      <c r="C155" s="100" t="s">
        <v>310</v>
      </c>
      <c r="D155" s="101"/>
      <c r="E155" s="101"/>
      <c r="F155" s="101"/>
      <c r="G155" s="101"/>
      <c r="H155" s="101"/>
      <c r="I155" s="101"/>
      <c r="J155" s="101"/>
      <c r="K155" s="101"/>
      <c r="L155" s="102"/>
      <c r="BX155" s="36" t="s">
        <v>310</v>
      </c>
    </row>
    <row r="156" spans="1:76" x14ac:dyDescent="0.25">
      <c r="A156" s="2" t="s">
        <v>311</v>
      </c>
      <c r="B156" s="3" t="s">
        <v>312</v>
      </c>
      <c r="C156" s="84" t="s">
        <v>313</v>
      </c>
      <c r="D156" s="79"/>
      <c r="E156" s="3" t="s">
        <v>182</v>
      </c>
      <c r="F156" s="27">
        <v>0.255</v>
      </c>
      <c r="G156" s="27">
        <v>0</v>
      </c>
      <c r="H156" s="28">
        <v>12</v>
      </c>
      <c r="I156" s="27">
        <f>ROUND(F156*AO156,2)</f>
        <v>0</v>
      </c>
      <c r="J156" s="27">
        <f>ROUND(F156*AP156,2)</f>
        <v>0</v>
      </c>
      <c r="K156" s="27">
        <f>ROUND(F156*G156,2)</f>
        <v>0</v>
      </c>
      <c r="L156" s="29" t="s">
        <v>59</v>
      </c>
      <c r="Z156" s="27">
        <f>ROUND(IF(AQ156="5",BJ156,0),2)</f>
        <v>0</v>
      </c>
      <c r="AB156" s="27">
        <f>ROUND(IF(AQ156="1",BH156,0),2)</f>
        <v>0</v>
      </c>
      <c r="AC156" s="27">
        <f>ROUND(IF(AQ156="1",BI156,0),2)</f>
        <v>0</v>
      </c>
      <c r="AD156" s="27">
        <f>ROUND(IF(AQ156="7",BH156,0),2)</f>
        <v>0</v>
      </c>
      <c r="AE156" s="27">
        <f>ROUND(IF(AQ156="7",BI156,0),2)</f>
        <v>0</v>
      </c>
      <c r="AF156" s="27">
        <f>ROUND(IF(AQ156="2",BH156,0),2)</f>
        <v>0</v>
      </c>
      <c r="AG156" s="27">
        <f>ROUND(IF(AQ156="2",BI156,0),2)</f>
        <v>0</v>
      </c>
      <c r="AH156" s="27">
        <f>ROUND(IF(AQ156="0",BJ156,0),2)</f>
        <v>0</v>
      </c>
      <c r="AI156" s="12" t="s">
        <v>52</v>
      </c>
      <c r="AJ156" s="27">
        <f>IF(AN156=0,K156,0)</f>
        <v>0</v>
      </c>
      <c r="AK156" s="27">
        <f>IF(AN156=12,K156,0)</f>
        <v>0</v>
      </c>
      <c r="AL156" s="27">
        <f>IF(AN156=21,K156,0)</f>
        <v>0</v>
      </c>
      <c r="AN156" s="27">
        <v>12</v>
      </c>
      <c r="AO156" s="27">
        <f>G156*0</f>
        <v>0</v>
      </c>
      <c r="AP156" s="27">
        <f>G156*(1-0)</f>
        <v>0</v>
      </c>
      <c r="AQ156" s="30" t="s">
        <v>93</v>
      </c>
      <c r="AV156" s="27">
        <f>ROUND(AW156+AX156,2)</f>
        <v>0</v>
      </c>
      <c r="AW156" s="27">
        <f>ROUND(F156*AO156,2)</f>
        <v>0</v>
      </c>
      <c r="AX156" s="27">
        <f>ROUND(F156*AP156,2)</f>
        <v>0</v>
      </c>
      <c r="AY156" s="30" t="s">
        <v>297</v>
      </c>
      <c r="AZ156" s="30" t="s">
        <v>298</v>
      </c>
      <c r="BA156" s="12" t="s">
        <v>62</v>
      </c>
      <c r="BC156" s="27">
        <f>AW156+AX156</f>
        <v>0</v>
      </c>
      <c r="BD156" s="27">
        <f>G156/(100-BE156)*100</f>
        <v>0</v>
      </c>
      <c r="BE156" s="27">
        <v>0</v>
      </c>
      <c r="BF156" s="27">
        <f>156</f>
        <v>156</v>
      </c>
      <c r="BH156" s="27">
        <f>F156*AO156</f>
        <v>0</v>
      </c>
      <c r="BI156" s="27">
        <f>F156*AP156</f>
        <v>0</v>
      </c>
      <c r="BJ156" s="27">
        <f>F156*G156</f>
        <v>0</v>
      </c>
      <c r="BK156" s="30" t="s">
        <v>63</v>
      </c>
      <c r="BL156" s="27">
        <v>731</v>
      </c>
      <c r="BW156" s="27">
        <f>H156</f>
        <v>12</v>
      </c>
      <c r="BX156" s="5" t="s">
        <v>313</v>
      </c>
    </row>
    <row r="157" spans="1:76" x14ac:dyDescent="0.25">
      <c r="A157" s="31"/>
      <c r="C157" s="32" t="s">
        <v>314</v>
      </c>
      <c r="D157" s="32" t="s">
        <v>52</v>
      </c>
      <c r="F157" s="33">
        <v>0.255</v>
      </c>
      <c r="L157" s="34"/>
    </row>
    <row r="158" spans="1:76" x14ac:dyDescent="0.25">
      <c r="A158" s="37" t="s">
        <v>52</v>
      </c>
      <c r="B158" s="38" t="s">
        <v>315</v>
      </c>
      <c r="C158" s="103" t="s">
        <v>316</v>
      </c>
      <c r="D158" s="104"/>
      <c r="E158" s="39" t="s">
        <v>4</v>
      </c>
      <c r="F158" s="39" t="s">
        <v>4</v>
      </c>
      <c r="G158" s="39" t="s">
        <v>4</v>
      </c>
      <c r="H158" s="39" t="s">
        <v>4</v>
      </c>
      <c r="I158" s="1">
        <f>SUM(I159:I159)</f>
        <v>0</v>
      </c>
      <c r="J158" s="1">
        <f>SUM(J159:J159)</f>
        <v>0</v>
      </c>
      <c r="K158" s="1">
        <f>SUM(K159:K159)</f>
        <v>0</v>
      </c>
      <c r="L158" s="40" t="s">
        <v>52</v>
      </c>
      <c r="AI158" s="12" t="s">
        <v>52</v>
      </c>
      <c r="AS158" s="1">
        <f>SUM(AJ159:AJ159)</f>
        <v>0</v>
      </c>
      <c r="AT158" s="1">
        <f>SUM(AK159:AK159)</f>
        <v>0</v>
      </c>
      <c r="AU158" s="1">
        <f>SUM(AL159:AL159)</f>
        <v>0</v>
      </c>
    </row>
    <row r="159" spans="1:76" x14ac:dyDescent="0.25">
      <c r="A159" s="2" t="s">
        <v>317</v>
      </c>
      <c r="B159" s="3" t="s">
        <v>318</v>
      </c>
      <c r="C159" s="84" t="s">
        <v>319</v>
      </c>
      <c r="D159" s="79"/>
      <c r="E159" s="3" t="s">
        <v>69</v>
      </c>
      <c r="F159" s="27">
        <v>1</v>
      </c>
      <c r="G159" s="27">
        <v>0</v>
      </c>
      <c r="H159" s="28">
        <v>12</v>
      </c>
      <c r="I159" s="27">
        <f>ROUND(F159*AO159,2)</f>
        <v>0</v>
      </c>
      <c r="J159" s="27">
        <f>ROUND(F159*AP159,2)</f>
        <v>0</v>
      </c>
      <c r="K159" s="27">
        <f>ROUND(F159*G159,2)</f>
        <v>0</v>
      </c>
      <c r="L159" s="29" t="s">
        <v>116</v>
      </c>
      <c r="Z159" s="27">
        <f>ROUND(IF(AQ159="5",BJ159,0),2)</f>
        <v>0</v>
      </c>
      <c r="AB159" s="27">
        <f>ROUND(IF(AQ159="1",BH159,0),2)</f>
        <v>0</v>
      </c>
      <c r="AC159" s="27">
        <f>ROUND(IF(AQ159="1",BI159,0),2)</f>
        <v>0</v>
      </c>
      <c r="AD159" s="27">
        <f>ROUND(IF(AQ159="7",BH159,0),2)</f>
        <v>0</v>
      </c>
      <c r="AE159" s="27">
        <f>ROUND(IF(AQ159="7",BI159,0),2)</f>
        <v>0</v>
      </c>
      <c r="AF159" s="27">
        <f>ROUND(IF(AQ159="2",BH159,0),2)</f>
        <v>0</v>
      </c>
      <c r="AG159" s="27">
        <f>ROUND(IF(AQ159="2",BI159,0),2)</f>
        <v>0</v>
      </c>
      <c r="AH159" s="27">
        <f>ROUND(IF(AQ159="0",BJ159,0),2)</f>
        <v>0</v>
      </c>
      <c r="AI159" s="12" t="s">
        <v>52</v>
      </c>
      <c r="AJ159" s="27">
        <f>IF(AN159=0,K159,0)</f>
        <v>0</v>
      </c>
      <c r="AK159" s="27">
        <f>IF(AN159=12,K159,0)</f>
        <v>0</v>
      </c>
      <c r="AL159" s="27">
        <f>IF(AN159=21,K159,0)</f>
        <v>0</v>
      </c>
      <c r="AN159" s="27">
        <v>12</v>
      </c>
      <c r="AO159" s="27">
        <f>G159*0.395103532</f>
        <v>0</v>
      </c>
      <c r="AP159" s="27">
        <f>G159*(1-0.395103532)</f>
        <v>0</v>
      </c>
      <c r="AQ159" s="30" t="s">
        <v>104</v>
      </c>
      <c r="AV159" s="27">
        <f>ROUND(AW159+AX159,2)</f>
        <v>0</v>
      </c>
      <c r="AW159" s="27">
        <f>ROUND(F159*AO159,2)</f>
        <v>0</v>
      </c>
      <c r="AX159" s="27">
        <f>ROUND(F159*AP159,2)</f>
        <v>0</v>
      </c>
      <c r="AY159" s="30" t="s">
        <v>320</v>
      </c>
      <c r="AZ159" s="30" t="s">
        <v>298</v>
      </c>
      <c r="BA159" s="12" t="s">
        <v>62</v>
      </c>
      <c r="BC159" s="27">
        <f>AW159+AX159</f>
        <v>0</v>
      </c>
      <c r="BD159" s="27">
        <f>G159/(100-BE159)*100</f>
        <v>0</v>
      </c>
      <c r="BE159" s="27">
        <v>0</v>
      </c>
      <c r="BF159" s="27">
        <f>159</f>
        <v>159</v>
      </c>
      <c r="BH159" s="27">
        <f>F159*AO159</f>
        <v>0</v>
      </c>
      <c r="BI159" s="27">
        <f>F159*AP159</f>
        <v>0</v>
      </c>
      <c r="BJ159" s="27">
        <f>F159*G159</f>
        <v>0</v>
      </c>
      <c r="BK159" s="30" t="s">
        <v>63</v>
      </c>
      <c r="BL159" s="27">
        <v>732</v>
      </c>
      <c r="BW159" s="27">
        <f>H159</f>
        <v>12</v>
      </c>
      <c r="BX159" s="5" t="s">
        <v>319</v>
      </c>
    </row>
    <row r="160" spans="1:76" x14ac:dyDescent="0.25">
      <c r="A160" s="31"/>
      <c r="C160" s="32" t="s">
        <v>55</v>
      </c>
      <c r="D160" s="32" t="s">
        <v>52</v>
      </c>
      <c r="F160" s="33">
        <v>1</v>
      </c>
      <c r="L160" s="34"/>
    </row>
    <row r="161" spans="1:76" x14ac:dyDescent="0.25">
      <c r="A161" s="37" t="s">
        <v>52</v>
      </c>
      <c r="B161" s="38" t="s">
        <v>321</v>
      </c>
      <c r="C161" s="103" t="s">
        <v>322</v>
      </c>
      <c r="D161" s="104"/>
      <c r="E161" s="39" t="s">
        <v>4</v>
      </c>
      <c r="F161" s="39" t="s">
        <v>4</v>
      </c>
      <c r="G161" s="39" t="s">
        <v>4</v>
      </c>
      <c r="H161" s="39" t="s">
        <v>4</v>
      </c>
      <c r="I161" s="1">
        <f>SUM(I162:I172)</f>
        <v>0</v>
      </c>
      <c r="J161" s="1">
        <f>SUM(J162:J172)</f>
        <v>0</v>
      </c>
      <c r="K161" s="1">
        <f>SUM(K162:K172)</f>
        <v>0</v>
      </c>
      <c r="L161" s="40" t="s">
        <v>52</v>
      </c>
      <c r="AI161" s="12" t="s">
        <v>52</v>
      </c>
      <c r="AS161" s="1">
        <f>SUM(AJ162:AJ172)</f>
        <v>0</v>
      </c>
      <c r="AT161" s="1">
        <f>SUM(AK162:AK172)</f>
        <v>0</v>
      </c>
      <c r="AU161" s="1">
        <f>SUM(AL162:AL172)</f>
        <v>0</v>
      </c>
    </row>
    <row r="162" spans="1:76" x14ac:dyDescent="0.25">
      <c r="A162" s="2" t="s">
        <v>323</v>
      </c>
      <c r="B162" s="3" t="s">
        <v>324</v>
      </c>
      <c r="C162" s="84" t="s">
        <v>325</v>
      </c>
      <c r="D162" s="79"/>
      <c r="E162" s="3" t="s">
        <v>89</v>
      </c>
      <c r="F162" s="27">
        <v>45.2</v>
      </c>
      <c r="G162" s="27">
        <v>0</v>
      </c>
      <c r="H162" s="28">
        <v>12</v>
      </c>
      <c r="I162" s="27">
        <f>ROUND(F162*AO162,2)</f>
        <v>0</v>
      </c>
      <c r="J162" s="27">
        <f>ROUND(F162*AP162,2)</f>
        <v>0</v>
      </c>
      <c r="K162" s="27">
        <f>ROUND(F162*G162,2)</f>
        <v>0</v>
      </c>
      <c r="L162" s="29" t="s">
        <v>59</v>
      </c>
      <c r="Z162" s="27">
        <f>ROUND(IF(AQ162="5",BJ162,0),2)</f>
        <v>0</v>
      </c>
      <c r="AB162" s="27">
        <f>ROUND(IF(AQ162="1",BH162,0),2)</f>
        <v>0</v>
      </c>
      <c r="AC162" s="27">
        <f>ROUND(IF(AQ162="1",BI162,0),2)</f>
        <v>0</v>
      </c>
      <c r="AD162" s="27">
        <f>ROUND(IF(AQ162="7",BH162,0),2)</f>
        <v>0</v>
      </c>
      <c r="AE162" s="27">
        <f>ROUND(IF(AQ162="7",BI162,0),2)</f>
        <v>0</v>
      </c>
      <c r="AF162" s="27">
        <f>ROUND(IF(AQ162="2",BH162,0),2)</f>
        <v>0</v>
      </c>
      <c r="AG162" s="27">
        <f>ROUND(IF(AQ162="2",BI162,0),2)</f>
        <v>0</v>
      </c>
      <c r="AH162" s="27">
        <f>ROUND(IF(AQ162="0",BJ162,0),2)</f>
        <v>0</v>
      </c>
      <c r="AI162" s="12" t="s">
        <v>52</v>
      </c>
      <c r="AJ162" s="27">
        <f>IF(AN162=0,K162,0)</f>
        <v>0</v>
      </c>
      <c r="AK162" s="27">
        <f>IF(AN162=12,K162,0)</f>
        <v>0</v>
      </c>
      <c r="AL162" s="27">
        <f>IF(AN162=21,K162,0)</f>
        <v>0</v>
      </c>
      <c r="AN162" s="27">
        <v>12</v>
      </c>
      <c r="AO162" s="27">
        <f>G162*0.580632</f>
        <v>0</v>
      </c>
      <c r="AP162" s="27">
        <f>G162*(1-0.580632)</f>
        <v>0</v>
      </c>
      <c r="AQ162" s="30" t="s">
        <v>104</v>
      </c>
      <c r="AV162" s="27">
        <f>ROUND(AW162+AX162,2)</f>
        <v>0</v>
      </c>
      <c r="AW162" s="27">
        <f>ROUND(F162*AO162,2)</f>
        <v>0</v>
      </c>
      <c r="AX162" s="27">
        <f>ROUND(F162*AP162,2)</f>
        <v>0</v>
      </c>
      <c r="AY162" s="30" t="s">
        <v>326</v>
      </c>
      <c r="AZ162" s="30" t="s">
        <v>298</v>
      </c>
      <c r="BA162" s="12" t="s">
        <v>62</v>
      </c>
      <c r="BC162" s="27">
        <f>AW162+AX162</f>
        <v>0</v>
      </c>
      <c r="BD162" s="27">
        <f>G162/(100-BE162)*100</f>
        <v>0</v>
      </c>
      <c r="BE162" s="27">
        <v>0</v>
      </c>
      <c r="BF162" s="27">
        <f>162</f>
        <v>162</v>
      </c>
      <c r="BH162" s="27">
        <f>F162*AO162</f>
        <v>0</v>
      </c>
      <c r="BI162" s="27">
        <f>F162*AP162</f>
        <v>0</v>
      </c>
      <c r="BJ162" s="27">
        <f>F162*G162</f>
        <v>0</v>
      </c>
      <c r="BK162" s="30" t="s">
        <v>63</v>
      </c>
      <c r="BL162" s="27">
        <v>733</v>
      </c>
      <c r="BW162" s="27">
        <f>H162</f>
        <v>12</v>
      </c>
      <c r="BX162" s="5" t="s">
        <v>325</v>
      </c>
    </row>
    <row r="163" spans="1:76" x14ac:dyDescent="0.25">
      <c r="A163" s="31"/>
      <c r="C163" s="32" t="s">
        <v>327</v>
      </c>
      <c r="D163" s="32" t="s">
        <v>52</v>
      </c>
      <c r="F163" s="33">
        <v>21.5</v>
      </c>
      <c r="L163" s="34"/>
    </row>
    <row r="164" spans="1:76" x14ac:dyDescent="0.25">
      <c r="A164" s="31"/>
      <c r="C164" s="32" t="s">
        <v>328</v>
      </c>
      <c r="D164" s="32" t="s">
        <v>52</v>
      </c>
      <c r="F164" s="33">
        <v>14.7</v>
      </c>
      <c r="L164" s="34"/>
    </row>
    <row r="165" spans="1:76" x14ac:dyDescent="0.25">
      <c r="A165" s="31"/>
      <c r="C165" s="32" t="s">
        <v>329</v>
      </c>
      <c r="D165" s="32" t="s">
        <v>52</v>
      </c>
      <c r="F165" s="33">
        <v>9</v>
      </c>
      <c r="L165" s="34"/>
    </row>
    <row r="166" spans="1:76" ht="25.5" x14ac:dyDescent="0.25">
      <c r="A166" s="31"/>
      <c r="B166" s="35" t="s">
        <v>71</v>
      </c>
      <c r="C166" s="100" t="s">
        <v>330</v>
      </c>
      <c r="D166" s="101"/>
      <c r="E166" s="101"/>
      <c r="F166" s="101"/>
      <c r="G166" s="101"/>
      <c r="H166" s="101"/>
      <c r="I166" s="101"/>
      <c r="J166" s="101"/>
      <c r="K166" s="101"/>
      <c r="L166" s="102"/>
      <c r="BX166" s="36" t="s">
        <v>330</v>
      </c>
    </row>
    <row r="167" spans="1:76" x14ac:dyDescent="0.25">
      <c r="A167" s="2" t="s">
        <v>84</v>
      </c>
      <c r="B167" s="3" t="s">
        <v>331</v>
      </c>
      <c r="C167" s="84" t="s">
        <v>332</v>
      </c>
      <c r="D167" s="79"/>
      <c r="E167" s="3" t="s">
        <v>89</v>
      </c>
      <c r="F167" s="27">
        <v>2</v>
      </c>
      <c r="G167" s="27">
        <v>0</v>
      </c>
      <c r="H167" s="28">
        <v>12</v>
      </c>
      <c r="I167" s="27">
        <f>ROUND(F167*AO167,2)</f>
        <v>0</v>
      </c>
      <c r="J167" s="27">
        <f>ROUND(F167*AP167,2)</f>
        <v>0</v>
      </c>
      <c r="K167" s="27">
        <f>ROUND(F167*G167,2)</f>
        <v>0</v>
      </c>
      <c r="L167" s="29" t="s">
        <v>59</v>
      </c>
      <c r="Z167" s="27">
        <f>ROUND(IF(AQ167="5",BJ167,0),2)</f>
        <v>0</v>
      </c>
      <c r="AB167" s="27">
        <f>ROUND(IF(AQ167="1",BH167,0),2)</f>
        <v>0</v>
      </c>
      <c r="AC167" s="27">
        <f>ROUND(IF(AQ167="1",BI167,0),2)</f>
        <v>0</v>
      </c>
      <c r="AD167" s="27">
        <f>ROUND(IF(AQ167="7",BH167,0),2)</f>
        <v>0</v>
      </c>
      <c r="AE167" s="27">
        <f>ROUND(IF(AQ167="7",BI167,0),2)</f>
        <v>0</v>
      </c>
      <c r="AF167" s="27">
        <f>ROUND(IF(AQ167="2",BH167,0),2)</f>
        <v>0</v>
      </c>
      <c r="AG167" s="27">
        <f>ROUND(IF(AQ167="2",BI167,0),2)</f>
        <v>0</v>
      </c>
      <c r="AH167" s="27">
        <f>ROUND(IF(AQ167="0",BJ167,0),2)</f>
        <v>0</v>
      </c>
      <c r="AI167" s="12" t="s">
        <v>52</v>
      </c>
      <c r="AJ167" s="27">
        <f>IF(AN167=0,K167,0)</f>
        <v>0</v>
      </c>
      <c r="AK167" s="27">
        <f>IF(AN167=12,K167,0)</f>
        <v>0</v>
      </c>
      <c r="AL167" s="27">
        <f>IF(AN167=21,K167,0)</f>
        <v>0</v>
      </c>
      <c r="AN167" s="27">
        <v>12</v>
      </c>
      <c r="AO167" s="27">
        <f>G167*0.656028708</f>
        <v>0</v>
      </c>
      <c r="AP167" s="27">
        <f>G167*(1-0.656028708)</f>
        <v>0</v>
      </c>
      <c r="AQ167" s="30" t="s">
        <v>104</v>
      </c>
      <c r="AV167" s="27">
        <f>ROUND(AW167+AX167,2)</f>
        <v>0</v>
      </c>
      <c r="AW167" s="27">
        <f>ROUND(F167*AO167,2)</f>
        <v>0</v>
      </c>
      <c r="AX167" s="27">
        <f>ROUND(F167*AP167,2)</f>
        <v>0</v>
      </c>
      <c r="AY167" s="30" t="s">
        <v>326</v>
      </c>
      <c r="AZ167" s="30" t="s">
        <v>298</v>
      </c>
      <c r="BA167" s="12" t="s">
        <v>62</v>
      </c>
      <c r="BC167" s="27">
        <f>AW167+AX167</f>
        <v>0</v>
      </c>
      <c r="BD167" s="27">
        <f>G167/(100-BE167)*100</f>
        <v>0</v>
      </c>
      <c r="BE167" s="27">
        <v>0</v>
      </c>
      <c r="BF167" s="27">
        <f>167</f>
        <v>167</v>
      </c>
      <c r="BH167" s="27">
        <f>F167*AO167</f>
        <v>0</v>
      </c>
      <c r="BI167" s="27">
        <f>F167*AP167</f>
        <v>0</v>
      </c>
      <c r="BJ167" s="27">
        <f>F167*G167</f>
        <v>0</v>
      </c>
      <c r="BK167" s="30" t="s">
        <v>63</v>
      </c>
      <c r="BL167" s="27">
        <v>733</v>
      </c>
      <c r="BW167" s="27">
        <f>H167</f>
        <v>12</v>
      </c>
      <c r="BX167" s="5" t="s">
        <v>332</v>
      </c>
    </row>
    <row r="168" spans="1:76" x14ac:dyDescent="0.25">
      <c r="A168" s="31"/>
      <c r="C168" s="32" t="s">
        <v>66</v>
      </c>
      <c r="D168" s="32" t="s">
        <v>52</v>
      </c>
      <c r="F168" s="33">
        <v>2</v>
      </c>
      <c r="L168" s="34"/>
    </row>
    <row r="169" spans="1:76" ht="25.5" x14ac:dyDescent="0.25">
      <c r="A169" s="31"/>
      <c r="B169" s="35" t="s">
        <v>71</v>
      </c>
      <c r="C169" s="100" t="s">
        <v>330</v>
      </c>
      <c r="D169" s="101"/>
      <c r="E169" s="101"/>
      <c r="F169" s="101"/>
      <c r="G169" s="101"/>
      <c r="H169" s="101"/>
      <c r="I169" s="101"/>
      <c r="J169" s="101"/>
      <c r="K169" s="101"/>
      <c r="L169" s="102"/>
      <c r="BX169" s="36" t="s">
        <v>330</v>
      </c>
    </row>
    <row r="170" spans="1:76" x14ac:dyDescent="0.25">
      <c r="A170" s="2" t="s">
        <v>333</v>
      </c>
      <c r="B170" s="3" t="s">
        <v>334</v>
      </c>
      <c r="C170" s="84" t="s">
        <v>335</v>
      </c>
      <c r="D170" s="79"/>
      <c r="E170" s="3" t="s">
        <v>69</v>
      </c>
      <c r="F170" s="27">
        <v>12</v>
      </c>
      <c r="G170" s="27">
        <v>0</v>
      </c>
      <c r="H170" s="28">
        <v>12</v>
      </c>
      <c r="I170" s="27">
        <f>ROUND(F170*AO170,2)</f>
        <v>0</v>
      </c>
      <c r="J170" s="27">
        <f>ROUND(F170*AP170,2)</f>
        <v>0</v>
      </c>
      <c r="K170" s="27">
        <f>ROUND(F170*G170,2)</f>
        <v>0</v>
      </c>
      <c r="L170" s="29" t="s">
        <v>59</v>
      </c>
      <c r="Z170" s="27">
        <f>ROUND(IF(AQ170="5",BJ170,0),2)</f>
        <v>0</v>
      </c>
      <c r="AB170" s="27">
        <f>ROUND(IF(AQ170="1",BH170,0),2)</f>
        <v>0</v>
      </c>
      <c r="AC170" s="27">
        <f>ROUND(IF(AQ170="1",BI170,0),2)</f>
        <v>0</v>
      </c>
      <c r="AD170" s="27">
        <f>ROUND(IF(AQ170="7",BH170,0),2)</f>
        <v>0</v>
      </c>
      <c r="AE170" s="27">
        <f>ROUND(IF(AQ170="7",BI170,0),2)</f>
        <v>0</v>
      </c>
      <c r="AF170" s="27">
        <f>ROUND(IF(AQ170="2",BH170,0),2)</f>
        <v>0</v>
      </c>
      <c r="AG170" s="27">
        <f>ROUND(IF(AQ170="2",BI170,0),2)</f>
        <v>0</v>
      </c>
      <c r="AH170" s="27">
        <f>ROUND(IF(AQ170="0",BJ170,0),2)</f>
        <v>0</v>
      </c>
      <c r="AI170" s="12" t="s">
        <v>52</v>
      </c>
      <c r="AJ170" s="27">
        <f>IF(AN170=0,K170,0)</f>
        <v>0</v>
      </c>
      <c r="AK170" s="27">
        <f>IF(AN170=12,K170,0)</f>
        <v>0</v>
      </c>
      <c r="AL170" s="27">
        <f>IF(AN170=21,K170,0)</f>
        <v>0</v>
      </c>
      <c r="AN170" s="27">
        <v>12</v>
      </c>
      <c r="AO170" s="27">
        <f>G170*0.212816092</f>
        <v>0</v>
      </c>
      <c r="AP170" s="27">
        <f>G170*(1-0.212816092)</f>
        <v>0</v>
      </c>
      <c r="AQ170" s="30" t="s">
        <v>104</v>
      </c>
      <c r="AV170" s="27">
        <f>ROUND(AW170+AX170,2)</f>
        <v>0</v>
      </c>
      <c r="AW170" s="27">
        <f>ROUND(F170*AO170,2)</f>
        <v>0</v>
      </c>
      <c r="AX170" s="27">
        <f>ROUND(F170*AP170,2)</f>
        <v>0</v>
      </c>
      <c r="AY170" s="30" t="s">
        <v>326</v>
      </c>
      <c r="AZ170" s="30" t="s">
        <v>298</v>
      </c>
      <c r="BA170" s="12" t="s">
        <v>62</v>
      </c>
      <c r="BC170" s="27">
        <f>AW170+AX170</f>
        <v>0</v>
      </c>
      <c r="BD170" s="27">
        <f>G170/(100-BE170)*100</f>
        <v>0</v>
      </c>
      <c r="BE170" s="27">
        <v>0</v>
      </c>
      <c r="BF170" s="27">
        <f>170</f>
        <v>170</v>
      </c>
      <c r="BH170" s="27">
        <f>F170*AO170</f>
        <v>0</v>
      </c>
      <c r="BI170" s="27">
        <f>F170*AP170</f>
        <v>0</v>
      </c>
      <c r="BJ170" s="27">
        <f>F170*G170</f>
        <v>0</v>
      </c>
      <c r="BK170" s="30" t="s">
        <v>63</v>
      </c>
      <c r="BL170" s="27">
        <v>733</v>
      </c>
      <c r="BW170" s="27">
        <f>H170</f>
        <v>12</v>
      </c>
      <c r="BX170" s="5" t="s">
        <v>335</v>
      </c>
    </row>
    <row r="171" spans="1:76" x14ac:dyDescent="0.25">
      <c r="A171" s="31"/>
      <c r="C171" s="32" t="s">
        <v>131</v>
      </c>
      <c r="D171" s="32" t="s">
        <v>52</v>
      </c>
      <c r="F171" s="33">
        <v>12</v>
      </c>
      <c r="L171" s="34"/>
    </row>
    <row r="172" spans="1:76" x14ac:dyDescent="0.25">
      <c r="A172" s="2" t="s">
        <v>111</v>
      </c>
      <c r="B172" s="3" t="s">
        <v>336</v>
      </c>
      <c r="C172" s="84" t="s">
        <v>337</v>
      </c>
      <c r="D172" s="79"/>
      <c r="E172" s="3" t="s">
        <v>182</v>
      </c>
      <c r="F172" s="27">
        <v>3.5999999999999997E-2</v>
      </c>
      <c r="G172" s="27">
        <v>0</v>
      </c>
      <c r="H172" s="28">
        <v>12</v>
      </c>
      <c r="I172" s="27">
        <f>ROUND(F172*AO172,2)</f>
        <v>0</v>
      </c>
      <c r="J172" s="27">
        <f>ROUND(F172*AP172,2)</f>
        <v>0</v>
      </c>
      <c r="K172" s="27">
        <f>ROUND(F172*G172,2)</f>
        <v>0</v>
      </c>
      <c r="L172" s="29" t="s">
        <v>59</v>
      </c>
      <c r="Z172" s="27">
        <f>ROUND(IF(AQ172="5",BJ172,0),2)</f>
        <v>0</v>
      </c>
      <c r="AB172" s="27">
        <f>ROUND(IF(AQ172="1",BH172,0),2)</f>
        <v>0</v>
      </c>
      <c r="AC172" s="27">
        <f>ROUND(IF(AQ172="1",BI172,0),2)</f>
        <v>0</v>
      </c>
      <c r="AD172" s="27">
        <f>ROUND(IF(AQ172="7",BH172,0),2)</f>
        <v>0</v>
      </c>
      <c r="AE172" s="27">
        <f>ROUND(IF(AQ172="7",BI172,0),2)</f>
        <v>0</v>
      </c>
      <c r="AF172" s="27">
        <f>ROUND(IF(AQ172="2",BH172,0),2)</f>
        <v>0</v>
      </c>
      <c r="AG172" s="27">
        <f>ROUND(IF(AQ172="2",BI172,0),2)</f>
        <v>0</v>
      </c>
      <c r="AH172" s="27">
        <f>ROUND(IF(AQ172="0",BJ172,0),2)</f>
        <v>0</v>
      </c>
      <c r="AI172" s="12" t="s">
        <v>52</v>
      </c>
      <c r="AJ172" s="27">
        <f>IF(AN172=0,K172,0)</f>
        <v>0</v>
      </c>
      <c r="AK172" s="27">
        <f>IF(AN172=12,K172,0)</f>
        <v>0</v>
      </c>
      <c r="AL172" s="27">
        <f>IF(AN172=21,K172,0)</f>
        <v>0</v>
      </c>
      <c r="AN172" s="27">
        <v>12</v>
      </c>
      <c r="AO172" s="27">
        <f>G172*0</f>
        <v>0</v>
      </c>
      <c r="AP172" s="27">
        <f>G172*(1-0)</f>
        <v>0</v>
      </c>
      <c r="AQ172" s="30" t="s">
        <v>93</v>
      </c>
      <c r="AV172" s="27">
        <f>ROUND(AW172+AX172,2)</f>
        <v>0</v>
      </c>
      <c r="AW172" s="27">
        <f>ROUND(F172*AO172,2)</f>
        <v>0</v>
      </c>
      <c r="AX172" s="27">
        <f>ROUND(F172*AP172,2)</f>
        <v>0</v>
      </c>
      <c r="AY172" s="30" t="s">
        <v>326</v>
      </c>
      <c r="AZ172" s="30" t="s">
        <v>298</v>
      </c>
      <c r="BA172" s="12" t="s">
        <v>62</v>
      </c>
      <c r="BC172" s="27">
        <f>AW172+AX172</f>
        <v>0</v>
      </c>
      <c r="BD172" s="27">
        <f>G172/(100-BE172)*100</f>
        <v>0</v>
      </c>
      <c r="BE172" s="27">
        <v>0</v>
      </c>
      <c r="BF172" s="27">
        <f>172</f>
        <v>172</v>
      </c>
      <c r="BH172" s="27">
        <f>F172*AO172</f>
        <v>0</v>
      </c>
      <c r="BI172" s="27">
        <f>F172*AP172</f>
        <v>0</v>
      </c>
      <c r="BJ172" s="27">
        <f>F172*G172</f>
        <v>0</v>
      </c>
      <c r="BK172" s="30" t="s">
        <v>63</v>
      </c>
      <c r="BL172" s="27">
        <v>733</v>
      </c>
      <c r="BW172" s="27">
        <f>H172</f>
        <v>12</v>
      </c>
      <c r="BX172" s="5" t="s">
        <v>337</v>
      </c>
    </row>
    <row r="173" spans="1:76" x14ac:dyDescent="0.25">
      <c r="A173" s="31"/>
      <c r="C173" s="32" t="s">
        <v>338</v>
      </c>
      <c r="D173" s="32" t="s">
        <v>52</v>
      </c>
      <c r="F173" s="33">
        <v>3.5999999999999997E-2</v>
      </c>
      <c r="L173" s="34"/>
    </row>
    <row r="174" spans="1:76" x14ac:dyDescent="0.25">
      <c r="A174" s="37" t="s">
        <v>52</v>
      </c>
      <c r="B174" s="38" t="s">
        <v>339</v>
      </c>
      <c r="C174" s="103" t="s">
        <v>340</v>
      </c>
      <c r="D174" s="104"/>
      <c r="E174" s="39" t="s">
        <v>4</v>
      </c>
      <c r="F174" s="39" t="s">
        <v>4</v>
      </c>
      <c r="G174" s="39" t="s">
        <v>4</v>
      </c>
      <c r="H174" s="39" t="s">
        <v>4</v>
      </c>
      <c r="I174" s="1">
        <f>SUM(I175:I181)</f>
        <v>0</v>
      </c>
      <c r="J174" s="1">
        <f>SUM(J175:J181)</f>
        <v>0</v>
      </c>
      <c r="K174" s="1">
        <f>SUM(K175:K181)</f>
        <v>0</v>
      </c>
      <c r="L174" s="40" t="s">
        <v>52</v>
      </c>
      <c r="AI174" s="12" t="s">
        <v>52</v>
      </c>
      <c r="AS174" s="1">
        <f>SUM(AJ175:AJ181)</f>
        <v>0</v>
      </c>
      <c r="AT174" s="1">
        <f>SUM(AK175:AK181)</f>
        <v>0</v>
      </c>
      <c r="AU174" s="1">
        <f>SUM(AL175:AL181)</f>
        <v>0</v>
      </c>
    </row>
    <row r="175" spans="1:76" x14ac:dyDescent="0.25">
      <c r="A175" s="2" t="s">
        <v>124</v>
      </c>
      <c r="B175" s="3" t="s">
        <v>341</v>
      </c>
      <c r="C175" s="84" t="s">
        <v>342</v>
      </c>
      <c r="D175" s="79"/>
      <c r="E175" s="3" t="s">
        <v>69</v>
      </c>
      <c r="F175" s="27">
        <v>5</v>
      </c>
      <c r="G175" s="27">
        <v>0</v>
      </c>
      <c r="H175" s="28">
        <v>12</v>
      </c>
      <c r="I175" s="27">
        <f>ROUND(F175*AO175,2)</f>
        <v>0</v>
      </c>
      <c r="J175" s="27">
        <f>ROUND(F175*AP175,2)</f>
        <v>0</v>
      </c>
      <c r="K175" s="27">
        <f>ROUND(F175*G175,2)</f>
        <v>0</v>
      </c>
      <c r="L175" s="29" t="s">
        <v>59</v>
      </c>
      <c r="Z175" s="27">
        <f>ROUND(IF(AQ175="5",BJ175,0),2)</f>
        <v>0</v>
      </c>
      <c r="AB175" s="27">
        <f>ROUND(IF(AQ175="1",BH175,0),2)</f>
        <v>0</v>
      </c>
      <c r="AC175" s="27">
        <f>ROUND(IF(AQ175="1",BI175,0),2)</f>
        <v>0</v>
      </c>
      <c r="AD175" s="27">
        <f>ROUND(IF(AQ175="7",BH175,0),2)</f>
        <v>0</v>
      </c>
      <c r="AE175" s="27">
        <f>ROUND(IF(AQ175="7",BI175,0),2)</f>
        <v>0</v>
      </c>
      <c r="AF175" s="27">
        <f>ROUND(IF(AQ175="2",BH175,0),2)</f>
        <v>0</v>
      </c>
      <c r="AG175" s="27">
        <f>ROUND(IF(AQ175="2",BI175,0),2)</f>
        <v>0</v>
      </c>
      <c r="AH175" s="27">
        <f>ROUND(IF(AQ175="0",BJ175,0),2)</f>
        <v>0</v>
      </c>
      <c r="AI175" s="12" t="s">
        <v>52</v>
      </c>
      <c r="AJ175" s="27">
        <f>IF(AN175=0,K175,0)</f>
        <v>0</v>
      </c>
      <c r="AK175" s="27">
        <f>IF(AN175=12,K175,0)</f>
        <v>0</v>
      </c>
      <c r="AL175" s="27">
        <f>IF(AN175=21,K175,0)</f>
        <v>0</v>
      </c>
      <c r="AN175" s="27">
        <v>12</v>
      </c>
      <c r="AO175" s="27">
        <f>G175*0.705423729</f>
        <v>0</v>
      </c>
      <c r="AP175" s="27">
        <f>G175*(1-0.705423729)</f>
        <v>0</v>
      </c>
      <c r="AQ175" s="30" t="s">
        <v>104</v>
      </c>
      <c r="AV175" s="27">
        <f>ROUND(AW175+AX175,2)</f>
        <v>0</v>
      </c>
      <c r="AW175" s="27">
        <f>ROUND(F175*AO175,2)</f>
        <v>0</v>
      </c>
      <c r="AX175" s="27">
        <f>ROUND(F175*AP175,2)</f>
        <v>0</v>
      </c>
      <c r="AY175" s="30" t="s">
        <v>343</v>
      </c>
      <c r="AZ175" s="30" t="s">
        <v>298</v>
      </c>
      <c r="BA175" s="12" t="s">
        <v>62</v>
      </c>
      <c r="BC175" s="27">
        <f>AW175+AX175</f>
        <v>0</v>
      </c>
      <c r="BD175" s="27">
        <f>G175/(100-BE175)*100</f>
        <v>0</v>
      </c>
      <c r="BE175" s="27">
        <v>0</v>
      </c>
      <c r="BF175" s="27">
        <f>175</f>
        <v>175</v>
      </c>
      <c r="BH175" s="27">
        <f>F175*AO175</f>
        <v>0</v>
      </c>
      <c r="BI175" s="27">
        <f>F175*AP175</f>
        <v>0</v>
      </c>
      <c r="BJ175" s="27">
        <f>F175*G175</f>
        <v>0</v>
      </c>
      <c r="BK175" s="30" t="s">
        <v>63</v>
      </c>
      <c r="BL175" s="27">
        <v>734</v>
      </c>
      <c r="BW175" s="27">
        <f>H175</f>
        <v>12</v>
      </c>
      <c r="BX175" s="5" t="s">
        <v>342</v>
      </c>
    </row>
    <row r="176" spans="1:76" x14ac:dyDescent="0.25">
      <c r="A176" s="31"/>
      <c r="C176" s="32" t="s">
        <v>93</v>
      </c>
      <c r="D176" s="32" t="s">
        <v>52</v>
      </c>
      <c r="F176" s="33">
        <v>5</v>
      </c>
      <c r="L176" s="34"/>
    </row>
    <row r="177" spans="1:76" x14ac:dyDescent="0.25">
      <c r="A177" s="2" t="s">
        <v>344</v>
      </c>
      <c r="B177" s="3" t="s">
        <v>345</v>
      </c>
      <c r="C177" s="84" t="s">
        <v>346</v>
      </c>
      <c r="D177" s="79"/>
      <c r="E177" s="3" t="s">
        <v>69</v>
      </c>
      <c r="F177" s="27">
        <v>5</v>
      </c>
      <c r="G177" s="27">
        <v>0</v>
      </c>
      <c r="H177" s="28">
        <v>12</v>
      </c>
      <c r="I177" s="27">
        <f>ROUND(F177*AO177,2)</f>
        <v>0</v>
      </c>
      <c r="J177" s="27">
        <f>ROUND(F177*AP177,2)</f>
        <v>0</v>
      </c>
      <c r="K177" s="27">
        <f>ROUND(F177*G177,2)</f>
        <v>0</v>
      </c>
      <c r="L177" s="29" t="s">
        <v>59</v>
      </c>
      <c r="Z177" s="27">
        <f>ROUND(IF(AQ177="5",BJ177,0),2)</f>
        <v>0</v>
      </c>
      <c r="AB177" s="27">
        <f>ROUND(IF(AQ177="1",BH177,0),2)</f>
        <v>0</v>
      </c>
      <c r="AC177" s="27">
        <f>ROUND(IF(AQ177="1",BI177,0),2)</f>
        <v>0</v>
      </c>
      <c r="AD177" s="27">
        <f>ROUND(IF(AQ177="7",BH177,0),2)</f>
        <v>0</v>
      </c>
      <c r="AE177" s="27">
        <f>ROUND(IF(AQ177="7",BI177,0),2)</f>
        <v>0</v>
      </c>
      <c r="AF177" s="27">
        <f>ROUND(IF(AQ177="2",BH177,0),2)</f>
        <v>0</v>
      </c>
      <c r="AG177" s="27">
        <f>ROUND(IF(AQ177="2",BI177,0),2)</f>
        <v>0</v>
      </c>
      <c r="AH177" s="27">
        <f>ROUND(IF(AQ177="0",BJ177,0),2)</f>
        <v>0</v>
      </c>
      <c r="AI177" s="12" t="s">
        <v>52</v>
      </c>
      <c r="AJ177" s="27">
        <f>IF(AN177=0,K177,0)</f>
        <v>0</v>
      </c>
      <c r="AK177" s="27">
        <f>IF(AN177=12,K177,0)</f>
        <v>0</v>
      </c>
      <c r="AL177" s="27">
        <f>IF(AN177=21,K177,0)</f>
        <v>0</v>
      </c>
      <c r="AN177" s="27">
        <v>12</v>
      </c>
      <c r="AO177" s="27">
        <f>G177*0.801967213</f>
        <v>0</v>
      </c>
      <c r="AP177" s="27">
        <f>G177*(1-0.801967213)</f>
        <v>0</v>
      </c>
      <c r="AQ177" s="30" t="s">
        <v>104</v>
      </c>
      <c r="AV177" s="27">
        <f>ROUND(AW177+AX177,2)</f>
        <v>0</v>
      </c>
      <c r="AW177" s="27">
        <f>ROUND(F177*AO177,2)</f>
        <v>0</v>
      </c>
      <c r="AX177" s="27">
        <f>ROUND(F177*AP177,2)</f>
        <v>0</v>
      </c>
      <c r="AY177" s="30" t="s">
        <v>343</v>
      </c>
      <c r="AZ177" s="30" t="s">
        <v>298</v>
      </c>
      <c r="BA177" s="12" t="s">
        <v>62</v>
      </c>
      <c r="BC177" s="27">
        <f>AW177+AX177</f>
        <v>0</v>
      </c>
      <c r="BD177" s="27">
        <f>G177/(100-BE177)*100</f>
        <v>0</v>
      </c>
      <c r="BE177" s="27">
        <v>0</v>
      </c>
      <c r="BF177" s="27">
        <f>177</f>
        <v>177</v>
      </c>
      <c r="BH177" s="27">
        <f>F177*AO177</f>
        <v>0</v>
      </c>
      <c r="BI177" s="27">
        <f>F177*AP177</f>
        <v>0</v>
      </c>
      <c r="BJ177" s="27">
        <f>F177*G177</f>
        <v>0</v>
      </c>
      <c r="BK177" s="30" t="s">
        <v>63</v>
      </c>
      <c r="BL177" s="27">
        <v>734</v>
      </c>
      <c r="BW177" s="27">
        <f>H177</f>
        <v>12</v>
      </c>
      <c r="BX177" s="5" t="s">
        <v>346</v>
      </c>
    </row>
    <row r="178" spans="1:76" x14ac:dyDescent="0.25">
      <c r="A178" s="31"/>
      <c r="C178" s="32" t="s">
        <v>93</v>
      </c>
      <c r="D178" s="32" t="s">
        <v>52</v>
      </c>
      <c r="F178" s="33">
        <v>5</v>
      </c>
      <c r="L178" s="34"/>
    </row>
    <row r="179" spans="1:76" x14ac:dyDescent="0.25">
      <c r="A179" s="2" t="s">
        <v>347</v>
      </c>
      <c r="B179" s="3" t="s">
        <v>348</v>
      </c>
      <c r="C179" s="84" t="s">
        <v>349</v>
      </c>
      <c r="D179" s="79"/>
      <c r="E179" s="3" t="s">
        <v>69</v>
      </c>
      <c r="F179" s="27">
        <v>5</v>
      </c>
      <c r="G179" s="27">
        <v>0</v>
      </c>
      <c r="H179" s="28">
        <v>12</v>
      </c>
      <c r="I179" s="27">
        <f>ROUND(F179*AO179,2)</f>
        <v>0</v>
      </c>
      <c r="J179" s="27">
        <f>ROUND(F179*AP179,2)</f>
        <v>0</v>
      </c>
      <c r="K179" s="27">
        <f>ROUND(F179*G179,2)</f>
        <v>0</v>
      </c>
      <c r="L179" s="29" t="s">
        <v>59</v>
      </c>
      <c r="Z179" s="27">
        <f>ROUND(IF(AQ179="5",BJ179,0),2)</f>
        <v>0</v>
      </c>
      <c r="AB179" s="27">
        <f>ROUND(IF(AQ179="1",BH179,0),2)</f>
        <v>0</v>
      </c>
      <c r="AC179" s="27">
        <f>ROUND(IF(AQ179="1",BI179,0),2)</f>
        <v>0</v>
      </c>
      <c r="AD179" s="27">
        <f>ROUND(IF(AQ179="7",BH179,0),2)</f>
        <v>0</v>
      </c>
      <c r="AE179" s="27">
        <f>ROUND(IF(AQ179="7",BI179,0),2)</f>
        <v>0</v>
      </c>
      <c r="AF179" s="27">
        <f>ROUND(IF(AQ179="2",BH179,0),2)</f>
        <v>0</v>
      </c>
      <c r="AG179" s="27">
        <f>ROUND(IF(AQ179="2",BI179,0),2)</f>
        <v>0</v>
      </c>
      <c r="AH179" s="27">
        <f>ROUND(IF(AQ179="0",BJ179,0),2)</f>
        <v>0</v>
      </c>
      <c r="AI179" s="12" t="s">
        <v>52</v>
      </c>
      <c r="AJ179" s="27">
        <f>IF(AN179=0,K179,0)</f>
        <v>0</v>
      </c>
      <c r="AK179" s="27">
        <f>IF(AN179=12,K179,0)</f>
        <v>0</v>
      </c>
      <c r="AL179" s="27">
        <f>IF(AN179=21,K179,0)</f>
        <v>0</v>
      </c>
      <c r="AN179" s="27">
        <v>12</v>
      </c>
      <c r="AO179" s="27">
        <f>G179*0.861926445</f>
        <v>0</v>
      </c>
      <c r="AP179" s="27">
        <f>G179*(1-0.861926445)</f>
        <v>0</v>
      </c>
      <c r="AQ179" s="30" t="s">
        <v>104</v>
      </c>
      <c r="AV179" s="27">
        <f>ROUND(AW179+AX179,2)</f>
        <v>0</v>
      </c>
      <c r="AW179" s="27">
        <f>ROUND(F179*AO179,2)</f>
        <v>0</v>
      </c>
      <c r="AX179" s="27">
        <f>ROUND(F179*AP179,2)</f>
        <v>0</v>
      </c>
      <c r="AY179" s="30" t="s">
        <v>343</v>
      </c>
      <c r="AZ179" s="30" t="s">
        <v>298</v>
      </c>
      <c r="BA179" s="12" t="s">
        <v>62</v>
      </c>
      <c r="BC179" s="27">
        <f>AW179+AX179</f>
        <v>0</v>
      </c>
      <c r="BD179" s="27">
        <f>G179/(100-BE179)*100</f>
        <v>0</v>
      </c>
      <c r="BE179" s="27">
        <v>0</v>
      </c>
      <c r="BF179" s="27">
        <f>179</f>
        <v>179</v>
      </c>
      <c r="BH179" s="27">
        <f>F179*AO179</f>
        <v>0</v>
      </c>
      <c r="BI179" s="27">
        <f>F179*AP179</f>
        <v>0</v>
      </c>
      <c r="BJ179" s="27">
        <f>F179*G179</f>
        <v>0</v>
      </c>
      <c r="BK179" s="30" t="s">
        <v>63</v>
      </c>
      <c r="BL179" s="27">
        <v>734</v>
      </c>
      <c r="BW179" s="27">
        <f>H179</f>
        <v>12</v>
      </c>
      <c r="BX179" s="5" t="s">
        <v>349</v>
      </c>
    </row>
    <row r="180" spans="1:76" x14ac:dyDescent="0.25">
      <c r="A180" s="31"/>
      <c r="C180" s="32" t="s">
        <v>93</v>
      </c>
      <c r="D180" s="32" t="s">
        <v>52</v>
      </c>
      <c r="F180" s="33">
        <v>5</v>
      </c>
      <c r="L180" s="34"/>
    </row>
    <row r="181" spans="1:76" x14ac:dyDescent="0.25">
      <c r="A181" s="2" t="s">
        <v>350</v>
      </c>
      <c r="B181" s="3" t="s">
        <v>351</v>
      </c>
      <c r="C181" s="84" t="s">
        <v>352</v>
      </c>
      <c r="D181" s="79"/>
      <c r="E181" s="3" t="s">
        <v>182</v>
      </c>
      <c r="F181" s="27">
        <v>1.2999999999999999E-2</v>
      </c>
      <c r="G181" s="27">
        <v>0</v>
      </c>
      <c r="H181" s="28">
        <v>12</v>
      </c>
      <c r="I181" s="27">
        <f>ROUND(F181*AO181,2)</f>
        <v>0</v>
      </c>
      <c r="J181" s="27">
        <f>ROUND(F181*AP181,2)</f>
        <v>0</v>
      </c>
      <c r="K181" s="27">
        <f>ROUND(F181*G181,2)</f>
        <v>0</v>
      </c>
      <c r="L181" s="29" t="s">
        <v>59</v>
      </c>
      <c r="Z181" s="27">
        <f>ROUND(IF(AQ181="5",BJ181,0),2)</f>
        <v>0</v>
      </c>
      <c r="AB181" s="27">
        <f>ROUND(IF(AQ181="1",BH181,0),2)</f>
        <v>0</v>
      </c>
      <c r="AC181" s="27">
        <f>ROUND(IF(AQ181="1",BI181,0),2)</f>
        <v>0</v>
      </c>
      <c r="AD181" s="27">
        <f>ROUND(IF(AQ181="7",BH181,0),2)</f>
        <v>0</v>
      </c>
      <c r="AE181" s="27">
        <f>ROUND(IF(AQ181="7",BI181,0),2)</f>
        <v>0</v>
      </c>
      <c r="AF181" s="27">
        <f>ROUND(IF(AQ181="2",BH181,0),2)</f>
        <v>0</v>
      </c>
      <c r="AG181" s="27">
        <f>ROUND(IF(AQ181="2",BI181,0),2)</f>
        <v>0</v>
      </c>
      <c r="AH181" s="27">
        <f>ROUND(IF(AQ181="0",BJ181,0),2)</f>
        <v>0</v>
      </c>
      <c r="AI181" s="12" t="s">
        <v>52</v>
      </c>
      <c r="AJ181" s="27">
        <f>IF(AN181=0,K181,0)</f>
        <v>0</v>
      </c>
      <c r="AK181" s="27">
        <f>IF(AN181=12,K181,0)</f>
        <v>0</v>
      </c>
      <c r="AL181" s="27">
        <f>IF(AN181=21,K181,0)</f>
        <v>0</v>
      </c>
      <c r="AN181" s="27">
        <v>12</v>
      </c>
      <c r="AO181" s="27">
        <f>G181*0</f>
        <v>0</v>
      </c>
      <c r="AP181" s="27">
        <f>G181*(1-0)</f>
        <v>0</v>
      </c>
      <c r="AQ181" s="30" t="s">
        <v>93</v>
      </c>
      <c r="AV181" s="27">
        <f>ROUND(AW181+AX181,2)</f>
        <v>0</v>
      </c>
      <c r="AW181" s="27">
        <f>ROUND(F181*AO181,2)</f>
        <v>0</v>
      </c>
      <c r="AX181" s="27">
        <f>ROUND(F181*AP181,2)</f>
        <v>0</v>
      </c>
      <c r="AY181" s="30" t="s">
        <v>343</v>
      </c>
      <c r="AZ181" s="30" t="s">
        <v>298</v>
      </c>
      <c r="BA181" s="12" t="s">
        <v>62</v>
      </c>
      <c r="BC181" s="27">
        <f>AW181+AX181</f>
        <v>0</v>
      </c>
      <c r="BD181" s="27">
        <f>G181/(100-BE181)*100</f>
        <v>0</v>
      </c>
      <c r="BE181" s="27">
        <v>0</v>
      </c>
      <c r="BF181" s="27">
        <f>181</f>
        <v>181</v>
      </c>
      <c r="BH181" s="27">
        <f>F181*AO181</f>
        <v>0</v>
      </c>
      <c r="BI181" s="27">
        <f>F181*AP181</f>
        <v>0</v>
      </c>
      <c r="BJ181" s="27">
        <f>F181*G181</f>
        <v>0</v>
      </c>
      <c r="BK181" s="30" t="s">
        <v>63</v>
      </c>
      <c r="BL181" s="27">
        <v>734</v>
      </c>
      <c r="BW181" s="27">
        <f>H181</f>
        <v>12</v>
      </c>
      <c r="BX181" s="5" t="s">
        <v>352</v>
      </c>
    </row>
    <row r="182" spans="1:76" x14ac:dyDescent="0.25">
      <c r="A182" s="31"/>
      <c r="C182" s="32" t="s">
        <v>353</v>
      </c>
      <c r="D182" s="32" t="s">
        <v>52</v>
      </c>
      <c r="F182" s="33">
        <v>1.2999999999999999E-2</v>
      </c>
      <c r="L182" s="34"/>
    </row>
    <row r="183" spans="1:76" x14ac:dyDescent="0.25">
      <c r="A183" s="37" t="s">
        <v>52</v>
      </c>
      <c r="B183" s="38" t="s">
        <v>354</v>
      </c>
      <c r="C183" s="103" t="s">
        <v>355</v>
      </c>
      <c r="D183" s="104"/>
      <c r="E183" s="39" t="s">
        <v>4</v>
      </c>
      <c r="F183" s="39" t="s">
        <v>4</v>
      </c>
      <c r="G183" s="39" t="s">
        <v>4</v>
      </c>
      <c r="H183" s="39" t="s">
        <v>4</v>
      </c>
      <c r="I183" s="1">
        <f>SUM(I184:I196)</f>
        <v>0</v>
      </c>
      <c r="J183" s="1">
        <f>SUM(J184:J196)</f>
        <v>0</v>
      </c>
      <c r="K183" s="1">
        <f>SUM(K184:K196)</f>
        <v>0</v>
      </c>
      <c r="L183" s="40" t="s">
        <v>52</v>
      </c>
      <c r="AI183" s="12" t="s">
        <v>52</v>
      </c>
      <c r="AS183" s="1">
        <f>SUM(AJ184:AJ196)</f>
        <v>0</v>
      </c>
      <c r="AT183" s="1">
        <f>SUM(AK184:AK196)</f>
        <v>0</v>
      </c>
      <c r="AU183" s="1">
        <f>SUM(AL184:AL196)</f>
        <v>0</v>
      </c>
    </row>
    <row r="184" spans="1:76" x14ac:dyDescent="0.25">
      <c r="A184" s="2" t="s">
        <v>356</v>
      </c>
      <c r="B184" s="3" t="s">
        <v>357</v>
      </c>
      <c r="C184" s="84" t="s">
        <v>358</v>
      </c>
      <c r="D184" s="79"/>
      <c r="E184" s="3" t="s">
        <v>69</v>
      </c>
      <c r="F184" s="27">
        <v>2</v>
      </c>
      <c r="G184" s="27">
        <v>0</v>
      </c>
      <c r="H184" s="28">
        <v>12</v>
      </c>
      <c r="I184" s="27">
        <f>ROUND(F184*AO184,2)</f>
        <v>0</v>
      </c>
      <c r="J184" s="27">
        <f>ROUND(F184*AP184,2)</f>
        <v>0</v>
      </c>
      <c r="K184" s="27">
        <f>ROUND(F184*G184,2)</f>
        <v>0</v>
      </c>
      <c r="L184" s="29" t="s">
        <v>59</v>
      </c>
      <c r="Z184" s="27">
        <f>ROUND(IF(AQ184="5",BJ184,0),2)</f>
        <v>0</v>
      </c>
      <c r="AB184" s="27">
        <f>ROUND(IF(AQ184="1",BH184,0),2)</f>
        <v>0</v>
      </c>
      <c r="AC184" s="27">
        <f>ROUND(IF(AQ184="1",BI184,0),2)</f>
        <v>0</v>
      </c>
      <c r="AD184" s="27">
        <f>ROUND(IF(AQ184="7",BH184,0),2)</f>
        <v>0</v>
      </c>
      <c r="AE184" s="27">
        <f>ROUND(IF(AQ184="7",BI184,0),2)</f>
        <v>0</v>
      </c>
      <c r="AF184" s="27">
        <f>ROUND(IF(AQ184="2",BH184,0),2)</f>
        <v>0</v>
      </c>
      <c r="AG184" s="27">
        <f>ROUND(IF(AQ184="2",BI184,0),2)</f>
        <v>0</v>
      </c>
      <c r="AH184" s="27">
        <f>ROUND(IF(AQ184="0",BJ184,0),2)</f>
        <v>0</v>
      </c>
      <c r="AI184" s="12" t="s">
        <v>52</v>
      </c>
      <c r="AJ184" s="27">
        <f>IF(AN184=0,K184,0)</f>
        <v>0</v>
      </c>
      <c r="AK184" s="27">
        <f>IF(AN184=12,K184,0)</f>
        <v>0</v>
      </c>
      <c r="AL184" s="27">
        <f>IF(AN184=21,K184,0)</f>
        <v>0</v>
      </c>
      <c r="AN184" s="27">
        <v>12</v>
      </c>
      <c r="AO184" s="27">
        <f>G184*0.942028967</f>
        <v>0</v>
      </c>
      <c r="AP184" s="27">
        <f>G184*(1-0.942028967)</f>
        <v>0</v>
      </c>
      <c r="AQ184" s="30" t="s">
        <v>104</v>
      </c>
      <c r="AV184" s="27">
        <f>ROUND(AW184+AX184,2)</f>
        <v>0</v>
      </c>
      <c r="AW184" s="27">
        <f>ROUND(F184*AO184,2)</f>
        <v>0</v>
      </c>
      <c r="AX184" s="27">
        <f>ROUND(F184*AP184,2)</f>
        <v>0</v>
      </c>
      <c r="AY184" s="30" t="s">
        <v>359</v>
      </c>
      <c r="AZ184" s="30" t="s">
        <v>298</v>
      </c>
      <c r="BA184" s="12" t="s">
        <v>62</v>
      </c>
      <c r="BC184" s="27">
        <f>AW184+AX184</f>
        <v>0</v>
      </c>
      <c r="BD184" s="27">
        <f>G184/(100-BE184)*100</f>
        <v>0</v>
      </c>
      <c r="BE184" s="27">
        <v>0</v>
      </c>
      <c r="BF184" s="27">
        <f>184</f>
        <v>184</v>
      </c>
      <c r="BH184" s="27">
        <f>F184*AO184</f>
        <v>0</v>
      </c>
      <c r="BI184" s="27">
        <f>F184*AP184</f>
        <v>0</v>
      </c>
      <c r="BJ184" s="27">
        <f>F184*G184</f>
        <v>0</v>
      </c>
      <c r="BK184" s="30" t="s">
        <v>63</v>
      </c>
      <c r="BL184" s="27">
        <v>735</v>
      </c>
      <c r="BW184" s="27">
        <f>H184</f>
        <v>12</v>
      </c>
      <c r="BX184" s="5" t="s">
        <v>358</v>
      </c>
    </row>
    <row r="185" spans="1:76" x14ac:dyDescent="0.25">
      <c r="A185" s="31"/>
      <c r="C185" s="32" t="s">
        <v>66</v>
      </c>
      <c r="D185" s="32" t="s">
        <v>52</v>
      </c>
      <c r="F185" s="33">
        <v>2</v>
      </c>
      <c r="L185" s="34"/>
    </row>
    <row r="186" spans="1:76" x14ac:dyDescent="0.25">
      <c r="A186" s="2" t="s">
        <v>360</v>
      </c>
      <c r="B186" s="3" t="s">
        <v>361</v>
      </c>
      <c r="C186" s="84" t="s">
        <v>362</v>
      </c>
      <c r="D186" s="79"/>
      <c r="E186" s="3" t="s">
        <v>69</v>
      </c>
      <c r="F186" s="27">
        <v>1</v>
      </c>
      <c r="G186" s="27">
        <v>0</v>
      </c>
      <c r="H186" s="28">
        <v>12</v>
      </c>
      <c r="I186" s="27">
        <f>ROUND(F186*AO186,2)</f>
        <v>0</v>
      </c>
      <c r="J186" s="27">
        <f>ROUND(F186*AP186,2)</f>
        <v>0</v>
      </c>
      <c r="K186" s="27">
        <f>ROUND(F186*G186,2)</f>
        <v>0</v>
      </c>
      <c r="L186" s="29" t="s">
        <v>59</v>
      </c>
      <c r="Z186" s="27">
        <f>ROUND(IF(AQ186="5",BJ186,0),2)</f>
        <v>0</v>
      </c>
      <c r="AB186" s="27">
        <f>ROUND(IF(AQ186="1",BH186,0),2)</f>
        <v>0</v>
      </c>
      <c r="AC186" s="27">
        <f>ROUND(IF(AQ186="1",BI186,0),2)</f>
        <v>0</v>
      </c>
      <c r="AD186" s="27">
        <f>ROUND(IF(AQ186="7",BH186,0),2)</f>
        <v>0</v>
      </c>
      <c r="AE186" s="27">
        <f>ROUND(IF(AQ186="7",BI186,0),2)</f>
        <v>0</v>
      </c>
      <c r="AF186" s="27">
        <f>ROUND(IF(AQ186="2",BH186,0),2)</f>
        <v>0</v>
      </c>
      <c r="AG186" s="27">
        <f>ROUND(IF(AQ186="2",BI186,0),2)</f>
        <v>0</v>
      </c>
      <c r="AH186" s="27">
        <f>ROUND(IF(AQ186="0",BJ186,0),2)</f>
        <v>0</v>
      </c>
      <c r="AI186" s="12" t="s">
        <v>52</v>
      </c>
      <c r="AJ186" s="27">
        <f>IF(AN186=0,K186,0)</f>
        <v>0</v>
      </c>
      <c r="AK186" s="27">
        <f>IF(AN186=12,K186,0)</f>
        <v>0</v>
      </c>
      <c r="AL186" s="27">
        <f>IF(AN186=21,K186,0)</f>
        <v>0</v>
      </c>
      <c r="AN186" s="27">
        <v>12</v>
      </c>
      <c r="AO186" s="27">
        <f>G186*0.945591095</f>
        <v>0</v>
      </c>
      <c r="AP186" s="27">
        <f>G186*(1-0.945591095)</f>
        <v>0</v>
      </c>
      <c r="AQ186" s="30" t="s">
        <v>104</v>
      </c>
      <c r="AV186" s="27">
        <f>ROUND(AW186+AX186,2)</f>
        <v>0</v>
      </c>
      <c r="AW186" s="27">
        <f>ROUND(F186*AO186,2)</f>
        <v>0</v>
      </c>
      <c r="AX186" s="27">
        <f>ROUND(F186*AP186,2)</f>
        <v>0</v>
      </c>
      <c r="AY186" s="30" t="s">
        <v>359</v>
      </c>
      <c r="AZ186" s="30" t="s">
        <v>298</v>
      </c>
      <c r="BA186" s="12" t="s">
        <v>62</v>
      </c>
      <c r="BC186" s="27">
        <f>AW186+AX186</f>
        <v>0</v>
      </c>
      <c r="BD186" s="27">
        <f>G186/(100-BE186)*100</f>
        <v>0</v>
      </c>
      <c r="BE186" s="27">
        <v>0</v>
      </c>
      <c r="BF186" s="27">
        <f>186</f>
        <v>186</v>
      </c>
      <c r="BH186" s="27">
        <f>F186*AO186</f>
        <v>0</v>
      </c>
      <c r="BI186" s="27">
        <f>F186*AP186</f>
        <v>0</v>
      </c>
      <c r="BJ186" s="27">
        <f>F186*G186</f>
        <v>0</v>
      </c>
      <c r="BK186" s="30" t="s">
        <v>63</v>
      </c>
      <c r="BL186" s="27">
        <v>735</v>
      </c>
      <c r="BW186" s="27">
        <f>H186</f>
        <v>12</v>
      </c>
      <c r="BX186" s="5" t="s">
        <v>362</v>
      </c>
    </row>
    <row r="187" spans="1:76" x14ac:dyDescent="0.25">
      <c r="A187" s="31"/>
      <c r="C187" s="32" t="s">
        <v>55</v>
      </c>
      <c r="D187" s="32" t="s">
        <v>52</v>
      </c>
      <c r="F187" s="33">
        <v>1</v>
      </c>
      <c r="L187" s="34"/>
    </row>
    <row r="188" spans="1:76" x14ac:dyDescent="0.25">
      <c r="A188" s="2" t="s">
        <v>363</v>
      </c>
      <c r="B188" s="3" t="s">
        <v>364</v>
      </c>
      <c r="C188" s="84" t="s">
        <v>365</v>
      </c>
      <c r="D188" s="79"/>
      <c r="E188" s="3" t="s">
        <v>69</v>
      </c>
      <c r="F188" s="27">
        <v>1</v>
      </c>
      <c r="G188" s="27">
        <v>0</v>
      </c>
      <c r="H188" s="28">
        <v>12</v>
      </c>
      <c r="I188" s="27">
        <f>ROUND(F188*AO188,2)</f>
        <v>0</v>
      </c>
      <c r="J188" s="27">
        <f>ROUND(F188*AP188,2)</f>
        <v>0</v>
      </c>
      <c r="K188" s="27">
        <f>ROUND(F188*G188,2)</f>
        <v>0</v>
      </c>
      <c r="L188" s="29" t="s">
        <v>59</v>
      </c>
      <c r="Z188" s="27">
        <f>ROUND(IF(AQ188="5",BJ188,0),2)</f>
        <v>0</v>
      </c>
      <c r="AB188" s="27">
        <f>ROUND(IF(AQ188="1",BH188,0),2)</f>
        <v>0</v>
      </c>
      <c r="AC188" s="27">
        <f>ROUND(IF(AQ188="1",BI188,0),2)</f>
        <v>0</v>
      </c>
      <c r="AD188" s="27">
        <f>ROUND(IF(AQ188="7",BH188,0),2)</f>
        <v>0</v>
      </c>
      <c r="AE188" s="27">
        <f>ROUND(IF(AQ188="7",BI188,0),2)</f>
        <v>0</v>
      </c>
      <c r="AF188" s="27">
        <f>ROUND(IF(AQ188="2",BH188,0),2)</f>
        <v>0</v>
      </c>
      <c r="AG188" s="27">
        <f>ROUND(IF(AQ188="2",BI188,0),2)</f>
        <v>0</v>
      </c>
      <c r="AH188" s="27">
        <f>ROUND(IF(AQ188="0",BJ188,0),2)</f>
        <v>0</v>
      </c>
      <c r="AI188" s="12" t="s">
        <v>52</v>
      </c>
      <c r="AJ188" s="27">
        <f>IF(AN188=0,K188,0)</f>
        <v>0</v>
      </c>
      <c r="AK188" s="27">
        <f>IF(AN188=12,K188,0)</f>
        <v>0</v>
      </c>
      <c r="AL188" s="27">
        <f>IF(AN188=21,K188,0)</f>
        <v>0</v>
      </c>
      <c r="AN188" s="27">
        <v>12</v>
      </c>
      <c r="AO188" s="27">
        <f>G188*0.946600748</f>
        <v>0</v>
      </c>
      <c r="AP188" s="27">
        <f>G188*(1-0.946600748)</f>
        <v>0</v>
      </c>
      <c r="AQ188" s="30" t="s">
        <v>104</v>
      </c>
      <c r="AV188" s="27">
        <f>ROUND(AW188+AX188,2)</f>
        <v>0</v>
      </c>
      <c r="AW188" s="27">
        <f>ROUND(F188*AO188,2)</f>
        <v>0</v>
      </c>
      <c r="AX188" s="27">
        <f>ROUND(F188*AP188,2)</f>
        <v>0</v>
      </c>
      <c r="AY188" s="30" t="s">
        <v>359</v>
      </c>
      <c r="AZ188" s="30" t="s">
        <v>298</v>
      </c>
      <c r="BA188" s="12" t="s">
        <v>62</v>
      </c>
      <c r="BC188" s="27">
        <f>AW188+AX188</f>
        <v>0</v>
      </c>
      <c r="BD188" s="27">
        <f>G188/(100-BE188)*100</f>
        <v>0</v>
      </c>
      <c r="BE188" s="27">
        <v>0</v>
      </c>
      <c r="BF188" s="27">
        <f>188</f>
        <v>188</v>
      </c>
      <c r="BH188" s="27">
        <f>F188*AO188</f>
        <v>0</v>
      </c>
      <c r="BI188" s="27">
        <f>F188*AP188</f>
        <v>0</v>
      </c>
      <c r="BJ188" s="27">
        <f>F188*G188</f>
        <v>0</v>
      </c>
      <c r="BK188" s="30" t="s">
        <v>63</v>
      </c>
      <c r="BL188" s="27">
        <v>735</v>
      </c>
      <c r="BW188" s="27">
        <f>H188</f>
        <v>12</v>
      </c>
      <c r="BX188" s="5" t="s">
        <v>365</v>
      </c>
    </row>
    <row r="189" spans="1:76" x14ac:dyDescent="0.25">
      <c r="A189" s="31"/>
      <c r="C189" s="32" t="s">
        <v>55</v>
      </c>
      <c r="D189" s="32" t="s">
        <v>52</v>
      </c>
      <c r="F189" s="33">
        <v>1</v>
      </c>
      <c r="L189" s="34"/>
    </row>
    <row r="190" spans="1:76" x14ac:dyDescent="0.25">
      <c r="A190" s="2" t="s">
        <v>366</v>
      </c>
      <c r="B190" s="3" t="s">
        <v>367</v>
      </c>
      <c r="C190" s="84" t="s">
        <v>368</v>
      </c>
      <c r="D190" s="79"/>
      <c r="E190" s="3" t="s">
        <v>69</v>
      </c>
      <c r="F190" s="27">
        <v>1</v>
      </c>
      <c r="G190" s="27">
        <v>0</v>
      </c>
      <c r="H190" s="28">
        <v>12</v>
      </c>
      <c r="I190" s="27">
        <f>ROUND(F190*AO190,2)</f>
        <v>0</v>
      </c>
      <c r="J190" s="27">
        <f>ROUND(F190*AP190,2)</f>
        <v>0</v>
      </c>
      <c r="K190" s="27">
        <f>ROUND(F190*G190,2)</f>
        <v>0</v>
      </c>
      <c r="L190" s="29" t="s">
        <v>59</v>
      </c>
      <c r="Z190" s="27">
        <f>ROUND(IF(AQ190="5",BJ190,0),2)</f>
        <v>0</v>
      </c>
      <c r="AB190" s="27">
        <f>ROUND(IF(AQ190="1",BH190,0),2)</f>
        <v>0</v>
      </c>
      <c r="AC190" s="27">
        <f>ROUND(IF(AQ190="1",BI190,0),2)</f>
        <v>0</v>
      </c>
      <c r="AD190" s="27">
        <f>ROUND(IF(AQ190="7",BH190,0),2)</f>
        <v>0</v>
      </c>
      <c r="AE190" s="27">
        <f>ROUND(IF(AQ190="7",BI190,0),2)</f>
        <v>0</v>
      </c>
      <c r="AF190" s="27">
        <f>ROUND(IF(AQ190="2",BH190,0),2)</f>
        <v>0</v>
      </c>
      <c r="AG190" s="27">
        <f>ROUND(IF(AQ190="2",BI190,0),2)</f>
        <v>0</v>
      </c>
      <c r="AH190" s="27">
        <f>ROUND(IF(AQ190="0",BJ190,0),2)</f>
        <v>0</v>
      </c>
      <c r="AI190" s="12" t="s">
        <v>52</v>
      </c>
      <c r="AJ190" s="27">
        <f>IF(AN190=0,K190,0)</f>
        <v>0</v>
      </c>
      <c r="AK190" s="27">
        <f>IF(AN190=12,K190,0)</f>
        <v>0</v>
      </c>
      <c r="AL190" s="27">
        <f>IF(AN190=21,K190,0)</f>
        <v>0</v>
      </c>
      <c r="AN190" s="27">
        <v>12</v>
      </c>
      <c r="AO190" s="27">
        <f>G190*0.892154976</f>
        <v>0</v>
      </c>
      <c r="AP190" s="27">
        <f>G190*(1-0.892154976)</f>
        <v>0</v>
      </c>
      <c r="AQ190" s="30" t="s">
        <v>104</v>
      </c>
      <c r="AV190" s="27">
        <f>ROUND(AW190+AX190,2)</f>
        <v>0</v>
      </c>
      <c r="AW190" s="27">
        <f>ROUND(F190*AO190,2)</f>
        <v>0</v>
      </c>
      <c r="AX190" s="27">
        <f>ROUND(F190*AP190,2)</f>
        <v>0</v>
      </c>
      <c r="AY190" s="30" t="s">
        <v>359</v>
      </c>
      <c r="AZ190" s="30" t="s">
        <v>298</v>
      </c>
      <c r="BA190" s="12" t="s">
        <v>62</v>
      </c>
      <c r="BC190" s="27">
        <f>AW190+AX190</f>
        <v>0</v>
      </c>
      <c r="BD190" s="27">
        <f>G190/(100-BE190)*100</f>
        <v>0</v>
      </c>
      <c r="BE190" s="27">
        <v>0</v>
      </c>
      <c r="BF190" s="27">
        <f>190</f>
        <v>190</v>
      </c>
      <c r="BH190" s="27">
        <f>F190*AO190</f>
        <v>0</v>
      </c>
      <c r="BI190" s="27">
        <f>F190*AP190</f>
        <v>0</v>
      </c>
      <c r="BJ190" s="27">
        <f>F190*G190</f>
        <v>0</v>
      </c>
      <c r="BK190" s="30" t="s">
        <v>63</v>
      </c>
      <c r="BL190" s="27">
        <v>735</v>
      </c>
      <c r="BW190" s="27">
        <f>H190</f>
        <v>12</v>
      </c>
      <c r="BX190" s="5" t="s">
        <v>368</v>
      </c>
    </row>
    <row r="191" spans="1:76" x14ac:dyDescent="0.25">
      <c r="A191" s="31"/>
      <c r="C191" s="32" t="s">
        <v>55</v>
      </c>
      <c r="D191" s="32" t="s">
        <v>52</v>
      </c>
      <c r="F191" s="33">
        <v>1</v>
      </c>
      <c r="L191" s="34"/>
    </row>
    <row r="192" spans="1:76" x14ac:dyDescent="0.25">
      <c r="A192" s="2" t="s">
        <v>369</v>
      </c>
      <c r="B192" s="3" t="s">
        <v>370</v>
      </c>
      <c r="C192" s="84" t="s">
        <v>371</v>
      </c>
      <c r="D192" s="79"/>
      <c r="E192" s="3" t="s">
        <v>69</v>
      </c>
      <c r="F192" s="27">
        <v>1</v>
      </c>
      <c r="G192" s="27">
        <v>0</v>
      </c>
      <c r="H192" s="28">
        <v>12</v>
      </c>
      <c r="I192" s="27">
        <f>ROUND(F192*AO192,2)</f>
        <v>0</v>
      </c>
      <c r="J192" s="27">
        <f>ROUND(F192*AP192,2)</f>
        <v>0</v>
      </c>
      <c r="K192" s="27">
        <f>ROUND(F192*G192,2)</f>
        <v>0</v>
      </c>
      <c r="L192" s="29" t="s">
        <v>59</v>
      </c>
      <c r="Z192" s="27">
        <f>ROUND(IF(AQ192="5",BJ192,0),2)</f>
        <v>0</v>
      </c>
      <c r="AB192" s="27">
        <f>ROUND(IF(AQ192="1",BH192,0),2)</f>
        <v>0</v>
      </c>
      <c r="AC192" s="27">
        <f>ROUND(IF(AQ192="1",BI192,0),2)</f>
        <v>0</v>
      </c>
      <c r="AD192" s="27">
        <f>ROUND(IF(AQ192="7",BH192,0),2)</f>
        <v>0</v>
      </c>
      <c r="AE192" s="27">
        <f>ROUND(IF(AQ192="7",BI192,0),2)</f>
        <v>0</v>
      </c>
      <c r="AF192" s="27">
        <f>ROUND(IF(AQ192="2",BH192,0),2)</f>
        <v>0</v>
      </c>
      <c r="AG192" s="27">
        <f>ROUND(IF(AQ192="2",BI192,0),2)</f>
        <v>0</v>
      </c>
      <c r="AH192" s="27">
        <f>ROUND(IF(AQ192="0",BJ192,0),2)</f>
        <v>0</v>
      </c>
      <c r="AI192" s="12" t="s">
        <v>52</v>
      </c>
      <c r="AJ192" s="27">
        <f>IF(AN192=0,K192,0)</f>
        <v>0</v>
      </c>
      <c r="AK192" s="27">
        <f>IF(AN192=12,K192,0)</f>
        <v>0</v>
      </c>
      <c r="AL192" s="27">
        <f>IF(AN192=21,K192,0)</f>
        <v>0</v>
      </c>
      <c r="AN192" s="27">
        <v>12</v>
      </c>
      <c r="AO192" s="27">
        <f>G192*0.305620205</f>
        <v>0</v>
      </c>
      <c r="AP192" s="27">
        <f>G192*(1-0.305620205)</f>
        <v>0</v>
      </c>
      <c r="AQ192" s="30" t="s">
        <v>104</v>
      </c>
      <c r="AV192" s="27">
        <f>ROUND(AW192+AX192,2)</f>
        <v>0</v>
      </c>
      <c r="AW192" s="27">
        <f>ROUND(F192*AO192,2)</f>
        <v>0</v>
      </c>
      <c r="AX192" s="27">
        <f>ROUND(F192*AP192,2)</f>
        <v>0</v>
      </c>
      <c r="AY192" s="30" t="s">
        <v>359</v>
      </c>
      <c r="AZ192" s="30" t="s">
        <v>298</v>
      </c>
      <c r="BA192" s="12" t="s">
        <v>62</v>
      </c>
      <c r="BC192" s="27">
        <f>AW192+AX192</f>
        <v>0</v>
      </c>
      <c r="BD192" s="27">
        <f>G192/(100-BE192)*100</f>
        <v>0</v>
      </c>
      <c r="BE192" s="27">
        <v>0</v>
      </c>
      <c r="BF192" s="27">
        <f>192</f>
        <v>192</v>
      </c>
      <c r="BH192" s="27">
        <f>F192*AO192</f>
        <v>0</v>
      </c>
      <c r="BI192" s="27">
        <f>F192*AP192</f>
        <v>0</v>
      </c>
      <c r="BJ192" s="27">
        <f>F192*G192</f>
        <v>0</v>
      </c>
      <c r="BK192" s="30" t="s">
        <v>63</v>
      </c>
      <c r="BL192" s="27">
        <v>735</v>
      </c>
      <c r="BW192" s="27">
        <f>H192</f>
        <v>12</v>
      </c>
      <c r="BX192" s="5" t="s">
        <v>371</v>
      </c>
    </row>
    <row r="193" spans="1:76" x14ac:dyDescent="0.25">
      <c r="A193" s="31"/>
      <c r="C193" s="32" t="s">
        <v>55</v>
      </c>
      <c r="D193" s="32" t="s">
        <v>52</v>
      </c>
      <c r="F193" s="33">
        <v>1</v>
      </c>
      <c r="L193" s="34"/>
    </row>
    <row r="194" spans="1:76" x14ac:dyDescent="0.25">
      <c r="A194" s="2" t="s">
        <v>372</v>
      </c>
      <c r="B194" s="3" t="s">
        <v>373</v>
      </c>
      <c r="C194" s="84" t="s">
        <v>374</v>
      </c>
      <c r="D194" s="79"/>
      <c r="E194" s="3" t="s">
        <v>69</v>
      </c>
      <c r="F194" s="27">
        <v>4</v>
      </c>
      <c r="G194" s="27">
        <v>0</v>
      </c>
      <c r="H194" s="28">
        <v>12</v>
      </c>
      <c r="I194" s="27">
        <f>ROUND(F194*AO194,2)</f>
        <v>0</v>
      </c>
      <c r="J194" s="27">
        <f>ROUND(F194*AP194,2)</f>
        <v>0</v>
      </c>
      <c r="K194" s="27">
        <f>ROUND(F194*G194,2)</f>
        <v>0</v>
      </c>
      <c r="L194" s="29" t="s">
        <v>116</v>
      </c>
      <c r="Z194" s="27">
        <f>ROUND(IF(AQ194="5",BJ194,0),2)</f>
        <v>0</v>
      </c>
      <c r="AB194" s="27">
        <f>ROUND(IF(AQ194="1",BH194,0),2)</f>
        <v>0</v>
      </c>
      <c r="AC194" s="27">
        <f>ROUND(IF(AQ194="1",BI194,0),2)</f>
        <v>0</v>
      </c>
      <c r="AD194" s="27">
        <f>ROUND(IF(AQ194="7",BH194,0),2)</f>
        <v>0</v>
      </c>
      <c r="AE194" s="27">
        <f>ROUND(IF(AQ194="7",BI194,0),2)</f>
        <v>0</v>
      </c>
      <c r="AF194" s="27">
        <f>ROUND(IF(AQ194="2",BH194,0),2)</f>
        <v>0</v>
      </c>
      <c r="AG194" s="27">
        <f>ROUND(IF(AQ194="2",BI194,0),2)</f>
        <v>0</v>
      </c>
      <c r="AH194" s="27">
        <f>ROUND(IF(AQ194="0",BJ194,0),2)</f>
        <v>0</v>
      </c>
      <c r="AI194" s="12" t="s">
        <v>52</v>
      </c>
      <c r="AJ194" s="27">
        <f>IF(AN194=0,K194,0)</f>
        <v>0</v>
      </c>
      <c r="AK194" s="27">
        <f>IF(AN194=12,K194,0)</f>
        <v>0</v>
      </c>
      <c r="AL194" s="27">
        <f>IF(AN194=21,K194,0)</f>
        <v>0</v>
      </c>
      <c r="AN194" s="27">
        <v>12</v>
      </c>
      <c r="AO194" s="27">
        <f>G194*0.220744571</f>
        <v>0</v>
      </c>
      <c r="AP194" s="27">
        <f>G194*(1-0.220744571)</f>
        <v>0</v>
      </c>
      <c r="AQ194" s="30" t="s">
        <v>104</v>
      </c>
      <c r="AV194" s="27">
        <f>ROUND(AW194+AX194,2)</f>
        <v>0</v>
      </c>
      <c r="AW194" s="27">
        <f>ROUND(F194*AO194,2)</f>
        <v>0</v>
      </c>
      <c r="AX194" s="27">
        <f>ROUND(F194*AP194,2)</f>
        <v>0</v>
      </c>
      <c r="AY194" s="30" t="s">
        <v>359</v>
      </c>
      <c r="AZ194" s="30" t="s">
        <v>298</v>
      </c>
      <c r="BA194" s="12" t="s">
        <v>62</v>
      </c>
      <c r="BC194" s="27">
        <f>AW194+AX194</f>
        <v>0</v>
      </c>
      <c r="BD194" s="27">
        <f>G194/(100-BE194)*100</f>
        <v>0</v>
      </c>
      <c r="BE194" s="27">
        <v>0</v>
      </c>
      <c r="BF194" s="27">
        <f>194</f>
        <v>194</v>
      </c>
      <c r="BH194" s="27">
        <f>F194*AO194</f>
        <v>0</v>
      </c>
      <c r="BI194" s="27">
        <f>F194*AP194</f>
        <v>0</v>
      </c>
      <c r="BJ194" s="27">
        <f>F194*G194</f>
        <v>0</v>
      </c>
      <c r="BK194" s="30" t="s">
        <v>63</v>
      </c>
      <c r="BL194" s="27">
        <v>735</v>
      </c>
      <c r="BW194" s="27">
        <f>H194</f>
        <v>12</v>
      </c>
      <c r="BX194" s="5" t="s">
        <v>374</v>
      </c>
    </row>
    <row r="195" spans="1:76" x14ac:dyDescent="0.25">
      <c r="A195" s="31"/>
      <c r="C195" s="32" t="s">
        <v>86</v>
      </c>
      <c r="D195" s="32" t="s">
        <v>52</v>
      </c>
      <c r="F195" s="33">
        <v>4</v>
      </c>
      <c r="L195" s="34"/>
    </row>
    <row r="196" spans="1:76" x14ac:dyDescent="0.25">
      <c r="A196" s="2" t="s">
        <v>375</v>
      </c>
      <c r="B196" s="3" t="s">
        <v>376</v>
      </c>
      <c r="C196" s="84" t="s">
        <v>377</v>
      </c>
      <c r="D196" s="79"/>
      <c r="E196" s="3" t="s">
        <v>182</v>
      </c>
      <c r="F196" s="27">
        <v>0.11899999999999999</v>
      </c>
      <c r="G196" s="27">
        <v>0</v>
      </c>
      <c r="H196" s="28">
        <v>12</v>
      </c>
      <c r="I196" s="27">
        <f>ROUND(F196*AO196,2)</f>
        <v>0</v>
      </c>
      <c r="J196" s="27">
        <f>ROUND(F196*AP196,2)</f>
        <v>0</v>
      </c>
      <c r="K196" s="27">
        <f>ROUND(F196*G196,2)</f>
        <v>0</v>
      </c>
      <c r="L196" s="29" t="s">
        <v>59</v>
      </c>
      <c r="Z196" s="27">
        <f>ROUND(IF(AQ196="5",BJ196,0),2)</f>
        <v>0</v>
      </c>
      <c r="AB196" s="27">
        <f>ROUND(IF(AQ196="1",BH196,0),2)</f>
        <v>0</v>
      </c>
      <c r="AC196" s="27">
        <f>ROUND(IF(AQ196="1",BI196,0),2)</f>
        <v>0</v>
      </c>
      <c r="AD196" s="27">
        <f>ROUND(IF(AQ196="7",BH196,0),2)</f>
        <v>0</v>
      </c>
      <c r="AE196" s="27">
        <f>ROUND(IF(AQ196="7",BI196,0),2)</f>
        <v>0</v>
      </c>
      <c r="AF196" s="27">
        <f>ROUND(IF(AQ196="2",BH196,0),2)</f>
        <v>0</v>
      </c>
      <c r="AG196" s="27">
        <f>ROUND(IF(AQ196="2",BI196,0),2)</f>
        <v>0</v>
      </c>
      <c r="AH196" s="27">
        <f>ROUND(IF(AQ196="0",BJ196,0),2)</f>
        <v>0</v>
      </c>
      <c r="AI196" s="12" t="s">
        <v>52</v>
      </c>
      <c r="AJ196" s="27">
        <f>IF(AN196=0,K196,0)</f>
        <v>0</v>
      </c>
      <c r="AK196" s="27">
        <f>IF(AN196=12,K196,0)</f>
        <v>0</v>
      </c>
      <c r="AL196" s="27">
        <f>IF(AN196=21,K196,0)</f>
        <v>0</v>
      </c>
      <c r="AN196" s="27">
        <v>12</v>
      </c>
      <c r="AO196" s="27">
        <f>G196*0</f>
        <v>0</v>
      </c>
      <c r="AP196" s="27">
        <f>G196*(1-0)</f>
        <v>0</v>
      </c>
      <c r="AQ196" s="30" t="s">
        <v>93</v>
      </c>
      <c r="AV196" s="27">
        <f>ROUND(AW196+AX196,2)</f>
        <v>0</v>
      </c>
      <c r="AW196" s="27">
        <f>ROUND(F196*AO196,2)</f>
        <v>0</v>
      </c>
      <c r="AX196" s="27">
        <f>ROUND(F196*AP196,2)</f>
        <v>0</v>
      </c>
      <c r="AY196" s="30" t="s">
        <v>359</v>
      </c>
      <c r="AZ196" s="30" t="s">
        <v>298</v>
      </c>
      <c r="BA196" s="12" t="s">
        <v>62</v>
      </c>
      <c r="BC196" s="27">
        <f>AW196+AX196</f>
        <v>0</v>
      </c>
      <c r="BD196" s="27">
        <f>G196/(100-BE196)*100</f>
        <v>0</v>
      </c>
      <c r="BE196" s="27">
        <v>0</v>
      </c>
      <c r="BF196" s="27">
        <f>196</f>
        <v>196</v>
      </c>
      <c r="BH196" s="27">
        <f>F196*AO196</f>
        <v>0</v>
      </c>
      <c r="BI196" s="27">
        <f>F196*AP196</f>
        <v>0</v>
      </c>
      <c r="BJ196" s="27">
        <f>F196*G196</f>
        <v>0</v>
      </c>
      <c r="BK196" s="30" t="s">
        <v>63</v>
      </c>
      <c r="BL196" s="27">
        <v>735</v>
      </c>
      <c r="BW196" s="27">
        <f>H196</f>
        <v>12</v>
      </c>
      <c r="BX196" s="5" t="s">
        <v>377</v>
      </c>
    </row>
    <row r="197" spans="1:76" x14ac:dyDescent="0.25">
      <c r="A197" s="31"/>
      <c r="C197" s="32" t="s">
        <v>378</v>
      </c>
      <c r="D197" s="32" t="s">
        <v>52</v>
      </c>
      <c r="F197" s="33">
        <v>0.11899999999999999</v>
      </c>
      <c r="L197" s="34"/>
    </row>
    <row r="198" spans="1:76" x14ac:dyDescent="0.25">
      <c r="A198" s="37" t="s">
        <v>52</v>
      </c>
      <c r="B198" s="38" t="s">
        <v>379</v>
      </c>
      <c r="C198" s="103" t="s">
        <v>380</v>
      </c>
      <c r="D198" s="104"/>
      <c r="E198" s="39" t="s">
        <v>4</v>
      </c>
      <c r="F198" s="39" t="s">
        <v>4</v>
      </c>
      <c r="G198" s="39" t="s">
        <v>4</v>
      </c>
      <c r="H198" s="39" t="s">
        <v>4</v>
      </c>
      <c r="I198" s="1">
        <f>SUM(I199:I212)</f>
        <v>0</v>
      </c>
      <c r="J198" s="1">
        <f>SUM(J199:J212)</f>
        <v>0</v>
      </c>
      <c r="K198" s="1">
        <f>SUM(K199:K212)</f>
        <v>0</v>
      </c>
      <c r="L198" s="40" t="s">
        <v>52</v>
      </c>
      <c r="AI198" s="12" t="s">
        <v>52</v>
      </c>
      <c r="AS198" s="1">
        <f>SUM(AJ199:AJ212)</f>
        <v>0</v>
      </c>
      <c r="AT198" s="1">
        <f>SUM(AK199:AK212)</f>
        <v>0</v>
      </c>
      <c r="AU198" s="1">
        <f>SUM(AL199:AL212)</f>
        <v>0</v>
      </c>
    </row>
    <row r="199" spans="1:76" x14ac:dyDescent="0.25">
      <c r="A199" s="2" t="s">
        <v>381</v>
      </c>
      <c r="B199" s="3" t="s">
        <v>382</v>
      </c>
      <c r="C199" s="84" t="s">
        <v>383</v>
      </c>
      <c r="D199" s="79"/>
      <c r="E199" s="3" t="s">
        <v>78</v>
      </c>
      <c r="F199" s="27">
        <v>67.346500000000006</v>
      </c>
      <c r="G199" s="27">
        <v>0</v>
      </c>
      <c r="H199" s="28">
        <v>12</v>
      </c>
      <c r="I199" s="27">
        <f>ROUND(F199*AO199,2)</f>
        <v>0</v>
      </c>
      <c r="J199" s="27">
        <f>ROUND(F199*AP199,2)</f>
        <v>0</v>
      </c>
      <c r="K199" s="27">
        <f>ROUND(F199*G199,2)</f>
        <v>0</v>
      </c>
      <c r="L199" s="29" t="s">
        <v>59</v>
      </c>
      <c r="Z199" s="27">
        <f>ROUND(IF(AQ199="5",BJ199,0),2)</f>
        <v>0</v>
      </c>
      <c r="AB199" s="27">
        <f>ROUND(IF(AQ199="1",BH199,0),2)</f>
        <v>0</v>
      </c>
      <c r="AC199" s="27">
        <f>ROUND(IF(AQ199="1",BI199,0),2)</f>
        <v>0</v>
      </c>
      <c r="AD199" s="27">
        <f>ROUND(IF(AQ199="7",BH199,0),2)</f>
        <v>0</v>
      </c>
      <c r="AE199" s="27">
        <f>ROUND(IF(AQ199="7",BI199,0),2)</f>
        <v>0</v>
      </c>
      <c r="AF199" s="27">
        <f>ROUND(IF(AQ199="2",BH199,0),2)</f>
        <v>0</v>
      </c>
      <c r="AG199" s="27">
        <f>ROUND(IF(AQ199="2",BI199,0),2)</f>
        <v>0</v>
      </c>
      <c r="AH199" s="27">
        <f>ROUND(IF(AQ199="0",BJ199,0),2)</f>
        <v>0</v>
      </c>
      <c r="AI199" s="12" t="s">
        <v>52</v>
      </c>
      <c r="AJ199" s="27">
        <f>IF(AN199=0,K199,0)</f>
        <v>0</v>
      </c>
      <c r="AK199" s="27">
        <f>IF(AN199=12,K199,0)</f>
        <v>0</v>
      </c>
      <c r="AL199" s="27">
        <f>IF(AN199=21,K199,0)</f>
        <v>0</v>
      </c>
      <c r="AN199" s="27">
        <v>12</v>
      </c>
      <c r="AO199" s="27">
        <f>G199*0</f>
        <v>0</v>
      </c>
      <c r="AP199" s="27">
        <f>G199*(1-0)</f>
        <v>0</v>
      </c>
      <c r="AQ199" s="30" t="s">
        <v>104</v>
      </c>
      <c r="AV199" s="27">
        <f>ROUND(AW199+AX199,2)</f>
        <v>0</v>
      </c>
      <c r="AW199" s="27">
        <f>ROUND(F199*AO199,2)</f>
        <v>0</v>
      </c>
      <c r="AX199" s="27">
        <f>ROUND(F199*AP199,2)</f>
        <v>0</v>
      </c>
      <c r="AY199" s="30" t="s">
        <v>384</v>
      </c>
      <c r="AZ199" s="30" t="s">
        <v>385</v>
      </c>
      <c r="BA199" s="12" t="s">
        <v>62</v>
      </c>
      <c r="BC199" s="27">
        <f>AW199+AX199</f>
        <v>0</v>
      </c>
      <c r="BD199" s="27">
        <f>G199/(100-BE199)*100</f>
        <v>0</v>
      </c>
      <c r="BE199" s="27">
        <v>0</v>
      </c>
      <c r="BF199" s="27">
        <f>199</f>
        <v>199</v>
      </c>
      <c r="BH199" s="27">
        <f>F199*AO199</f>
        <v>0</v>
      </c>
      <c r="BI199" s="27">
        <f>F199*AP199</f>
        <v>0</v>
      </c>
      <c r="BJ199" s="27">
        <f>F199*G199</f>
        <v>0</v>
      </c>
      <c r="BK199" s="30" t="s">
        <v>63</v>
      </c>
      <c r="BL199" s="27">
        <v>762</v>
      </c>
      <c r="BW199" s="27">
        <f>H199</f>
        <v>12</v>
      </c>
      <c r="BX199" s="5" t="s">
        <v>383</v>
      </c>
    </row>
    <row r="200" spans="1:76" x14ac:dyDescent="0.25">
      <c r="A200" s="31"/>
      <c r="C200" s="32" t="s">
        <v>386</v>
      </c>
      <c r="D200" s="32" t="s">
        <v>387</v>
      </c>
      <c r="F200" s="33">
        <v>6.18</v>
      </c>
      <c r="L200" s="34"/>
    </row>
    <row r="201" spans="1:76" x14ac:dyDescent="0.25">
      <c r="A201" s="31"/>
      <c r="C201" s="32" t="s">
        <v>388</v>
      </c>
      <c r="D201" s="32" t="s">
        <v>389</v>
      </c>
      <c r="F201" s="33">
        <v>9.6389999999999993</v>
      </c>
      <c r="L201" s="34"/>
    </row>
    <row r="202" spans="1:76" x14ac:dyDescent="0.25">
      <c r="A202" s="31"/>
      <c r="C202" s="32" t="s">
        <v>390</v>
      </c>
      <c r="D202" s="32" t="s">
        <v>391</v>
      </c>
      <c r="F202" s="33">
        <v>19.170000000000002</v>
      </c>
      <c r="L202" s="34"/>
    </row>
    <row r="203" spans="1:76" x14ac:dyDescent="0.25">
      <c r="A203" s="31"/>
      <c r="C203" s="32" t="s">
        <v>392</v>
      </c>
      <c r="D203" s="32" t="s">
        <v>393</v>
      </c>
      <c r="F203" s="33">
        <v>18.9925</v>
      </c>
      <c r="L203" s="34"/>
    </row>
    <row r="204" spans="1:76" x14ac:dyDescent="0.25">
      <c r="A204" s="31"/>
      <c r="C204" s="32" t="s">
        <v>394</v>
      </c>
      <c r="D204" s="32" t="s">
        <v>395</v>
      </c>
      <c r="F204" s="33">
        <v>13.365</v>
      </c>
      <c r="L204" s="34"/>
    </row>
    <row r="205" spans="1:76" x14ac:dyDescent="0.25">
      <c r="A205" s="2" t="s">
        <v>396</v>
      </c>
      <c r="B205" s="3" t="s">
        <v>397</v>
      </c>
      <c r="C205" s="84" t="s">
        <v>398</v>
      </c>
      <c r="D205" s="79"/>
      <c r="E205" s="3" t="s">
        <v>78</v>
      </c>
      <c r="F205" s="27">
        <v>67.099999999999994</v>
      </c>
      <c r="G205" s="27">
        <v>0</v>
      </c>
      <c r="H205" s="28">
        <v>12</v>
      </c>
      <c r="I205" s="27">
        <f>ROUND(F205*AO205,2)</f>
        <v>0</v>
      </c>
      <c r="J205" s="27">
        <f>ROUND(F205*AP205,2)</f>
        <v>0</v>
      </c>
      <c r="K205" s="27">
        <f>ROUND(F205*G205,2)</f>
        <v>0</v>
      </c>
      <c r="L205" s="29" t="s">
        <v>59</v>
      </c>
      <c r="Z205" s="27">
        <f>ROUND(IF(AQ205="5",BJ205,0),2)</f>
        <v>0</v>
      </c>
      <c r="AB205" s="27">
        <f>ROUND(IF(AQ205="1",BH205,0),2)</f>
        <v>0</v>
      </c>
      <c r="AC205" s="27">
        <f>ROUND(IF(AQ205="1",BI205,0),2)</f>
        <v>0</v>
      </c>
      <c r="AD205" s="27">
        <f>ROUND(IF(AQ205="7",BH205,0),2)</f>
        <v>0</v>
      </c>
      <c r="AE205" s="27">
        <f>ROUND(IF(AQ205="7",BI205,0),2)</f>
        <v>0</v>
      </c>
      <c r="AF205" s="27">
        <f>ROUND(IF(AQ205="2",BH205,0),2)</f>
        <v>0</v>
      </c>
      <c r="AG205" s="27">
        <f>ROUND(IF(AQ205="2",BI205,0),2)</f>
        <v>0</v>
      </c>
      <c r="AH205" s="27">
        <f>ROUND(IF(AQ205="0",BJ205,0),2)</f>
        <v>0</v>
      </c>
      <c r="AI205" s="12" t="s">
        <v>52</v>
      </c>
      <c r="AJ205" s="27">
        <f>IF(AN205=0,K205,0)</f>
        <v>0</v>
      </c>
      <c r="AK205" s="27">
        <f>IF(AN205=12,K205,0)</f>
        <v>0</v>
      </c>
      <c r="AL205" s="27">
        <f>IF(AN205=21,K205,0)</f>
        <v>0</v>
      </c>
      <c r="AN205" s="27">
        <v>12</v>
      </c>
      <c r="AO205" s="27">
        <f>G205*0.016154133</f>
        <v>0</v>
      </c>
      <c r="AP205" s="27">
        <f>G205*(1-0.016154133)</f>
        <v>0</v>
      </c>
      <c r="AQ205" s="30" t="s">
        <v>104</v>
      </c>
      <c r="AV205" s="27">
        <f>ROUND(AW205+AX205,2)</f>
        <v>0</v>
      </c>
      <c r="AW205" s="27">
        <f>ROUND(F205*AO205,2)</f>
        <v>0</v>
      </c>
      <c r="AX205" s="27">
        <f>ROUND(F205*AP205,2)</f>
        <v>0</v>
      </c>
      <c r="AY205" s="30" t="s">
        <v>384</v>
      </c>
      <c r="AZ205" s="30" t="s">
        <v>385</v>
      </c>
      <c r="BA205" s="12" t="s">
        <v>62</v>
      </c>
      <c r="BC205" s="27">
        <f>AW205+AX205</f>
        <v>0</v>
      </c>
      <c r="BD205" s="27">
        <f>G205/(100-BE205)*100</f>
        <v>0</v>
      </c>
      <c r="BE205" s="27">
        <v>0</v>
      </c>
      <c r="BF205" s="27">
        <f>205</f>
        <v>205</v>
      </c>
      <c r="BH205" s="27">
        <f>F205*AO205</f>
        <v>0</v>
      </c>
      <c r="BI205" s="27">
        <f>F205*AP205</f>
        <v>0</v>
      </c>
      <c r="BJ205" s="27">
        <f>F205*G205</f>
        <v>0</v>
      </c>
      <c r="BK205" s="30" t="s">
        <v>63</v>
      </c>
      <c r="BL205" s="27">
        <v>762</v>
      </c>
      <c r="BW205" s="27">
        <f>H205</f>
        <v>12</v>
      </c>
      <c r="BX205" s="5" t="s">
        <v>398</v>
      </c>
    </row>
    <row r="206" spans="1:76" x14ac:dyDescent="0.25">
      <c r="A206" s="31"/>
      <c r="C206" s="32" t="s">
        <v>399</v>
      </c>
      <c r="D206" s="32" t="s">
        <v>52</v>
      </c>
      <c r="F206" s="33">
        <v>67.099999999999994</v>
      </c>
      <c r="L206" s="34"/>
    </row>
    <row r="207" spans="1:76" ht="51" x14ac:dyDescent="0.25">
      <c r="A207" s="31"/>
      <c r="B207" s="35" t="s">
        <v>71</v>
      </c>
      <c r="C207" s="100" t="s">
        <v>400</v>
      </c>
      <c r="D207" s="101"/>
      <c r="E207" s="101"/>
      <c r="F207" s="101"/>
      <c r="G207" s="101"/>
      <c r="H207" s="101"/>
      <c r="I207" s="101"/>
      <c r="J207" s="101"/>
      <c r="K207" s="101"/>
      <c r="L207" s="102"/>
      <c r="BX207" s="36" t="s">
        <v>400</v>
      </c>
    </row>
    <row r="208" spans="1:76" x14ac:dyDescent="0.25">
      <c r="A208" s="2" t="s">
        <v>401</v>
      </c>
      <c r="B208" s="3" t="s">
        <v>402</v>
      </c>
      <c r="C208" s="84" t="s">
        <v>403</v>
      </c>
      <c r="D208" s="79"/>
      <c r="E208" s="3" t="s">
        <v>78</v>
      </c>
      <c r="F208" s="27">
        <v>72.468000000000004</v>
      </c>
      <c r="G208" s="27">
        <v>0</v>
      </c>
      <c r="H208" s="28">
        <v>12</v>
      </c>
      <c r="I208" s="27">
        <f>ROUND(F208*AO208,2)</f>
        <v>0</v>
      </c>
      <c r="J208" s="27">
        <f>ROUND(F208*AP208,2)</f>
        <v>0</v>
      </c>
      <c r="K208" s="27">
        <f>ROUND(F208*G208,2)</f>
        <v>0</v>
      </c>
      <c r="L208" s="29" t="s">
        <v>59</v>
      </c>
      <c r="Z208" s="27">
        <f>ROUND(IF(AQ208="5",BJ208,0),2)</f>
        <v>0</v>
      </c>
      <c r="AB208" s="27">
        <f>ROUND(IF(AQ208="1",BH208,0),2)</f>
        <v>0</v>
      </c>
      <c r="AC208" s="27">
        <f>ROUND(IF(AQ208="1",BI208,0),2)</f>
        <v>0</v>
      </c>
      <c r="AD208" s="27">
        <f>ROUND(IF(AQ208="7",BH208,0),2)</f>
        <v>0</v>
      </c>
      <c r="AE208" s="27">
        <f>ROUND(IF(AQ208="7",BI208,0),2)</f>
        <v>0</v>
      </c>
      <c r="AF208" s="27">
        <f>ROUND(IF(AQ208="2",BH208,0),2)</f>
        <v>0</v>
      </c>
      <c r="AG208" s="27">
        <f>ROUND(IF(AQ208="2",BI208,0),2)</f>
        <v>0</v>
      </c>
      <c r="AH208" s="27">
        <f>ROUND(IF(AQ208="0",BJ208,0),2)</f>
        <v>0</v>
      </c>
      <c r="AI208" s="12" t="s">
        <v>52</v>
      </c>
      <c r="AJ208" s="27">
        <f>IF(AN208=0,K208,0)</f>
        <v>0</v>
      </c>
      <c r="AK208" s="27">
        <f>IF(AN208=12,K208,0)</f>
        <v>0</v>
      </c>
      <c r="AL208" s="27">
        <f>IF(AN208=21,K208,0)</f>
        <v>0</v>
      </c>
      <c r="AN208" s="27">
        <v>12</v>
      </c>
      <c r="AO208" s="27">
        <f>G208*1</f>
        <v>0</v>
      </c>
      <c r="AP208" s="27">
        <f>G208*(1-1)</f>
        <v>0</v>
      </c>
      <c r="AQ208" s="30" t="s">
        <v>104</v>
      </c>
      <c r="AV208" s="27">
        <f>ROUND(AW208+AX208,2)</f>
        <v>0</v>
      </c>
      <c r="AW208" s="27">
        <f>ROUND(F208*AO208,2)</f>
        <v>0</v>
      </c>
      <c r="AX208" s="27">
        <f>ROUND(F208*AP208,2)</f>
        <v>0</v>
      </c>
      <c r="AY208" s="30" t="s">
        <v>384</v>
      </c>
      <c r="AZ208" s="30" t="s">
        <v>385</v>
      </c>
      <c r="BA208" s="12" t="s">
        <v>62</v>
      </c>
      <c r="BC208" s="27">
        <f>AW208+AX208</f>
        <v>0</v>
      </c>
      <c r="BD208" s="27">
        <f>G208/(100-BE208)*100</f>
        <v>0</v>
      </c>
      <c r="BE208" s="27">
        <v>0</v>
      </c>
      <c r="BF208" s="27">
        <f>208</f>
        <v>208</v>
      </c>
      <c r="BH208" s="27">
        <f>F208*AO208</f>
        <v>0</v>
      </c>
      <c r="BI208" s="27">
        <f>F208*AP208</f>
        <v>0</v>
      </c>
      <c r="BJ208" s="27">
        <f>F208*G208</f>
        <v>0</v>
      </c>
      <c r="BK208" s="30" t="s">
        <v>134</v>
      </c>
      <c r="BL208" s="27">
        <v>762</v>
      </c>
      <c r="BW208" s="27">
        <f>H208</f>
        <v>12</v>
      </c>
      <c r="BX208" s="5" t="s">
        <v>403</v>
      </c>
    </row>
    <row r="209" spans="1:76" x14ac:dyDescent="0.25">
      <c r="A209" s="31"/>
      <c r="C209" s="32" t="s">
        <v>404</v>
      </c>
      <c r="D209" s="32" t="s">
        <v>52</v>
      </c>
      <c r="F209" s="33">
        <v>67.099999999999994</v>
      </c>
      <c r="L209" s="34"/>
    </row>
    <row r="210" spans="1:76" x14ac:dyDescent="0.25">
      <c r="A210" s="31"/>
      <c r="C210" s="32" t="s">
        <v>405</v>
      </c>
      <c r="D210" s="32" t="s">
        <v>52</v>
      </c>
      <c r="F210" s="33">
        <v>5.3680000000000003</v>
      </c>
      <c r="L210" s="34"/>
    </row>
    <row r="211" spans="1:76" ht="25.5" x14ac:dyDescent="0.25">
      <c r="A211" s="31"/>
      <c r="B211" s="35" t="s">
        <v>71</v>
      </c>
      <c r="C211" s="100" t="s">
        <v>406</v>
      </c>
      <c r="D211" s="101"/>
      <c r="E211" s="101"/>
      <c r="F211" s="101"/>
      <c r="G211" s="101"/>
      <c r="H211" s="101"/>
      <c r="I211" s="101"/>
      <c r="J211" s="101"/>
      <c r="K211" s="101"/>
      <c r="L211" s="102"/>
      <c r="BX211" s="36" t="s">
        <v>406</v>
      </c>
    </row>
    <row r="212" spans="1:76" x14ac:dyDescent="0.25">
      <c r="A212" s="2" t="s">
        <v>407</v>
      </c>
      <c r="B212" s="3" t="s">
        <v>408</v>
      </c>
      <c r="C212" s="84" t="s">
        <v>409</v>
      </c>
      <c r="D212" s="79"/>
      <c r="E212" s="3" t="s">
        <v>182</v>
      </c>
      <c r="F212" s="27">
        <v>0.94199999999999995</v>
      </c>
      <c r="G212" s="27">
        <v>0</v>
      </c>
      <c r="H212" s="28">
        <v>12</v>
      </c>
      <c r="I212" s="27">
        <f>ROUND(F212*AO212,2)</f>
        <v>0</v>
      </c>
      <c r="J212" s="27">
        <f>ROUND(F212*AP212,2)</f>
        <v>0</v>
      </c>
      <c r="K212" s="27">
        <f>ROUND(F212*G212,2)</f>
        <v>0</v>
      </c>
      <c r="L212" s="29" t="s">
        <v>59</v>
      </c>
      <c r="Z212" s="27">
        <f>ROUND(IF(AQ212="5",BJ212,0),2)</f>
        <v>0</v>
      </c>
      <c r="AB212" s="27">
        <f>ROUND(IF(AQ212="1",BH212,0),2)</f>
        <v>0</v>
      </c>
      <c r="AC212" s="27">
        <f>ROUND(IF(AQ212="1",BI212,0),2)</f>
        <v>0</v>
      </c>
      <c r="AD212" s="27">
        <f>ROUND(IF(AQ212="7",BH212,0),2)</f>
        <v>0</v>
      </c>
      <c r="AE212" s="27">
        <f>ROUND(IF(AQ212="7",BI212,0),2)</f>
        <v>0</v>
      </c>
      <c r="AF212" s="27">
        <f>ROUND(IF(AQ212="2",BH212,0),2)</f>
        <v>0</v>
      </c>
      <c r="AG212" s="27">
        <f>ROUND(IF(AQ212="2",BI212,0),2)</f>
        <v>0</v>
      </c>
      <c r="AH212" s="27">
        <f>ROUND(IF(AQ212="0",BJ212,0),2)</f>
        <v>0</v>
      </c>
      <c r="AI212" s="12" t="s">
        <v>52</v>
      </c>
      <c r="AJ212" s="27">
        <f>IF(AN212=0,K212,0)</f>
        <v>0</v>
      </c>
      <c r="AK212" s="27">
        <f>IF(AN212=12,K212,0)</f>
        <v>0</v>
      </c>
      <c r="AL212" s="27">
        <f>IF(AN212=21,K212,0)</f>
        <v>0</v>
      </c>
      <c r="AN212" s="27">
        <v>12</v>
      </c>
      <c r="AO212" s="27">
        <f>G212*0</f>
        <v>0</v>
      </c>
      <c r="AP212" s="27">
        <f>G212*(1-0)</f>
        <v>0</v>
      </c>
      <c r="AQ212" s="30" t="s">
        <v>93</v>
      </c>
      <c r="AV212" s="27">
        <f>ROUND(AW212+AX212,2)</f>
        <v>0</v>
      </c>
      <c r="AW212" s="27">
        <f>ROUND(F212*AO212,2)</f>
        <v>0</v>
      </c>
      <c r="AX212" s="27">
        <f>ROUND(F212*AP212,2)</f>
        <v>0</v>
      </c>
      <c r="AY212" s="30" t="s">
        <v>384</v>
      </c>
      <c r="AZ212" s="30" t="s">
        <v>385</v>
      </c>
      <c r="BA212" s="12" t="s">
        <v>62</v>
      </c>
      <c r="BC212" s="27">
        <f>AW212+AX212</f>
        <v>0</v>
      </c>
      <c r="BD212" s="27">
        <f>G212/(100-BE212)*100</f>
        <v>0</v>
      </c>
      <c r="BE212" s="27">
        <v>0</v>
      </c>
      <c r="BF212" s="27">
        <f>212</f>
        <v>212</v>
      </c>
      <c r="BH212" s="27">
        <f>F212*AO212</f>
        <v>0</v>
      </c>
      <c r="BI212" s="27">
        <f>F212*AP212</f>
        <v>0</v>
      </c>
      <c r="BJ212" s="27">
        <f>F212*G212</f>
        <v>0</v>
      </c>
      <c r="BK212" s="30" t="s">
        <v>63</v>
      </c>
      <c r="BL212" s="27">
        <v>762</v>
      </c>
      <c r="BW212" s="27">
        <f>H212</f>
        <v>12</v>
      </c>
      <c r="BX212" s="5" t="s">
        <v>409</v>
      </c>
    </row>
    <row r="213" spans="1:76" x14ac:dyDescent="0.25">
      <c r="A213" s="31"/>
      <c r="C213" s="32" t="s">
        <v>410</v>
      </c>
      <c r="D213" s="32" t="s">
        <v>52</v>
      </c>
      <c r="F213" s="33">
        <v>0.94199999999999995</v>
      </c>
      <c r="L213" s="34"/>
    </row>
    <row r="214" spans="1:76" x14ac:dyDescent="0.25">
      <c r="A214" s="37" t="s">
        <v>52</v>
      </c>
      <c r="B214" s="38" t="s">
        <v>411</v>
      </c>
      <c r="C214" s="103" t="s">
        <v>412</v>
      </c>
      <c r="D214" s="104"/>
      <c r="E214" s="39" t="s">
        <v>4</v>
      </c>
      <c r="F214" s="39" t="s">
        <v>4</v>
      </c>
      <c r="G214" s="39" t="s">
        <v>4</v>
      </c>
      <c r="H214" s="39" t="s">
        <v>4</v>
      </c>
      <c r="I214" s="1">
        <f>SUM(I215:I228)</f>
        <v>0</v>
      </c>
      <c r="J214" s="1">
        <f>SUM(J215:J228)</f>
        <v>0</v>
      </c>
      <c r="K214" s="1">
        <f>SUM(K215:K228)</f>
        <v>0</v>
      </c>
      <c r="L214" s="40" t="s">
        <v>52</v>
      </c>
      <c r="AI214" s="12" t="s">
        <v>52</v>
      </c>
      <c r="AS214" s="1">
        <f>SUM(AJ215:AJ228)</f>
        <v>0</v>
      </c>
      <c r="AT214" s="1">
        <f>SUM(AK215:AK228)</f>
        <v>0</v>
      </c>
      <c r="AU214" s="1">
        <f>SUM(AL215:AL228)</f>
        <v>0</v>
      </c>
    </row>
    <row r="215" spans="1:76" x14ac:dyDescent="0.25">
      <c r="A215" s="2" t="s">
        <v>413</v>
      </c>
      <c r="B215" s="3" t="s">
        <v>414</v>
      </c>
      <c r="C215" s="84" t="s">
        <v>415</v>
      </c>
      <c r="D215" s="79"/>
      <c r="E215" s="3" t="s">
        <v>416</v>
      </c>
      <c r="F215" s="27">
        <v>1</v>
      </c>
      <c r="G215" s="27">
        <v>0</v>
      </c>
      <c r="H215" s="28">
        <v>12</v>
      </c>
      <c r="I215" s="27">
        <f>ROUND(F215*AO215,2)</f>
        <v>0</v>
      </c>
      <c r="J215" s="27">
        <f>ROUND(F215*AP215,2)</f>
        <v>0</v>
      </c>
      <c r="K215" s="27">
        <f>ROUND(F215*G215,2)</f>
        <v>0</v>
      </c>
      <c r="L215" s="29" t="s">
        <v>59</v>
      </c>
      <c r="Z215" s="27">
        <f>ROUND(IF(AQ215="5",BJ215,0),2)</f>
        <v>0</v>
      </c>
      <c r="AB215" s="27">
        <f>ROUND(IF(AQ215="1",BH215,0),2)</f>
        <v>0</v>
      </c>
      <c r="AC215" s="27">
        <f>ROUND(IF(AQ215="1",BI215,0),2)</f>
        <v>0</v>
      </c>
      <c r="AD215" s="27">
        <f>ROUND(IF(AQ215="7",BH215,0),2)</f>
        <v>0</v>
      </c>
      <c r="AE215" s="27">
        <f>ROUND(IF(AQ215="7",BI215,0),2)</f>
        <v>0</v>
      </c>
      <c r="AF215" s="27">
        <f>ROUND(IF(AQ215="2",BH215,0),2)</f>
        <v>0</v>
      </c>
      <c r="AG215" s="27">
        <f>ROUND(IF(AQ215="2",BI215,0),2)</f>
        <v>0</v>
      </c>
      <c r="AH215" s="27">
        <f>ROUND(IF(AQ215="0",BJ215,0),2)</f>
        <v>0</v>
      </c>
      <c r="AI215" s="12" t="s">
        <v>52</v>
      </c>
      <c r="AJ215" s="27">
        <f>IF(AN215=0,K215,0)</f>
        <v>0</v>
      </c>
      <c r="AK215" s="27">
        <f>IF(AN215=12,K215,0)</f>
        <v>0</v>
      </c>
      <c r="AL215" s="27">
        <f>IF(AN215=21,K215,0)</f>
        <v>0</v>
      </c>
      <c r="AN215" s="27">
        <v>12</v>
      </c>
      <c r="AO215" s="27">
        <f>G215*0</f>
        <v>0</v>
      </c>
      <c r="AP215" s="27">
        <f>G215*(1-0)</f>
        <v>0</v>
      </c>
      <c r="AQ215" s="30" t="s">
        <v>104</v>
      </c>
      <c r="AV215" s="27">
        <f>ROUND(AW215+AX215,2)</f>
        <v>0</v>
      </c>
      <c r="AW215" s="27">
        <f>ROUND(F215*AO215,2)</f>
        <v>0</v>
      </c>
      <c r="AX215" s="27">
        <f>ROUND(F215*AP215,2)</f>
        <v>0</v>
      </c>
      <c r="AY215" s="30" t="s">
        <v>417</v>
      </c>
      <c r="AZ215" s="30" t="s">
        <v>385</v>
      </c>
      <c r="BA215" s="12" t="s">
        <v>62</v>
      </c>
      <c r="BC215" s="27">
        <f>AW215+AX215</f>
        <v>0</v>
      </c>
      <c r="BD215" s="27">
        <f>G215/(100-BE215)*100</f>
        <v>0</v>
      </c>
      <c r="BE215" s="27">
        <v>0</v>
      </c>
      <c r="BF215" s="27">
        <f>215</f>
        <v>215</v>
      </c>
      <c r="BH215" s="27">
        <f>F215*AO215</f>
        <v>0</v>
      </c>
      <c r="BI215" s="27">
        <f>F215*AP215</f>
        <v>0</v>
      </c>
      <c r="BJ215" s="27">
        <f>F215*G215</f>
        <v>0</v>
      </c>
      <c r="BK215" s="30" t="s">
        <v>63</v>
      </c>
      <c r="BL215" s="27">
        <v>766</v>
      </c>
      <c r="BW215" s="27">
        <f>H215</f>
        <v>12</v>
      </c>
      <c r="BX215" s="5" t="s">
        <v>415</v>
      </c>
    </row>
    <row r="216" spans="1:76" x14ac:dyDescent="0.25">
      <c r="A216" s="31"/>
      <c r="C216" s="32" t="s">
        <v>55</v>
      </c>
      <c r="D216" s="32" t="s">
        <v>387</v>
      </c>
      <c r="F216" s="33">
        <v>1</v>
      </c>
      <c r="L216" s="34"/>
    </row>
    <row r="217" spans="1:76" ht="38.25" x14ac:dyDescent="0.25">
      <c r="A217" s="31"/>
      <c r="B217" s="35" t="s">
        <v>71</v>
      </c>
      <c r="C217" s="100" t="s">
        <v>418</v>
      </c>
      <c r="D217" s="101"/>
      <c r="E217" s="101"/>
      <c r="F217" s="101"/>
      <c r="G217" s="101"/>
      <c r="H217" s="101"/>
      <c r="I217" s="101"/>
      <c r="J217" s="101"/>
      <c r="K217" s="101"/>
      <c r="L217" s="102"/>
      <c r="BX217" s="36" t="s">
        <v>418</v>
      </c>
    </row>
    <row r="218" spans="1:76" x14ac:dyDescent="0.25">
      <c r="A218" s="2" t="s">
        <v>419</v>
      </c>
      <c r="B218" s="3" t="s">
        <v>420</v>
      </c>
      <c r="C218" s="84" t="s">
        <v>421</v>
      </c>
      <c r="D218" s="79"/>
      <c r="E218" s="3" t="s">
        <v>416</v>
      </c>
      <c r="F218" s="27">
        <v>1</v>
      </c>
      <c r="G218" s="27">
        <v>0</v>
      </c>
      <c r="H218" s="28">
        <v>12</v>
      </c>
      <c r="I218" s="27">
        <f>ROUND(F218*AO218,2)</f>
        <v>0</v>
      </c>
      <c r="J218" s="27">
        <f>ROUND(F218*AP218,2)</f>
        <v>0</v>
      </c>
      <c r="K218" s="27">
        <f>ROUND(F218*G218,2)</f>
        <v>0</v>
      </c>
      <c r="L218" s="29" t="s">
        <v>59</v>
      </c>
      <c r="Z218" s="27">
        <f>ROUND(IF(AQ218="5",BJ218,0),2)</f>
        <v>0</v>
      </c>
      <c r="AB218" s="27">
        <f>ROUND(IF(AQ218="1",BH218,0),2)</f>
        <v>0</v>
      </c>
      <c r="AC218" s="27">
        <f>ROUND(IF(AQ218="1",BI218,0),2)</f>
        <v>0</v>
      </c>
      <c r="AD218" s="27">
        <f>ROUND(IF(AQ218="7",BH218,0),2)</f>
        <v>0</v>
      </c>
      <c r="AE218" s="27">
        <f>ROUND(IF(AQ218="7",BI218,0),2)</f>
        <v>0</v>
      </c>
      <c r="AF218" s="27">
        <f>ROUND(IF(AQ218="2",BH218,0),2)</f>
        <v>0</v>
      </c>
      <c r="AG218" s="27">
        <f>ROUND(IF(AQ218="2",BI218,0),2)</f>
        <v>0</v>
      </c>
      <c r="AH218" s="27">
        <f>ROUND(IF(AQ218="0",BJ218,0),2)</f>
        <v>0</v>
      </c>
      <c r="AI218" s="12" t="s">
        <v>52</v>
      </c>
      <c r="AJ218" s="27">
        <f>IF(AN218=0,K218,0)</f>
        <v>0</v>
      </c>
      <c r="AK218" s="27">
        <f>IF(AN218=12,K218,0)</f>
        <v>0</v>
      </c>
      <c r="AL218" s="27">
        <f>IF(AN218=21,K218,0)</f>
        <v>0</v>
      </c>
      <c r="AN218" s="27">
        <v>12</v>
      </c>
      <c r="AO218" s="27">
        <f>G218*0</f>
        <v>0</v>
      </c>
      <c r="AP218" s="27">
        <f>G218*(1-0)</f>
        <v>0</v>
      </c>
      <c r="AQ218" s="30" t="s">
        <v>104</v>
      </c>
      <c r="AV218" s="27">
        <f>ROUND(AW218+AX218,2)</f>
        <v>0</v>
      </c>
      <c r="AW218" s="27">
        <f>ROUND(F218*AO218,2)</f>
        <v>0</v>
      </c>
      <c r="AX218" s="27">
        <f>ROUND(F218*AP218,2)</f>
        <v>0</v>
      </c>
      <c r="AY218" s="30" t="s">
        <v>417</v>
      </c>
      <c r="AZ218" s="30" t="s">
        <v>385</v>
      </c>
      <c r="BA218" s="12" t="s">
        <v>62</v>
      </c>
      <c r="BC218" s="27">
        <f>AW218+AX218</f>
        <v>0</v>
      </c>
      <c r="BD218" s="27">
        <f>G218/(100-BE218)*100</f>
        <v>0</v>
      </c>
      <c r="BE218" s="27">
        <v>0</v>
      </c>
      <c r="BF218" s="27">
        <f>218</f>
        <v>218</v>
      </c>
      <c r="BH218" s="27">
        <f>F218*AO218</f>
        <v>0</v>
      </c>
      <c r="BI218" s="27">
        <f>F218*AP218</f>
        <v>0</v>
      </c>
      <c r="BJ218" s="27">
        <f>F218*G218</f>
        <v>0</v>
      </c>
      <c r="BK218" s="30" t="s">
        <v>63</v>
      </c>
      <c r="BL218" s="27">
        <v>766</v>
      </c>
      <c r="BW218" s="27">
        <f>H218</f>
        <v>12</v>
      </c>
      <c r="BX218" s="5" t="s">
        <v>421</v>
      </c>
    </row>
    <row r="219" spans="1:76" x14ac:dyDescent="0.25">
      <c r="A219" s="31"/>
      <c r="C219" s="32" t="s">
        <v>55</v>
      </c>
      <c r="D219" s="32" t="s">
        <v>387</v>
      </c>
      <c r="F219" s="33">
        <v>1</v>
      </c>
      <c r="L219" s="34"/>
    </row>
    <row r="220" spans="1:76" ht="38.25" x14ac:dyDescent="0.25">
      <c r="A220" s="31"/>
      <c r="B220" s="35" t="s">
        <v>71</v>
      </c>
      <c r="C220" s="100" t="s">
        <v>418</v>
      </c>
      <c r="D220" s="101"/>
      <c r="E220" s="101"/>
      <c r="F220" s="101"/>
      <c r="G220" s="101"/>
      <c r="H220" s="101"/>
      <c r="I220" s="101"/>
      <c r="J220" s="101"/>
      <c r="K220" s="101"/>
      <c r="L220" s="102"/>
      <c r="BX220" s="36" t="s">
        <v>418</v>
      </c>
    </row>
    <row r="221" spans="1:76" x14ac:dyDescent="0.25">
      <c r="A221" s="2" t="s">
        <v>422</v>
      </c>
      <c r="B221" s="3" t="s">
        <v>423</v>
      </c>
      <c r="C221" s="84" t="s">
        <v>424</v>
      </c>
      <c r="D221" s="79"/>
      <c r="E221" s="3" t="s">
        <v>194</v>
      </c>
      <c r="F221" s="27">
        <v>1</v>
      </c>
      <c r="G221" s="27">
        <v>0</v>
      </c>
      <c r="H221" s="28">
        <v>12</v>
      </c>
      <c r="I221" s="27">
        <f>ROUND(F221*AO221,2)</f>
        <v>0</v>
      </c>
      <c r="J221" s="27">
        <f>ROUND(F221*AP221,2)</f>
        <v>0</v>
      </c>
      <c r="K221" s="27">
        <f>ROUND(F221*G221,2)</f>
        <v>0</v>
      </c>
      <c r="L221" s="29" t="s">
        <v>59</v>
      </c>
      <c r="Z221" s="27">
        <f>ROUND(IF(AQ221="5",BJ221,0),2)</f>
        <v>0</v>
      </c>
      <c r="AB221" s="27">
        <f>ROUND(IF(AQ221="1",BH221,0),2)</f>
        <v>0</v>
      </c>
      <c r="AC221" s="27">
        <f>ROUND(IF(AQ221="1",BI221,0),2)</f>
        <v>0</v>
      </c>
      <c r="AD221" s="27">
        <f>ROUND(IF(AQ221="7",BH221,0),2)</f>
        <v>0</v>
      </c>
      <c r="AE221" s="27">
        <f>ROUND(IF(AQ221="7",BI221,0),2)</f>
        <v>0</v>
      </c>
      <c r="AF221" s="27">
        <f>ROUND(IF(AQ221="2",BH221,0),2)</f>
        <v>0</v>
      </c>
      <c r="AG221" s="27">
        <f>ROUND(IF(AQ221="2",BI221,0),2)</f>
        <v>0</v>
      </c>
      <c r="AH221" s="27">
        <f>ROUND(IF(AQ221="0",BJ221,0),2)</f>
        <v>0</v>
      </c>
      <c r="AI221" s="12" t="s">
        <v>52</v>
      </c>
      <c r="AJ221" s="27">
        <f>IF(AN221=0,K221,0)</f>
        <v>0</v>
      </c>
      <c r="AK221" s="27">
        <f>IF(AN221=12,K221,0)</f>
        <v>0</v>
      </c>
      <c r="AL221" s="27">
        <f>IF(AN221=21,K221,0)</f>
        <v>0</v>
      </c>
      <c r="AN221" s="27">
        <v>12</v>
      </c>
      <c r="AO221" s="27">
        <f>G221*1</f>
        <v>0</v>
      </c>
      <c r="AP221" s="27">
        <f>G221*(1-1)</f>
        <v>0</v>
      </c>
      <c r="AQ221" s="30" t="s">
        <v>104</v>
      </c>
      <c r="AV221" s="27">
        <f>ROUND(AW221+AX221,2)</f>
        <v>0</v>
      </c>
      <c r="AW221" s="27">
        <f>ROUND(F221*AO221,2)</f>
        <v>0</v>
      </c>
      <c r="AX221" s="27">
        <f>ROUND(F221*AP221,2)</f>
        <v>0</v>
      </c>
      <c r="AY221" s="30" t="s">
        <v>417</v>
      </c>
      <c r="AZ221" s="30" t="s">
        <v>385</v>
      </c>
      <c r="BA221" s="12" t="s">
        <v>62</v>
      </c>
      <c r="BC221" s="27">
        <f>AW221+AX221</f>
        <v>0</v>
      </c>
      <c r="BD221" s="27">
        <f>G221/(100-BE221)*100</f>
        <v>0</v>
      </c>
      <c r="BE221" s="27">
        <v>0</v>
      </c>
      <c r="BF221" s="27">
        <f>221</f>
        <v>221</v>
      </c>
      <c r="BH221" s="27">
        <f>F221*AO221</f>
        <v>0</v>
      </c>
      <c r="BI221" s="27">
        <f>F221*AP221</f>
        <v>0</v>
      </c>
      <c r="BJ221" s="27">
        <f>F221*G221</f>
        <v>0</v>
      </c>
      <c r="BK221" s="30" t="s">
        <v>134</v>
      </c>
      <c r="BL221" s="27">
        <v>766</v>
      </c>
      <c r="BW221" s="27">
        <f>H221</f>
        <v>12</v>
      </c>
      <c r="BX221" s="5" t="s">
        <v>424</v>
      </c>
    </row>
    <row r="222" spans="1:76" x14ac:dyDescent="0.25">
      <c r="A222" s="31"/>
      <c r="C222" s="32" t="s">
        <v>55</v>
      </c>
      <c r="D222" s="32" t="s">
        <v>425</v>
      </c>
      <c r="F222" s="33">
        <v>1</v>
      </c>
      <c r="L222" s="34"/>
    </row>
    <row r="223" spans="1:76" x14ac:dyDescent="0.25">
      <c r="A223" s="2" t="s">
        <v>426</v>
      </c>
      <c r="B223" s="3" t="s">
        <v>427</v>
      </c>
      <c r="C223" s="84" t="s">
        <v>428</v>
      </c>
      <c r="D223" s="79"/>
      <c r="E223" s="3" t="s">
        <v>69</v>
      </c>
      <c r="F223" s="27">
        <v>1</v>
      </c>
      <c r="G223" s="27">
        <v>0</v>
      </c>
      <c r="H223" s="28">
        <v>12</v>
      </c>
      <c r="I223" s="27">
        <f>ROUND(F223*AO223,2)</f>
        <v>0</v>
      </c>
      <c r="J223" s="27">
        <f>ROUND(F223*AP223,2)</f>
        <v>0</v>
      </c>
      <c r="K223" s="27">
        <f>ROUND(F223*G223,2)</f>
        <v>0</v>
      </c>
      <c r="L223" s="29" t="s">
        <v>116</v>
      </c>
      <c r="Z223" s="27">
        <f>ROUND(IF(AQ223="5",BJ223,0),2)</f>
        <v>0</v>
      </c>
      <c r="AB223" s="27">
        <f>ROUND(IF(AQ223="1",BH223,0),2)</f>
        <v>0</v>
      </c>
      <c r="AC223" s="27">
        <f>ROUND(IF(AQ223="1",BI223,0),2)</f>
        <v>0</v>
      </c>
      <c r="AD223" s="27">
        <f>ROUND(IF(AQ223="7",BH223,0),2)</f>
        <v>0</v>
      </c>
      <c r="AE223" s="27">
        <f>ROUND(IF(AQ223="7",BI223,0),2)</f>
        <v>0</v>
      </c>
      <c r="AF223" s="27">
        <f>ROUND(IF(AQ223="2",BH223,0),2)</f>
        <v>0</v>
      </c>
      <c r="AG223" s="27">
        <f>ROUND(IF(AQ223="2",BI223,0),2)</f>
        <v>0</v>
      </c>
      <c r="AH223" s="27">
        <f>ROUND(IF(AQ223="0",BJ223,0),2)</f>
        <v>0</v>
      </c>
      <c r="AI223" s="12" t="s">
        <v>52</v>
      </c>
      <c r="AJ223" s="27">
        <f>IF(AN223=0,K223,0)</f>
        <v>0</v>
      </c>
      <c r="AK223" s="27">
        <f>IF(AN223=12,K223,0)</f>
        <v>0</v>
      </c>
      <c r="AL223" s="27">
        <f>IF(AN223=21,K223,0)</f>
        <v>0</v>
      </c>
      <c r="AN223" s="27">
        <v>12</v>
      </c>
      <c r="AO223" s="27">
        <f>G223*1</f>
        <v>0</v>
      </c>
      <c r="AP223" s="27">
        <f>G223*(1-1)</f>
        <v>0</v>
      </c>
      <c r="AQ223" s="30" t="s">
        <v>104</v>
      </c>
      <c r="AV223" s="27">
        <f>ROUND(AW223+AX223,2)</f>
        <v>0</v>
      </c>
      <c r="AW223" s="27">
        <f>ROUND(F223*AO223,2)</f>
        <v>0</v>
      </c>
      <c r="AX223" s="27">
        <f>ROUND(F223*AP223,2)</f>
        <v>0</v>
      </c>
      <c r="AY223" s="30" t="s">
        <v>417</v>
      </c>
      <c r="AZ223" s="30" t="s">
        <v>385</v>
      </c>
      <c r="BA223" s="12" t="s">
        <v>62</v>
      </c>
      <c r="BC223" s="27">
        <f>AW223+AX223</f>
        <v>0</v>
      </c>
      <c r="BD223" s="27">
        <f>G223/(100-BE223)*100</f>
        <v>0</v>
      </c>
      <c r="BE223" s="27">
        <v>0</v>
      </c>
      <c r="BF223" s="27">
        <f>223</f>
        <v>223</v>
      </c>
      <c r="BH223" s="27">
        <f>F223*AO223</f>
        <v>0</v>
      </c>
      <c r="BI223" s="27">
        <f>F223*AP223</f>
        <v>0</v>
      </c>
      <c r="BJ223" s="27">
        <f>F223*G223</f>
        <v>0</v>
      </c>
      <c r="BK223" s="30" t="s">
        <v>134</v>
      </c>
      <c r="BL223" s="27">
        <v>766</v>
      </c>
      <c r="BW223" s="27">
        <f>H223</f>
        <v>12</v>
      </c>
      <c r="BX223" s="5" t="s">
        <v>428</v>
      </c>
    </row>
    <row r="224" spans="1:76" x14ac:dyDescent="0.25">
      <c r="A224" s="31"/>
      <c r="C224" s="32" t="s">
        <v>55</v>
      </c>
      <c r="D224" s="32" t="s">
        <v>429</v>
      </c>
      <c r="F224" s="33">
        <v>1</v>
      </c>
      <c r="L224" s="34"/>
    </row>
    <row r="225" spans="1:76" x14ac:dyDescent="0.25">
      <c r="A225" s="2" t="s">
        <v>430</v>
      </c>
      <c r="B225" s="3" t="s">
        <v>431</v>
      </c>
      <c r="C225" s="84" t="s">
        <v>432</v>
      </c>
      <c r="D225" s="79"/>
      <c r="E225" s="3" t="s">
        <v>69</v>
      </c>
      <c r="F225" s="27">
        <v>1</v>
      </c>
      <c r="G225" s="27">
        <v>0</v>
      </c>
      <c r="H225" s="28">
        <v>12</v>
      </c>
      <c r="I225" s="27">
        <f>ROUND(F225*AO225,2)</f>
        <v>0</v>
      </c>
      <c r="J225" s="27">
        <f>ROUND(F225*AP225,2)</f>
        <v>0</v>
      </c>
      <c r="K225" s="27">
        <f>ROUND(F225*G225,2)</f>
        <v>0</v>
      </c>
      <c r="L225" s="29" t="s">
        <v>116</v>
      </c>
      <c r="Z225" s="27">
        <f>ROUND(IF(AQ225="5",BJ225,0),2)</f>
        <v>0</v>
      </c>
      <c r="AB225" s="27">
        <f>ROUND(IF(AQ225="1",BH225,0),2)</f>
        <v>0</v>
      </c>
      <c r="AC225" s="27">
        <f>ROUND(IF(AQ225="1",BI225,0),2)</f>
        <v>0</v>
      </c>
      <c r="AD225" s="27">
        <f>ROUND(IF(AQ225="7",BH225,0),2)</f>
        <v>0</v>
      </c>
      <c r="AE225" s="27">
        <f>ROUND(IF(AQ225="7",BI225,0),2)</f>
        <v>0</v>
      </c>
      <c r="AF225" s="27">
        <f>ROUND(IF(AQ225="2",BH225,0),2)</f>
        <v>0</v>
      </c>
      <c r="AG225" s="27">
        <f>ROUND(IF(AQ225="2",BI225,0),2)</f>
        <v>0</v>
      </c>
      <c r="AH225" s="27">
        <f>ROUND(IF(AQ225="0",BJ225,0),2)</f>
        <v>0</v>
      </c>
      <c r="AI225" s="12" t="s">
        <v>52</v>
      </c>
      <c r="AJ225" s="27">
        <f>IF(AN225=0,K225,0)</f>
        <v>0</v>
      </c>
      <c r="AK225" s="27">
        <f>IF(AN225=12,K225,0)</f>
        <v>0</v>
      </c>
      <c r="AL225" s="27">
        <f>IF(AN225=21,K225,0)</f>
        <v>0</v>
      </c>
      <c r="AN225" s="27">
        <v>12</v>
      </c>
      <c r="AO225" s="27">
        <f>G225*1</f>
        <v>0</v>
      </c>
      <c r="AP225" s="27">
        <f>G225*(1-1)</f>
        <v>0</v>
      </c>
      <c r="AQ225" s="30" t="s">
        <v>104</v>
      </c>
      <c r="AV225" s="27">
        <f>ROUND(AW225+AX225,2)</f>
        <v>0</v>
      </c>
      <c r="AW225" s="27">
        <f>ROUND(F225*AO225,2)</f>
        <v>0</v>
      </c>
      <c r="AX225" s="27">
        <f>ROUND(F225*AP225,2)</f>
        <v>0</v>
      </c>
      <c r="AY225" s="30" t="s">
        <v>417</v>
      </c>
      <c r="AZ225" s="30" t="s">
        <v>385</v>
      </c>
      <c r="BA225" s="12" t="s">
        <v>62</v>
      </c>
      <c r="BC225" s="27">
        <f>AW225+AX225</f>
        <v>0</v>
      </c>
      <c r="BD225" s="27">
        <f>G225/(100-BE225)*100</f>
        <v>0</v>
      </c>
      <c r="BE225" s="27">
        <v>0</v>
      </c>
      <c r="BF225" s="27">
        <f>225</f>
        <v>225</v>
      </c>
      <c r="BH225" s="27">
        <f>F225*AO225</f>
        <v>0</v>
      </c>
      <c r="BI225" s="27">
        <f>F225*AP225</f>
        <v>0</v>
      </c>
      <c r="BJ225" s="27">
        <f>F225*G225</f>
        <v>0</v>
      </c>
      <c r="BK225" s="30" t="s">
        <v>134</v>
      </c>
      <c r="BL225" s="27">
        <v>766</v>
      </c>
      <c r="BW225" s="27">
        <f>H225</f>
        <v>12</v>
      </c>
      <c r="BX225" s="5" t="s">
        <v>432</v>
      </c>
    </row>
    <row r="226" spans="1:76" x14ac:dyDescent="0.25">
      <c r="A226" s="31"/>
      <c r="C226" s="32" t="s">
        <v>55</v>
      </c>
      <c r="D226" s="32" t="s">
        <v>429</v>
      </c>
      <c r="F226" s="33">
        <v>1</v>
      </c>
      <c r="L226" s="34"/>
    </row>
    <row r="227" spans="1:76" ht="63.75" x14ac:dyDescent="0.25">
      <c r="A227" s="31"/>
      <c r="B227" s="35" t="s">
        <v>71</v>
      </c>
      <c r="C227" s="100" t="s">
        <v>433</v>
      </c>
      <c r="D227" s="101"/>
      <c r="E227" s="101"/>
      <c r="F227" s="101"/>
      <c r="G227" s="101"/>
      <c r="H227" s="101"/>
      <c r="I227" s="101"/>
      <c r="J227" s="101"/>
      <c r="K227" s="101"/>
      <c r="L227" s="102"/>
      <c r="BX227" s="36" t="s">
        <v>433</v>
      </c>
    </row>
    <row r="228" spans="1:76" x14ac:dyDescent="0.25">
      <c r="A228" s="2" t="s">
        <v>434</v>
      </c>
      <c r="B228" s="3" t="s">
        <v>435</v>
      </c>
      <c r="C228" s="84" t="s">
        <v>436</v>
      </c>
      <c r="D228" s="79"/>
      <c r="E228" s="3" t="s">
        <v>182</v>
      </c>
      <c r="F228" s="27">
        <v>0.37</v>
      </c>
      <c r="G228" s="27">
        <v>0</v>
      </c>
      <c r="H228" s="28">
        <v>12</v>
      </c>
      <c r="I228" s="27">
        <f>ROUND(F228*AO228,2)</f>
        <v>0</v>
      </c>
      <c r="J228" s="27">
        <f>ROUND(F228*AP228,2)</f>
        <v>0</v>
      </c>
      <c r="K228" s="27">
        <f>ROUND(F228*G228,2)</f>
        <v>0</v>
      </c>
      <c r="L228" s="29" t="s">
        <v>59</v>
      </c>
      <c r="Z228" s="27">
        <f>ROUND(IF(AQ228="5",BJ228,0),2)</f>
        <v>0</v>
      </c>
      <c r="AB228" s="27">
        <f>ROUND(IF(AQ228="1",BH228,0),2)</f>
        <v>0</v>
      </c>
      <c r="AC228" s="27">
        <f>ROUND(IF(AQ228="1",BI228,0),2)</f>
        <v>0</v>
      </c>
      <c r="AD228" s="27">
        <f>ROUND(IF(AQ228="7",BH228,0),2)</f>
        <v>0</v>
      </c>
      <c r="AE228" s="27">
        <f>ROUND(IF(AQ228="7",BI228,0),2)</f>
        <v>0</v>
      </c>
      <c r="AF228" s="27">
        <f>ROUND(IF(AQ228="2",BH228,0),2)</f>
        <v>0</v>
      </c>
      <c r="AG228" s="27">
        <f>ROUND(IF(AQ228="2",BI228,0),2)</f>
        <v>0</v>
      </c>
      <c r="AH228" s="27">
        <f>ROUND(IF(AQ228="0",BJ228,0),2)</f>
        <v>0</v>
      </c>
      <c r="AI228" s="12" t="s">
        <v>52</v>
      </c>
      <c r="AJ228" s="27">
        <f>IF(AN228=0,K228,0)</f>
        <v>0</v>
      </c>
      <c r="AK228" s="27">
        <f>IF(AN228=12,K228,0)</f>
        <v>0</v>
      </c>
      <c r="AL228" s="27">
        <f>IF(AN228=21,K228,0)</f>
        <v>0</v>
      </c>
      <c r="AN228" s="27">
        <v>12</v>
      </c>
      <c r="AO228" s="27">
        <f>G228*0</f>
        <v>0</v>
      </c>
      <c r="AP228" s="27">
        <f>G228*(1-0)</f>
        <v>0</v>
      </c>
      <c r="AQ228" s="30" t="s">
        <v>93</v>
      </c>
      <c r="AV228" s="27">
        <f>ROUND(AW228+AX228,2)</f>
        <v>0</v>
      </c>
      <c r="AW228" s="27">
        <f>ROUND(F228*AO228,2)</f>
        <v>0</v>
      </c>
      <c r="AX228" s="27">
        <f>ROUND(F228*AP228,2)</f>
        <v>0</v>
      </c>
      <c r="AY228" s="30" t="s">
        <v>417</v>
      </c>
      <c r="AZ228" s="30" t="s">
        <v>385</v>
      </c>
      <c r="BA228" s="12" t="s">
        <v>62</v>
      </c>
      <c r="BC228" s="27">
        <f>AW228+AX228</f>
        <v>0</v>
      </c>
      <c r="BD228" s="27">
        <f>G228/(100-BE228)*100</f>
        <v>0</v>
      </c>
      <c r="BE228" s="27">
        <v>0</v>
      </c>
      <c r="BF228" s="27">
        <f>228</f>
        <v>228</v>
      </c>
      <c r="BH228" s="27">
        <f>F228*AO228</f>
        <v>0</v>
      </c>
      <c r="BI228" s="27">
        <f>F228*AP228</f>
        <v>0</v>
      </c>
      <c r="BJ228" s="27">
        <f>F228*G228</f>
        <v>0</v>
      </c>
      <c r="BK228" s="30" t="s">
        <v>63</v>
      </c>
      <c r="BL228" s="27">
        <v>766</v>
      </c>
      <c r="BW228" s="27">
        <f>H228</f>
        <v>12</v>
      </c>
      <c r="BX228" s="5" t="s">
        <v>436</v>
      </c>
    </row>
    <row r="229" spans="1:76" x14ac:dyDescent="0.25">
      <c r="A229" s="31"/>
      <c r="C229" s="32" t="s">
        <v>437</v>
      </c>
      <c r="D229" s="32" t="s">
        <v>52</v>
      </c>
      <c r="F229" s="33">
        <v>0.37</v>
      </c>
      <c r="L229" s="34"/>
    </row>
    <row r="230" spans="1:76" x14ac:dyDescent="0.25">
      <c r="A230" s="37" t="s">
        <v>52</v>
      </c>
      <c r="B230" s="38" t="s">
        <v>438</v>
      </c>
      <c r="C230" s="103" t="s">
        <v>439</v>
      </c>
      <c r="D230" s="104"/>
      <c r="E230" s="39" t="s">
        <v>4</v>
      </c>
      <c r="F230" s="39" t="s">
        <v>4</v>
      </c>
      <c r="G230" s="39" t="s">
        <v>4</v>
      </c>
      <c r="H230" s="39" t="s">
        <v>4</v>
      </c>
      <c r="I230" s="1">
        <f>SUM(I231:I239)</f>
        <v>0</v>
      </c>
      <c r="J230" s="1">
        <f>SUM(J231:J239)</f>
        <v>0</v>
      </c>
      <c r="K230" s="1">
        <f>SUM(K231:K239)</f>
        <v>0</v>
      </c>
      <c r="L230" s="40" t="s">
        <v>52</v>
      </c>
      <c r="AI230" s="12" t="s">
        <v>52</v>
      </c>
      <c r="AS230" s="1">
        <f>SUM(AJ231:AJ239)</f>
        <v>0</v>
      </c>
      <c r="AT230" s="1">
        <f>SUM(AK231:AK239)</f>
        <v>0</v>
      </c>
      <c r="AU230" s="1">
        <f>SUM(AL231:AL239)</f>
        <v>0</v>
      </c>
    </row>
    <row r="231" spans="1:76" x14ac:dyDescent="0.25">
      <c r="A231" s="2" t="s">
        <v>440</v>
      </c>
      <c r="B231" s="3" t="s">
        <v>441</v>
      </c>
      <c r="C231" s="84" t="s">
        <v>442</v>
      </c>
      <c r="D231" s="79"/>
      <c r="E231" s="3" t="s">
        <v>78</v>
      </c>
      <c r="F231" s="27">
        <v>3.6</v>
      </c>
      <c r="G231" s="27">
        <v>0</v>
      </c>
      <c r="H231" s="28">
        <v>12</v>
      </c>
      <c r="I231" s="27">
        <f>ROUND(F231*AO231,2)</f>
        <v>0</v>
      </c>
      <c r="J231" s="27">
        <f>ROUND(F231*AP231,2)</f>
        <v>0</v>
      </c>
      <c r="K231" s="27">
        <f>ROUND(F231*G231,2)</f>
        <v>0</v>
      </c>
      <c r="L231" s="29" t="s">
        <v>59</v>
      </c>
      <c r="Z231" s="27">
        <f>ROUND(IF(AQ231="5",BJ231,0),2)</f>
        <v>0</v>
      </c>
      <c r="AB231" s="27">
        <f>ROUND(IF(AQ231="1",BH231,0),2)</f>
        <v>0</v>
      </c>
      <c r="AC231" s="27">
        <f>ROUND(IF(AQ231="1",BI231,0),2)</f>
        <v>0</v>
      </c>
      <c r="AD231" s="27">
        <f>ROUND(IF(AQ231="7",BH231,0),2)</f>
        <v>0</v>
      </c>
      <c r="AE231" s="27">
        <f>ROUND(IF(AQ231="7",BI231,0),2)</f>
        <v>0</v>
      </c>
      <c r="AF231" s="27">
        <f>ROUND(IF(AQ231="2",BH231,0),2)</f>
        <v>0</v>
      </c>
      <c r="AG231" s="27">
        <f>ROUND(IF(AQ231="2",BI231,0),2)</f>
        <v>0</v>
      </c>
      <c r="AH231" s="27">
        <f>ROUND(IF(AQ231="0",BJ231,0),2)</f>
        <v>0</v>
      </c>
      <c r="AI231" s="12" t="s">
        <v>52</v>
      </c>
      <c r="AJ231" s="27">
        <f>IF(AN231=0,K231,0)</f>
        <v>0</v>
      </c>
      <c r="AK231" s="27">
        <f>IF(AN231=12,K231,0)</f>
        <v>0</v>
      </c>
      <c r="AL231" s="27">
        <f>IF(AN231=21,K231,0)</f>
        <v>0</v>
      </c>
      <c r="AN231" s="27">
        <v>12</v>
      </c>
      <c r="AO231" s="27">
        <f>G231*0.113461845</f>
        <v>0</v>
      </c>
      <c r="AP231" s="27">
        <f>G231*(1-0.113461845)</f>
        <v>0</v>
      </c>
      <c r="AQ231" s="30" t="s">
        <v>104</v>
      </c>
      <c r="AV231" s="27">
        <f>ROUND(AW231+AX231,2)</f>
        <v>0</v>
      </c>
      <c r="AW231" s="27">
        <f>ROUND(F231*AO231,2)</f>
        <v>0</v>
      </c>
      <c r="AX231" s="27">
        <f>ROUND(F231*AP231,2)</f>
        <v>0</v>
      </c>
      <c r="AY231" s="30" t="s">
        <v>443</v>
      </c>
      <c r="AZ231" s="30" t="s">
        <v>444</v>
      </c>
      <c r="BA231" s="12" t="s">
        <v>62</v>
      </c>
      <c r="BC231" s="27">
        <f>AW231+AX231</f>
        <v>0</v>
      </c>
      <c r="BD231" s="27">
        <f>G231/(100-BE231)*100</f>
        <v>0</v>
      </c>
      <c r="BE231" s="27">
        <v>0</v>
      </c>
      <c r="BF231" s="27">
        <f>231</f>
        <v>231</v>
      </c>
      <c r="BH231" s="27">
        <f>F231*AO231</f>
        <v>0</v>
      </c>
      <c r="BI231" s="27">
        <f>F231*AP231</f>
        <v>0</v>
      </c>
      <c r="BJ231" s="27">
        <f>F231*G231</f>
        <v>0</v>
      </c>
      <c r="BK231" s="30" t="s">
        <v>63</v>
      </c>
      <c r="BL231" s="27">
        <v>771</v>
      </c>
      <c r="BW231" s="27">
        <f>H231</f>
        <v>12</v>
      </c>
      <c r="BX231" s="5" t="s">
        <v>442</v>
      </c>
    </row>
    <row r="232" spans="1:76" x14ac:dyDescent="0.25">
      <c r="A232" s="31"/>
      <c r="C232" s="32" t="s">
        <v>81</v>
      </c>
      <c r="D232" s="32" t="s">
        <v>52</v>
      </c>
      <c r="F232" s="33">
        <v>3.6</v>
      </c>
      <c r="L232" s="34"/>
    </row>
    <row r="233" spans="1:76" x14ac:dyDescent="0.25">
      <c r="A233" s="2" t="s">
        <v>445</v>
      </c>
      <c r="B233" s="3" t="s">
        <v>446</v>
      </c>
      <c r="C233" s="84" t="s">
        <v>447</v>
      </c>
      <c r="D233" s="79"/>
      <c r="E233" s="3" t="s">
        <v>78</v>
      </c>
      <c r="F233" s="27">
        <v>3.8159999999999998</v>
      </c>
      <c r="G233" s="27">
        <v>0</v>
      </c>
      <c r="H233" s="28">
        <v>12</v>
      </c>
      <c r="I233" s="27">
        <f>ROUND(F233*AO233,2)</f>
        <v>0</v>
      </c>
      <c r="J233" s="27">
        <f>ROUND(F233*AP233,2)</f>
        <v>0</v>
      </c>
      <c r="K233" s="27">
        <f>ROUND(F233*G233,2)</f>
        <v>0</v>
      </c>
      <c r="L233" s="29" t="s">
        <v>59</v>
      </c>
      <c r="Z233" s="27">
        <f>ROUND(IF(AQ233="5",BJ233,0),2)</f>
        <v>0</v>
      </c>
      <c r="AB233" s="27">
        <f>ROUND(IF(AQ233="1",BH233,0),2)</f>
        <v>0</v>
      </c>
      <c r="AC233" s="27">
        <f>ROUND(IF(AQ233="1",BI233,0),2)</f>
        <v>0</v>
      </c>
      <c r="AD233" s="27">
        <f>ROUND(IF(AQ233="7",BH233,0),2)</f>
        <v>0</v>
      </c>
      <c r="AE233" s="27">
        <f>ROUND(IF(AQ233="7",BI233,0),2)</f>
        <v>0</v>
      </c>
      <c r="AF233" s="27">
        <f>ROUND(IF(AQ233="2",BH233,0),2)</f>
        <v>0</v>
      </c>
      <c r="AG233" s="27">
        <f>ROUND(IF(AQ233="2",BI233,0),2)</f>
        <v>0</v>
      </c>
      <c r="AH233" s="27">
        <f>ROUND(IF(AQ233="0",BJ233,0),2)</f>
        <v>0</v>
      </c>
      <c r="AI233" s="12" t="s">
        <v>52</v>
      </c>
      <c r="AJ233" s="27">
        <f>IF(AN233=0,K233,0)</f>
        <v>0</v>
      </c>
      <c r="AK233" s="27">
        <f>IF(AN233=12,K233,0)</f>
        <v>0</v>
      </c>
      <c r="AL233" s="27">
        <f>IF(AN233=21,K233,0)</f>
        <v>0</v>
      </c>
      <c r="AN233" s="27">
        <v>12</v>
      </c>
      <c r="AO233" s="27">
        <f>G233*1</f>
        <v>0</v>
      </c>
      <c r="AP233" s="27">
        <f>G233*(1-1)</f>
        <v>0</v>
      </c>
      <c r="AQ233" s="30" t="s">
        <v>104</v>
      </c>
      <c r="AV233" s="27">
        <f>ROUND(AW233+AX233,2)</f>
        <v>0</v>
      </c>
      <c r="AW233" s="27">
        <f>ROUND(F233*AO233,2)</f>
        <v>0</v>
      </c>
      <c r="AX233" s="27">
        <f>ROUND(F233*AP233,2)</f>
        <v>0</v>
      </c>
      <c r="AY233" s="30" t="s">
        <v>443</v>
      </c>
      <c r="AZ233" s="30" t="s">
        <v>444</v>
      </c>
      <c r="BA233" s="12" t="s">
        <v>62</v>
      </c>
      <c r="BC233" s="27">
        <f>AW233+AX233</f>
        <v>0</v>
      </c>
      <c r="BD233" s="27">
        <f>G233/(100-BE233)*100</f>
        <v>0</v>
      </c>
      <c r="BE233" s="27">
        <v>0</v>
      </c>
      <c r="BF233" s="27">
        <f>233</f>
        <v>233</v>
      </c>
      <c r="BH233" s="27">
        <f>F233*AO233</f>
        <v>0</v>
      </c>
      <c r="BI233" s="27">
        <f>F233*AP233</f>
        <v>0</v>
      </c>
      <c r="BJ233" s="27">
        <f>F233*G233</f>
        <v>0</v>
      </c>
      <c r="BK233" s="30" t="s">
        <v>134</v>
      </c>
      <c r="BL233" s="27">
        <v>771</v>
      </c>
      <c r="BW233" s="27">
        <f>H233</f>
        <v>12</v>
      </c>
      <c r="BX233" s="5" t="s">
        <v>447</v>
      </c>
    </row>
    <row r="234" spans="1:76" x14ac:dyDescent="0.25">
      <c r="A234" s="31"/>
      <c r="C234" s="32" t="s">
        <v>81</v>
      </c>
      <c r="D234" s="32" t="s">
        <v>448</v>
      </c>
      <c r="F234" s="33">
        <v>3.6</v>
      </c>
      <c r="L234" s="34"/>
    </row>
    <row r="235" spans="1:76" x14ac:dyDescent="0.25">
      <c r="A235" s="31"/>
      <c r="C235" s="32" t="s">
        <v>449</v>
      </c>
      <c r="D235" s="32" t="s">
        <v>52</v>
      </c>
      <c r="F235" s="33">
        <v>0.216</v>
      </c>
      <c r="L235" s="34"/>
    </row>
    <row r="236" spans="1:76" ht="63.75" x14ac:dyDescent="0.25">
      <c r="A236" s="31"/>
      <c r="B236" s="35" t="s">
        <v>71</v>
      </c>
      <c r="C236" s="100" t="s">
        <v>450</v>
      </c>
      <c r="D236" s="101"/>
      <c r="E236" s="101"/>
      <c r="F236" s="101"/>
      <c r="G236" s="101"/>
      <c r="H236" s="101"/>
      <c r="I236" s="101"/>
      <c r="J236" s="101"/>
      <c r="K236" s="101"/>
      <c r="L236" s="102"/>
      <c r="BX236" s="36" t="s">
        <v>450</v>
      </c>
    </row>
    <row r="237" spans="1:76" x14ac:dyDescent="0.25">
      <c r="A237" s="2" t="s">
        <v>451</v>
      </c>
      <c r="B237" s="3" t="s">
        <v>452</v>
      </c>
      <c r="C237" s="84" t="s">
        <v>453</v>
      </c>
      <c r="D237" s="79"/>
      <c r="E237" s="3" t="s">
        <v>89</v>
      </c>
      <c r="F237" s="27">
        <v>7.76</v>
      </c>
      <c r="G237" s="27">
        <v>0</v>
      </c>
      <c r="H237" s="28">
        <v>12</v>
      </c>
      <c r="I237" s="27">
        <f>ROUND(F237*AO237,2)</f>
        <v>0</v>
      </c>
      <c r="J237" s="27">
        <f>ROUND(F237*AP237,2)</f>
        <v>0</v>
      </c>
      <c r="K237" s="27">
        <f>ROUND(F237*G237,2)</f>
        <v>0</v>
      </c>
      <c r="L237" s="29" t="s">
        <v>59</v>
      </c>
      <c r="Z237" s="27">
        <f>ROUND(IF(AQ237="5",BJ237,0),2)</f>
        <v>0</v>
      </c>
      <c r="AB237" s="27">
        <f>ROUND(IF(AQ237="1",BH237,0),2)</f>
        <v>0</v>
      </c>
      <c r="AC237" s="27">
        <f>ROUND(IF(AQ237="1",BI237,0),2)</f>
        <v>0</v>
      </c>
      <c r="AD237" s="27">
        <f>ROUND(IF(AQ237="7",BH237,0),2)</f>
        <v>0</v>
      </c>
      <c r="AE237" s="27">
        <f>ROUND(IF(AQ237="7",BI237,0),2)</f>
        <v>0</v>
      </c>
      <c r="AF237" s="27">
        <f>ROUND(IF(AQ237="2",BH237,0),2)</f>
        <v>0</v>
      </c>
      <c r="AG237" s="27">
        <f>ROUND(IF(AQ237="2",BI237,0),2)</f>
        <v>0</v>
      </c>
      <c r="AH237" s="27">
        <f>ROUND(IF(AQ237="0",BJ237,0),2)</f>
        <v>0</v>
      </c>
      <c r="AI237" s="12" t="s">
        <v>52</v>
      </c>
      <c r="AJ237" s="27">
        <f>IF(AN237=0,K237,0)</f>
        <v>0</v>
      </c>
      <c r="AK237" s="27">
        <f>IF(AN237=12,K237,0)</f>
        <v>0</v>
      </c>
      <c r="AL237" s="27">
        <f>IF(AN237=21,K237,0)</f>
        <v>0</v>
      </c>
      <c r="AN237" s="27">
        <v>12</v>
      </c>
      <c r="AO237" s="27">
        <f>G237*0.039849326</f>
        <v>0</v>
      </c>
      <c r="AP237" s="27">
        <f>G237*(1-0.039849326)</f>
        <v>0</v>
      </c>
      <c r="AQ237" s="30" t="s">
        <v>104</v>
      </c>
      <c r="AV237" s="27">
        <f>ROUND(AW237+AX237,2)</f>
        <v>0</v>
      </c>
      <c r="AW237" s="27">
        <f>ROUND(F237*AO237,2)</f>
        <v>0</v>
      </c>
      <c r="AX237" s="27">
        <f>ROUND(F237*AP237,2)</f>
        <v>0</v>
      </c>
      <c r="AY237" s="30" t="s">
        <v>443</v>
      </c>
      <c r="AZ237" s="30" t="s">
        <v>444</v>
      </c>
      <c r="BA237" s="12" t="s">
        <v>62</v>
      </c>
      <c r="BC237" s="27">
        <f>AW237+AX237</f>
        <v>0</v>
      </c>
      <c r="BD237" s="27">
        <f>G237/(100-BE237)*100</f>
        <v>0</v>
      </c>
      <c r="BE237" s="27">
        <v>0</v>
      </c>
      <c r="BF237" s="27">
        <f>237</f>
        <v>237</v>
      </c>
      <c r="BH237" s="27">
        <f>F237*AO237</f>
        <v>0</v>
      </c>
      <c r="BI237" s="27">
        <f>F237*AP237</f>
        <v>0</v>
      </c>
      <c r="BJ237" s="27">
        <f>F237*G237</f>
        <v>0</v>
      </c>
      <c r="BK237" s="30" t="s">
        <v>63</v>
      </c>
      <c r="BL237" s="27">
        <v>771</v>
      </c>
      <c r="BW237" s="27">
        <f>H237</f>
        <v>12</v>
      </c>
      <c r="BX237" s="5" t="s">
        <v>453</v>
      </c>
    </row>
    <row r="238" spans="1:76" x14ac:dyDescent="0.25">
      <c r="A238" s="31"/>
      <c r="C238" s="32" t="s">
        <v>454</v>
      </c>
      <c r="D238" s="32" t="s">
        <v>52</v>
      </c>
      <c r="F238" s="33">
        <v>7.76</v>
      </c>
      <c r="L238" s="34"/>
    </row>
    <row r="239" spans="1:76" x14ac:dyDescent="0.25">
      <c r="A239" s="2" t="s">
        <v>455</v>
      </c>
      <c r="B239" s="3" t="s">
        <v>456</v>
      </c>
      <c r="C239" s="84" t="s">
        <v>457</v>
      </c>
      <c r="D239" s="79"/>
      <c r="E239" s="3" t="s">
        <v>182</v>
      </c>
      <c r="F239" s="27">
        <v>0.29599999999999999</v>
      </c>
      <c r="G239" s="27">
        <v>0</v>
      </c>
      <c r="H239" s="28">
        <v>12</v>
      </c>
      <c r="I239" s="27">
        <f>ROUND(F239*AO239,2)</f>
        <v>0</v>
      </c>
      <c r="J239" s="27">
        <f>ROUND(F239*AP239,2)</f>
        <v>0</v>
      </c>
      <c r="K239" s="27">
        <f>ROUND(F239*G239,2)</f>
        <v>0</v>
      </c>
      <c r="L239" s="29" t="s">
        <v>59</v>
      </c>
      <c r="Z239" s="27">
        <f>ROUND(IF(AQ239="5",BJ239,0),2)</f>
        <v>0</v>
      </c>
      <c r="AB239" s="27">
        <f>ROUND(IF(AQ239="1",BH239,0),2)</f>
        <v>0</v>
      </c>
      <c r="AC239" s="27">
        <f>ROUND(IF(AQ239="1",BI239,0),2)</f>
        <v>0</v>
      </c>
      <c r="AD239" s="27">
        <f>ROUND(IF(AQ239="7",BH239,0),2)</f>
        <v>0</v>
      </c>
      <c r="AE239" s="27">
        <f>ROUND(IF(AQ239="7",BI239,0),2)</f>
        <v>0</v>
      </c>
      <c r="AF239" s="27">
        <f>ROUND(IF(AQ239="2",BH239,0),2)</f>
        <v>0</v>
      </c>
      <c r="AG239" s="27">
        <f>ROUND(IF(AQ239="2",BI239,0),2)</f>
        <v>0</v>
      </c>
      <c r="AH239" s="27">
        <f>ROUND(IF(AQ239="0",BJ239,0),2)</f>
        <v>0</v>
      </c>
      <c r="AI239" s="12" t="s">
        <v>52</v>
      </c>
      <c r="AJ239" s="27">
        <f>IF(AN239=0,K239,0)</f>
        <v>0</v>
      </c>
      <c r="AK239" s="27">
        <f>IF(AN239=12,K239,0)</f>
        <v>0</v>
      </c>
      <c r="AL239" s="27">
        <f>IF(AN239=21,K239,0)</f>
        <v>0</v>
      </c>
      <c r="AN239" s="27">
        <v>12</v>
      </c>
      <c r="AO239" s="27">
        <f>G239*0</f>
        <v>0</v>
      </c>
      <c r="AP239" s="27">
        <f>G239*(1-0)</f>
        <v>0</v>
      </c>
      <c r="AQ239" s="30" t="s">
        <v>93</v>
      </c>
      <c r="AV239" s="27">
        <f>ROUND(AW239+AX239,2)</f>
        <v>0</v>
      </c>
      <c r="AW239" s="27">
        <f>ROUND(F239*AO239,2)</f>
        <v>0</v>
      </c>
      <c r="AX239" s="27">
        <f>ROUND(F239*AP239,2)</f>
        <v>0</v>
      </c>
      <c r="AY239" s="30" t="s">
        <v>443</v>
      </c>
      <c r="AZ239" s="30" t="s">
        <v>444</v>
      </c>
      <c r="BA239" s="12" t="s">
        <v>62</v>
      </c>
      <c r="BC239" s="27">
        <f>AW239+AX239</f>
        <v>0</v>
      </c>
      <c r="BD239" s="27">
        <f>G239/(100-BE239)*100</f>
        <v>0</v>
      </c>
      <c r="BE239" s="27">
        <v>0</v>
      </c>
      <c r="BF239" s="27">
        <f>239</f>
        <v>239</v>
      </c>
      <c r="BH239" s="27">
        <f>F239*AO239</f>
        <v>0</v>
      </c>
      <c r="BI239" s="27">
        <f>F239*AP239</f>
        <v>0</v>
      </c>
      <c r="BJ239" s="27">
        <f>F239*G239</f>
        <v>0</v>
      </c>
      <c r="BK239" s="30" t="s">
        <v>63</v>
      </c>
      <c r="BL239" s="27">
        <v>771</v>
      </c>
      <c r="BW239" s="27">
        <f>H239</f>
        <v>12</v>
      </c>
      <c r="BX239" s="5" t="s">
        <v>457</v>
      </c>
    </row>
    <row r="240" spans="1:76" x14ac:dyDescent="0.25">
      <c r="A240" s="31"/>
      <c r="C240" s="32" t="s">
        <v>458</v>
      </c>
      <c r="D240" s="32" t="s">
        <v>52</v>
      </c>
      <c r="F240" s="33">
        <v>0.29599999999999999</v>
      </c>
      <c r="L240" s="34"/>
    </row>
    <row r="241" spans="1:76" x14ac:dyDescent="0.25">
      <c r="A241" s="37" t="s">
        <v>52</v>
      </c>
      <c r="B241" s="38" t="s">
        <v>459</v>
      </c>
      <c r="C241" s="103" t="s">
        <v>460</v>
      </c>
      <c r="D241" s="104"/>
      <c r="E241" s="39" t="s">
        <v>4</v>
      </c>
      <c r="F241" s="39" t="s">
        <v>4</v>
      </c>
      <c r="G241" s="39" t="s">
        <v>4</v>
      </c>
      <c r="H241" s="39" t="s">
        <v>4</v>
      </c>
      <c r="I241" s="1">
        <f>SUM(I242:I250)</f>
        <v>0</v>
      </c>
      <c r="J241" s="1">
        <f>SUM(J242:J250)</f>
        <v>0</v>
      </c>
      <c r="K241" s="1">
        <f>SUM(K242:K250)</f>
        <v>0</v>
      </c>
      <c r="L241" s="40" t="s">
        <v>52</v>
      </c>
      <c r="AI241" s="12" t="s">
        <v>52</v>
      </c>
      <c r="AS241" s="1">
        <f>SUM(AJ242:AJ250)</f>
        <v>0</v>
      </c>
      <c r="AT241" s="1">
        <f>SUM(AK242:AK250)</f>
        <v>0</v>
      </c>
      <c r="AU241" s="1">
        <f>SUM(AL242:AL250)</f>
        <v>0</v>
      </c>
    </row>
    <row r="242" spans="1:76" x14ac:dyDescent="0.25">
      <c r="A242" s="2" t="s">
        <v>461</v>
      </c>
      <c r="B242" s="3" t="s">
        <v>462</v>
      </c>
      <c r="C242" s="84" t="s">
        <v>463</v>
      </c>
      <c r="D242" s="79"/>
      <c r="E242" s="3" t="s">
        <v>78</v>
      </c>
      <c r="F242" s="27">
        <v>67.099999999999994</v>
      </c>
      <c r="G242" s="27">
        <v>0</v>
      </c>
      <c r="H242" s="28">
        <v>12</v>
      </c>
      <c r="I242" s="27">
        <f>ROUND(F242*AO242,2)</f>
        <v>0</v>
      </c>
      <c r="J242" s="27">
        <f>ROUND(F242*AP242,2)</f>
        <v>0</v>
      </c>
      <c r="K242" s="27">
        <f>ROUND(F242*G242,2)</f>
        <v>0</v>
      </c>
      <c r="L242" s="29" t="s">
        <v>59</v>
      </c>
      <c r="Z242" s="27">
        <f>ROUND(IF(AQ242="5",BJ242,0),2)</f>
        <v>0</v>
      </c>
      <c r="AB242" s="27">
        <f>ROUND(IF(AQ242="1",BH242,0),2)</f>
        <v>0</v>
      </c>
      <c r="AC242" s="27">
        <f>ROUND(IF(AQ242="1",BI242,0),2)</f>
        <v>0</v>
      </c>
      <c r="AD242" s="27">
        <f>ROUND(IF(AQ242="7",BH242,0),2)</f>
        <v>0</v>
      </c>
      <c r="AE242" s="27">
        <f>ROUND(IF(AQ242="7",BI242,0),2)</f>
        <v>0</v>
      </c>
      <c r="AF242" s="27">
        <f>ROUND(IF(AQ242="2",BH242,0),2)</f>
        <v>0</v>
      </c>
      <c r="AG242" s="27">
        <f>ROUND(IF(AQ242="2",BI242,0),2)</f>
        <v>0</v>
      </c>
      <c r="AH242" s="27">
        <f>ROUND(IF(AQ242="0",BJ242,0),2)</f>
        <v>0</v>
      </c>
      <c r="AI242" s="12" t="s">
        <v>52</v>
      </c>
      <c r="AJ242" s="27">
        <f>IF(AN242=0,K242,0)</f>
        <v>0</v>
      </c>
      <c r="AK242" s="27">
        <f>IF(AN242=12,K242,0)</f>
        <v>0</v>
      </c>
      <c r="AL242" s="27">
        <f>IF(AN242=21,K242,0)</f>
        <v>0</v>
      </c>
      <c r="AN242" s="27">
        <v>12</v>
      </c>
      <c r="AO242" s="27">
        <f>G242*0.649869544</f>
        <v>0</v>
      </c>
      <c r="AP242" s="27">
        <f>G242*(1-0.649869544)</f>
        <v>0</v>
      </c>
      <c r="AQ242" s="30" t="s">
        <v>104</v>
      </c>
      <c r="AV242" s="27">
        <f>ROUND(AW242+AX242,2)</f>
        <v>0</v>
      </c>
      <c r="AW242" s="27">
        <f>ROUND(F242*AO242,2)</f>
        <v>0</v>
      </c>
      <c r="AX242" s="27">
        <f>ROUND(F242*AP242,2)</f>
        <v>0</v>
      </c>
      <c r="AY242" s="30" t="s">
        <v>464</v>
      </c>
      <c r="AZ242" s="30" t="s">
        <v>444</v>
      </c>
      <c r="BA242" s="12" t="s">
        <v>62</v>
      </c>
      <c r="BC242" s="27">
        <f>AW242+AX242</f>
        <v>0</v>
      </c>
      <c r="BD242" s="27">
        <f>G242/(100-BE242)*100</f>
        <v>0</v>
      </c>
      <c r="BE242" s="27">
        <v>0</v>
      </c>
      <c r="BF242" s="27">
        <f>242</f>
        <v>242</v>
      </c>
      <c r="BH242" s="27">
        <f>F242*AO242</f>
        <v>0</v>
      </c>
      <c r="BI242" s="27">
        <f>F242*AP242</f>
        <v>0</v>
      </c>
      <c r="BJ242" s="27">
        <f>F242*G242</f>
        <v>0</v>
      </c>
      <c r="BK242" s="30" t="s">
        <v>63</v>
      </c>
      <c r="BL242" s="27">
        <v>776</v>
      </c>
      <c r="BW242" s="27">
        <f>H242</f>
        <v>12</v>
      </c>
      <c r="BX242" s="5" t="s">
        <v>463</v>
      </c>
    </row>
    <row r="243" spans="1:76" x14ac:dyDescent="0.25">
      <c r="A243" s="31"/>
      <c r="C243" s="32" t="s">
        <v>404</v>
      </c>
      <c r="D243" s="32" t="s">
        <v>465</v>
      </c>
      <c r="F243" s="33">
        <v>67.099999999999994</v>
      </c>
      <c r="L243" s="34"/>
    </row>
    <row r="244" spans="1:76" x14ac:dyDescent="0.25">
      <c r="A244" s="2" t="s">
        <v>466</v>
      </c>
      <c r="B244" s="3" t="s">
        <v>467</v>
      </c>
      <c r="C244" s="84" t="s">
        <v>468</v>
      </c>
      <c r="D244" s="79"/>
      <c r="E244" s="3" t="s">
        <v>89</v>
      </c>
      <c r="F244" s="27">
        <v>67.84</v>
      </c>
      <c r="G244" s="27">
        <v>0</v>
      </c>
      <c r="H244" s="28">
        <v>12</v>
      </c>
      <c r="I244" s="27">
        <f>ROUND(F244*AO244,2)</f>
        <v>0</v>
      </c>
      <c r="J244" s="27">
        <f>ROUND(F244*AP244,2)</f>
        <v>0</v>
      </c>
      <c r="K244" s="27">
        <f>ROUND(F244*G244,2)</f>
        <v>0</v>
      </c>
      <c r="L244" s="29" t="s">
        <v>59</v>
      </c>
      <c r="Z244" s="27">
        <f>ROUND(IF(AQ244="5",BJ244,0),2)</f>
        <v>0</v>
      </c>
      <c r="AB244" s="27">
        <f>ROUND(IF(AQ244="1",BH244,0),2)</f>
        <v>0</v>
      </c>
      <c r="AC244" s="27">
        <f>ROUND(IF(AQ244="1",BI244,0),2)</f>
        <v>0</v>
      </c>
      <c r="AD244" s="27">
        <f>ROUND(IF(AQ244="7",BH244,0),2)</f>
        <v>0</v>
      </c>
      <c r="AE244" s="27">
        <f>ROUND(IF(AQ244="7",BI244,0),2)</f>
        <v>0</v>
      </c>
      <c r="AF244" s="27">
        <f>ROUND(IF(AQ244="2",BH244,0),2)</f>
        <v>0</v>
      </c>
      <c r="AG244" s="27">
        <f>ROUND(IF(AQ244="2",BI244,0),2)</f>
        <v>0</v>
      </c>
      <c r="AH244" s="27">
        <f>ROUND(IF(AQ244="0",BJ244,0),2)</f>
        <v>0</v>
      </c>
      <c r="AI244" s="12" t="s">
        <v>52</v>
      </c>
      <c r="AJ244" s="27">
        <f>IF(AN244=0,K244,0)</f>
        <v>0</v>
      </c>
      <c r="AK244" s="27">
        <f>IF(AN244=12,K244,0)</f>
        <v>0</v>
      </c>
      <c r="AL244" s="27">
        <f>IF(AN244=21,K244,0)</f>
        <v>0</v>
      </c>
      <c r="AN244" s="27">
        <v>12</v>
      </c>
      <c r="AO244" s="27">
        <f>G244*0.304603268</f>
        <v>0</v>
      </c>
      <c r="AP244" s="27">
        <f>G244*(1-0.304603268)</f>
        <v>0</v>
      </c>
      <c r="AQ244" s="30" t="s">
        <v>104</v>
      </c>
      <c r="AV244" s="27">
        <f>ROUND(AW244+AX244,2)</f>
        <v>0</v>
      </c>
      <c r="AW244" s="27">
        <f>ROUND(F244*AO244,2)</f>
        <v>0</v>
      </c>
      <c r="AX244" s="27">
        <f>ROUND(F244*AP244,2)</f>
        <v>0</v>
      </c>
      <c r="AY244" s="30" t="s">
        <v>464</v>
      </c>
      <c r="AZ244" s="30" t="s">
        <v>444</v>
      </c>
      <c r="BA244" s="12" t="s">
        <v>62</v>
      </c>
      <c r="BC244" s="27">
        <f>AW244+AX244</f>
        <v>0</v>
      </c>
      <c r="BD244" s="27">
        <f>G244/(100-BE244)*100</f>
        <v>0</v>
      </c>
      <c r="BE244" s="27">
        <v>0</v>
      </c>
      <c r="BF244" s="27">
        <f>244</f>
        <v>244</v>
      </c>
      <c r="BH244" s="27">
        <f>F244*AO244</f>
        <v>0</v>
      </c>
      <c r="BI244" s="27">
        <f>F244*AP244</f>
        <v>0</v>
      </c>
      <c r="BJ244" s="27">
        <f>F244*G244</f>
        <v>0</v>
      </c>
      <c r="BK244" s="30" t="s">
        <v>63</v>
      </c>
      <c r="BL244" s="27">
        <v>776</v>
      </c>
      <c r="BW244" s="27">
        <f>H244</f>
        <v>12</v>
      </c>
      <c r="BX244" s="5" t="s">
        <v>468</v>
      </c>
    </row>
    <row r="245" spans="1:76" x14ac:dyDescent="0.25">
      <c r="A245" s="31"/>
      <c r="C245" s="32" t="s">
        <v>469</v>
      </c>
      <c r="D245" s="32" t="s">
        <v>387</v>
      </c>
      <c r="F245" s="33">
        <v>8.1</v>
      </c>
      <c r="L245" s="34"/>
    </row>
    <row r="246" spans="1:76" x14ac:dyDescent="0.25">
      <c r="A246" s="31"/>
      <c r="C246" s="32" t="s">
        <v>470</v>
      </c>
      <c r="D246" s="32" t="s">
        <v>389</v>
      </c>
      <c r="F246" s="33">
        <v>11.74</v>
      </c>
      <c r="L246" s="34"/>
    </row>
    <row r="247" spans="1:76" x14ac:dyDescent="0.25">
      <c r="A247" s="31"/>
      <c r="C247" s="32" t="s">
        <v>471</v>
      </c>
      <c r="D247" s="32" t="s">
        <v>395</v>
      </c>
      <c r="F247" s="33">
        <v>13.9</v>
      </c>
      <c r="L247" s="34"/>
    </row>
    <row r="248" spans="1:76" x14ac:dyDescent="0.25">
      <c r="A248" s="31"/>
      <c r="C248" s="32" t="s">
        <v>472</v>
      </c>
      <c r="D248" s="32" t="s">
        <v>391</v>
      </c>
      <c r="F248" s="33">
        <v>17.100000000000001</v>
      </c>
      <c r="L248" s="34"/>
    </row>
    <row r="249" spans="1:76" x14ac:dyDescent="0.25">
      <c r="A249" s="31"/>
      <c r="C249" s="32" t="s">
        <v>473</v>
      </c>
      <c r="D249" s="32" t="s">
        <v>393</v>
      </c>
      <c r="F249" s="33">
        <v>17</v>
      </c>
      <c r="L249" s="34"/>
    </row>
    <row r="250" spans="1:76" x14ac:dyDescent="0.25">
      <c r="A250" s="2" t="s">
        <v>474</v>
      </c>
      <c r="B250" s="3" t="s">
        <v>475</v>
      </c>
      <c r="C250" s="84" t="s">
        <v>476</v>
      </c>
      <c r="D250" s="79"/>
      <c r="E250" s="3" t="s">
        <v>182</v>
      </c>
      <c r="F250" s="27">
        <v>0.23699999999999999</v>
      </c>
      <c r="G250" s="27">
        <v>0</v>
      </c>
      <c r="H250" s="28">
        <v>12</v>
      </c>
      <c r="I250" s="27">
        <f>ROUND(F250*AO250,2)</f>
        <v>0</v>
      </c>
      <c r="J250" s="27">
        <f>ROUND(F250*AP250,2)</f>
        <v>0</v>
      </c>
      <c r="K250" s="27">
        <f>ROUND(F250*G250,2)</f>
        <v>0</v>
      </c>
      <c r="L250" s="29" t="s">
        <v>59</v>
      </c>
      <c r="Z250" s="27">
        <f>ROUND(IF(AQ250="5",BJ250,0),2)</f>
        <v>0</v>
      </c>
      <c r="AB250" s="27">
        <f>ROUND(IF(AQ250="1",BH250,0),2)</f>
        <v>0</v>
      </c>
      <c r="AC250" s="27">
        <f>ROUND(IF(AQ250="1",BI250,0),2)</f>
        <v>0</v>
      </c>
      <c r="AD250" s="27">
        <f>ROUND(IF(AQ250="7",BH250,0),2)</f>
        <v>0</v>
      </c>
      <c r="AE250" s="27">
        <f>ROUND(IF(AQ250="7",BI250,0),2)</f>
        <v>0</v>
      </c>
      <c r="AF250" s="27">
        <f>ROUND(IF(AQ250="2",BH250,0),2)</f>
        <v>0</v>
      </c>
      <c r="AG250" s="27">
        <f>ROUND(IF(AQ250="2",BI250,0),2)</f>
        <v>0</v>
      </c>
      <c r="AH250" s="27">
        <f>ROUND(IF(AQ250="0",BJ250,0),2)</f>
        <v>0</v>
      </c>
      <c r="AI250" s="12" t="s">
        <v>52</v>
      </c>
      <c r="AJ250" s="27">
        <f>IF(AN250=0,K250,0)</f>
        <v>0</v>
      </c>
      <c r="AK250" s="27">
        <f>IF(AN250=12,K250,0)</f>
        <v>0</v>
      </c>
      <c r="AL250" s="27">
        <f>IF(AN250=21,K250,0)</f>
        <v>0</v>
      </c>
      <c r="AN250" s="27">
        <v>12</v>
      </c>
      <c r="AO250" s="27">
        <f>G250*0</f>
        <v>0</v>
      </c>
      <c r="AP250" s="27">
        <f>G250*(1-0)</f>
        <v>0</v>
      </c>
      <c r="AQ250" s="30" t="s">
        <v>93</v>
      </c>
      <c r="AV250" s="27">
        <f>ROUND(AW250+AX250,2)</f>
        <v>0</v>
      </c>
      <c r="AW250" s="27">
        <f>ROUND(F250*AO250,2)</f>
        <v>0</v>
      </c>
      <c r="AX250" s="27">
        <f>ROUND(F250*AP250,2)</f>
        <v>0</v>
      </c>
      <c r="AY250" s="30" t="s">
        <v>464</v>
      </c>
      <c r="AZ250" s="30" t="s">
        <v>444</v>
      </c>
      <c r="BA250" s="12" t="s">
        <v>62</v>
      </c>
      <c r="BC250" s="27">
        <f>AW250+AX250</f>
        <v>0</v>
      </c>
      <c r="BD250" s="27">
        <f>G250/(100-BE250)*100</f>
        <v>0</v>
      </c>
      <c r="BE250" s="27">
        <v>0</v>
      </c>
      <c r="BF250" s="27">
        <f>250</f>
        <v>250</v>
      </c>
      <c r="BH250" s="27">
        <f>F250*AO250</f>
        <v>0</v>
      </c>
      <c r="BI250" s="27">
        <f>F250*AP250</f>
        <v>0</v>
      </c>
      <c r="BJ250" s="27">
        <f>F250*G250</f>
        <v>0</v>
      </c>
      <c r="BK250" s="30" t="s">
        <v>63</v>
      </c>
      <c r="BL250" s="27">
        <v>776</v>
      </c>
      <c r="BW250" s="27">
        <f>H250</f>
        <v>12</v>
      </c>
      <c r="BX250" s="5" t="s">
        <v>476</v>
      </c>
    </row>
    <row r="251" spans="1:76" x14ac:dyDescent="0.25">
      <c r="A251" s="31"/>
      <c r="C251" s="32" t="s">
        <v>477</v>
      </c>
      <c r="D251" s="32" t="s">
        <v>52</v>
      </c>
      <c r="F251" s="33">
        <v>0.23699999999999999</v>
      </c>
      <c r="L251" s="34"/>
    </row>
    <row r="252" spans="1:76" x14ac:dyDescent="0.25">
      <c r="A252" s="37" t="s">
        <v>52</v>
      </c>
      <c r="B252" s="38" t="s">
        <v>478</v>
      </c>
      <c r="C252" s="103" t="s">
        <v>479</v>
      </c>
      <c r="D252" s="104"/>
      <c r="E252" s="39" t="s">
        <v>4</v>
      </c>
      <c r="F252" s="39" t="s">
        <v>4</v>
      </c>
      <c r="G252" s="39" t="s">
        <v>4</v>
      </c>
      <c r="H252" s="39" t="s">
        <v>4</v>
      </c>
      <c r="I252" s="1">
        <f>SUM(I253:I261)</f>
        <v>0</v>
      </c>
      <c r="J252" s="1">
        <f>SUM(J253:J261)</f>
        <v>0</v>
      </c>
      <c r="K252" s="1">
        <f>SUM(K253:K261)</f>
        <v>0</v>
      </c>
      <c r="L252" s="40" t="s">
        <v>52</v>
      </c>
      <c r="AI252" s="12" t="s">
        <v>52</v>
      </c>
      <c r="AS252" s="1">
        <f>SUM(AJ253:AJ261)</f>
        <v>0</v>
      </c>
      <c r="AT252" s="1">
        <f>SUM(AK253:AK261)</f>
        <v>0</v>
      </c>
      <c r="AU252" s="1">
        <f>SUM(AL253:AL261)</f>
        <v>0</v>
      </c>
    </row>
    <row r="253" spans="1:76" x14ac:dyDescent="0.25">
      <c r="A253" s="2" t="s">
        <v>480</v>
      </c>
      <c r="B253" s="3" t="s">
        <v>481</v>
      </c>
      <c r="C253" s="84" t="s">
        <v>482</v>
      </c>
      <c r="D253" s="79"/>
      <c r="E253" s="3" t="s">
        <v>78</v>
      </c>
      <c r="F253" s="27">
        <v>19.32</v>
      </c>
      <c r="G253" s="27">
        <v>0</v>
      </c>
      <c r="H253" s="28">
        <v>12</v>
      </c>
      <c r="I253" s="27">
        <f>ROUND(F253*AO253,2)</f>
        <v>0</v>
      </c>
      <c r="J253" s="27">
        <f>ROUND(F253*AP253,2)</f>
        <v>0</v>
      </c>
      <c r="K253" s="27">
        <f>ROUND(F253*G253,2)</f>
        <v>0</v>
      </c>
      <c r="L253" s="29" t="s">
        <v>59</v>
      </c>
      <c r="Z253" s="27">
        <f>ROUND(IF(AQ253="5",BJ253,0),2)</f>
        <v>0</v>
      </c>
      <c r="AB253" s="27">
        <f>ROUND(IF(AQ253="1",BH253,0),2)</f>
        <v>0</v>
      </c>
      <c r="AC253" s="27">
        <f>ROUND(IF(AQ253="1",BI253,0),2)</f>
        <v>0</v>
      </c>
      <c r="AD253" s="27">
        <f>ROUND(IF(AQ253="7",BH253,0),2)</f>
        <v>0</v>
      </c>
      <c r="AE253" s="27">
        <f>ROUND(IF(AQ253="7",BI253,0),2)</f>
        <v>0</v>
      </c>
      <c r="AF253" s="27">
        <f>ROUND(IF(AQ253="2",BH253,0),2)</f>
        <v>0</v>
      </c>
      <c r="AG253" s="27">
        <f>ROUND(IF(AQ253="2",BI253,0),2)</f>
        <v>0</v>
      </c>
      <c r="AH253" s="27">
        <f>ROUND(IF(AQ253="0",BJ253,0),2)</f>
        <v>0</v>
      </c>
      <c r="AI253" s="12" t="s">
        <v>52</v>
      </c>
      <c r="AJ253" s="27">
        <f>IF(AN253=0,K253,0)</f>
        <v>0</v>
      </c>
      <c r="AK253" s="27">
        <f>IF(AN253=12,K253,0)</f>
        <v>0</v>
      </c>
      <c r="AL253" s="27">
        <f>IF(AN253=21,K253,0)</f>
        <v>0</v>
      </c>
      <c r="AN253" s="27">
        <v>12</v>
      </c>
      <c r="AO253" s="27">
        <f>G253*0</f>
        <v>0</v>
      </c>
      <c r="AP253" s="27">
        <f>G253*(1-0)</f>
        <v>0</v>
      </c>
      <c r="AQ253" s="30" t="s">
        <v>104</v>
      </c>
      <c r="AV253" s="27">
        <f>ROUND(AW253+AX253,2)</f>
        <v>0</v>
      </c>
      <c r="AW253" s="27">
        <f>ROUND(F253*AO253,2)</f>
        <v>0</v>
      </c>
      <c r="AX253" s="27">
        <f>ROUND(F253*AP253,2)</f>
        <v>0</v>
      </c>
      <c r="AY253" s="30" t="s">
        <v>483</v>
      </c>
      <c r="AZ253" s="30" t="s">
        <v>484</v>
      </c>
      <c r="BA253" s="12" t="s">
        <v>62</v>
      </c>
      <c r="BC253" s="27">
        <f>AW253+AX253</f>
        <v>0</v>
      </c>
      <c r="BD253" s="27">
        <f>G253/(100-BE253)*100</f>
        <v>0</v>
      </c>
      <c r="BE253" s="27">
        <v>0</v>
      </c>
      <c r="BF253" s="27">
        <f>253</f>
        <v>253</v>
      </c>
      <c r="BH253" s="27">
        <f>F253*AO253</f>
        <v>0</v>
      </c>
      <c r="BI253" s="27">
        <f>F253*AP253</f>
        <v>0</v>
      </c>
      <c r="BJ253" s="27">
        <f>F253*G253</f>
        <v>0</v>
      </c>
      <c r="BK253" s="30" t="s">
        <v>63</v>
      </c>
      <c r="BL253" s="27">
        <v>781</v>
      </c>
      <c r="BW253" s="27">
        <f>H253</f>
        <v>12</v>
      </c>
      <c r="BX253" s="5" t="s">
        <v>482</v>
      </c>
    </row>
    <row r="254" spans="1:76" x14ac:dyDescent="0.25">
      <c r="A254" s="31"/>
      <c r="C254" s="32" t="s">
        <v>485</v>
      </c>
      <c r="D254" s="32" t="s">
        <v>156</v>
      </c>
      <c r="F254" s="33">
        <v>15.52</v>
      </c>
      <c r="L254" s="34"/>
    </row>
    <row r="255" spans="1:76" x14ac:dyDescent="0.25">
      <c r="A255" s="31"/>
      <c r="C255" s="32" t="s">
        <v>486</v>
      </c>
      <c r="D255" s="32" t="s">
        <v>487</v>
      </c>
      <c r="F255" s="33">
        <v>3.8</v>
      </c>
      <c r="L255" s="34"/>
    </row>
    <row r="256" spans="1:76" ht="102" x14ac:dyDescent="0.25">
      <c r="A256" s="31"/>
      <c r="B256" s="35" t="s">
        <v>71</v>
      </c>
      <c r="C256" s="100" t="s">
        <v>488</v>
      </c>
      <c r="D256" s="101"/>
      <c r="E256" s="101"/>
      <c r="F256" s="101"/>
      <c r="G256" s="101"/>
      <c r="H256" s="101"/>
      <c r="I256" s="101"/>
      <c r="J256" s="101"/>
      <c r="K256" s="101"/>
      <c r="L256" s="102"/>
      <c r="BX256" s="36" t="s">
        <v>488</v>
      </c>
    </row>
    <row r="257" spans="1:76" x14ac:dyDescent="0.25">
      <c r="A257" s="2" t="s">
        <v>489</v>
      </c>
      <c r="B257" s="3" t="s">
        <v>490</v>
      </c>
      <c r="C257" s="84" t="s">
        <v>491</v>
      </c>
      <c r="D257" s="79"/>
      <c r="E257" s="3" t="s">
        <v>78</v>
      </c>
      <c r="F257" s="27">
        <v>20.479199999999999</v>
      </c>
      <c r="G257" s="27">
        <v>0</v>
      </c>
      <c r="H257" s="28">
        <v>12</v>
      </c>
      <c r="I257" s="27">
        <f>ROUND(F257*AO257,2)</f>
        <v>0</v>
      </c>
      <c r="J257" s="27">
        <f>ROUND(F257*AP257,2)</f>
        <v>0</v>
      </c>
      <c r="K257" s="27">
        <f>ROUND(F257*G257,2)</f>
        <v>0</v>
      </c>
      <c r="L257" s="29" t="s">
        <v>116</v>
      </c>
      <c r="Z257" s="27">
        <f>ROUND(IF(AQ257="5",BJ257,0),2)</f>
        <v>0</v>
      </c>
      <c r="AB257" s="27">
        <f>ROUND(IF(AQ257="1",BH257,0),2)</f>
        <v>0</v>
      </c>
      <c r="AC257" s="27">
        <f>ROUND(IF(AQ257="1",BI257,0),2)</f>
        <v>0</v>
      </c>
      <c r="AD257" s="27">
        <f>ROUND(IF(AQ257="7",BH257,0),2)</f>
        <v>0</v>
      </c>
      <c r="AE257" s="27">
        <f>ROUND(IF(AQ257="7",BI257,0),2)</f>
        <v>0</v>
      </c>
      <c r="AF257" s="27">
        <f>ROUND(IF(AQ257="2",BH257,0),2)</f>
        <v>0</v>
      </c>
      <c r="AG257" s="27">
        <f>ROUND(IF(AQ257="2",BI257,0),2)</f>
        <v>0</v>
      </c>
      <c r="AH257" s="27">
        <f>ROUND(IF(AQ257="0",BJ257,0),2)</f>
        <v>0</v>
      </c>
      <c r="AI257" s="12" t="s">
        <v>52</v>
      </c>
      <c r="AJ257" s="27">
        <f>IF(AN257=0,K257,0)</f>
        <v>0</v>
      </c>
      <c r="AK257" s="27">
        <f>IF(AN257=12,K257,0)</f>
        <v>0</v>
      </c>
      <c r="AL257" s="27">
        <f>IF(AN257=21,K257,0)</f>
        <v>0</v>
      </c>
      <c r="AN257" s="27">
        <v>12</v>
      </c>
      <c r="AO257" s="27">
        <f>G257*1</f>
        <v>0</v>
      </c>
      <c r="AP257" s="27">
        <f>G257*(1-1)</f>
        <v>0</v>
      </c>
      <c r="AQ257" s="30" t="s">
        <v>104</v>
      </c>
      <c r="AV257" s="27">
        <f>ROUND(AW257+AX257,2)</f>
        <v>0</v>
      </c>
      <c r="AW257" s="27">
        <f>ROUND(F257*AO257,2)</f>
        <v>0</v>
      </c>
      <c r="AX257" s="27">
        <f>ROUND(F257*AP257,2)</f>
        <v>0</v>
      </c>
      <c r="AY257" s="30" t="s">
        <v>483</v>
      </c>
      <c r="AZ257" s="30" t="s">
        <v>484</v>
      </c>
      <c r="BA257" s="12" t="s">
        <v>62</v>
      </c>
      <c r="BC257" s="27">
        <f>AW257+AX257</f>
        <v>0</v>
      </c>
      <c r="BD257" s="27">
        <f>G257/(100-BE257)*100</f>
        <v>0</v>
      </c>
      <c r="BE257" s="27">
        <v>0</v>
      </c>
      <c r="BF257" s="27">
        <f>257</f>
        <v>257</v>
      </c>
      <c r="BH257" s="27">
        <f>F257*AO257</f>
        <v>0</v>
      </c>
      <c r="BI257" s="27">
        <f>F257*AP257</f>
        <v>0</v>
      </c>
      <c r="BJ257" s="27">
        <f>F257*G257</f>
        <v>0</v>
      </c>
      <c r="BK257" s="30" t="s">
        <v>134</v>
      </c>
      <c r="BL257" s="27">
        <v>781</v>
      </c>
      <c r="BW257" s="27">
        <f>H257</f>
        <v>12</v>
      </c>
      <c r="BX257" s="5" t="s">
        <v>491</v>
      </c>
    </row>
    <row r="258" spans="1:76" x14ac:dyDescent="0.25">
      <c r="A258" s="31"/>
      <c r="C258" s="32" t="s">
        <v>492</v>
      </c>
      <c r="D258" s="32" t="s">
        <v>52</v>
      </c>
      <c r="F258" s="33">
        <v>19.32</v>
      </c>
      <c r="L258" s="34"/>
    </row>
    <row r="259" spans="1:76" x14ac:dyDescent="0.25">
      <c r="A259" s="31"/>
      <c r="C259" s="32" t="s">
        <v>493</v>
      </c>
      <c r="D259" s="32" t="s">
        <v>52</v>
      </c>
      <c r="F259" s="33">
        <v>1.1592</v>
      </c>
      <c r="L259" s="34"/>
    </row>
    <row r="260" spans="1:76" x14ac:dyDescent="0.25">
      <c r="A260" s="31"/>
      <c r="B260" s="35" t="s">
        <v>71</v>
      </c>
      <c r="C260" s="100" t="s">
        <v>494</v>
      </c>
      <c r="D260" s="101"/>
      <c r="E260" s="101"/>
      <c r="F260" s="101"/>
      <c r="G260" s="101"/>
      <c r="H260" s="101"/>
      <c r="I260" s="101"/>
      <c r="J260" s="101"/>
      <c r="K260" s="101"/>
      <c r="L260" s="102"/>
      <c r="BX260" s="36" t="s">
        <v>494</v>
      </c>
    </row>
    <row r="261" spans="1:76" x14ac:dyDescent="0.25">
      <c r="A261" s="2" t="s">
        <v>495</v>
      </c>
      <c r="B261" s="3" t="s">
        <v>496</v>
      </c>
      <c r="C261" s="84" t="s">
        <v>497</v>
      </c>
      <c r="D261" s="79"/>
      <c r="E261" s="3" t="s">
        <v>182</v>
      </c>
      <c r="F261" s="27">
        <v>0.215</v>
      </c>
      <c r="G261" s="27">
        <v>0</v>
      </c>
      <c r="H261" s="28">
        <v>12</v>
      </c>
      <c r="I261" s="27">
        <f>ROUND(F261*AO261,2)</f>
        <v>0</v>
      </c>
      <c r="J261" s="27">
        <f>ROUND(F261*AP261,2)</f>
        <v>0</v>
      </c>
      <c r="K261" s="27">
        <f>ROUND(F261*G261,2)</f>
        <v>0</v>
      </c>
      <c r="L261" s="29" t="s">
        <v>59</v>
      </c>
      <c r="Z261" s="27">
        <f>ROUND(IF(AQ261="5",BJ261,0),2)</f>
        <v>0</v>
      </c>
      <c r="AB261" s="27">
        <f>ROUND(IF(AQ261="1",BH261,0),2)</f>
        <v>0</v>
      </c>
      <c r="AC261" s="27">
        <f>ROUND(IF(AQ261="1",BI261,0),2)</f>
        <v>0</v>
      </c>
      <c r="AD261" s="27">
        <f>ROUND(IF(AQ261="7",BH261,0),2)</f>
        <v>0</v>
      </c>
      <c r="AE261" s="27">
        <f>ROUND(IF(AQ261="7",BI261,0),2)</f>
        <v>0</v>
      </c>
      <c r="AF261" s="27">
        <f>ROUND(IF(AQ261="2",BH261,0),2)</f>
        <v>0</v>
      </c>
      <c r="AG261" s="27">
        <f>ROUND(IF(AQ261="2",BI261,0),2)</f>
        <v>0</v>
      </c>
      <c r="AH261" s="27">
        <f>ROUND(IF(AQ261="0",BJ261,0),2)</f>
        <v>0</v>
      </c>
      <c r="AI261" s="12" t="s">
        <v>52</v>
      </c>
      <c r="AJ261" s="27">
        <f>IF(AN261=0,K261,0)</f>
        <v>0</v>
      </c>
      <c r="AK261" s="27">
        <f>IF(AN261=12,K261,0)</f>
        <v>0</v>
      </c>
      <c r="AL261" s="27">
        <f>IF(AN261=21,K261,0)</f>
        <v>0</v>
      </c>
      <c r="AN261" s="27">
        <v>12</v>
      </c>
      <c r="AO261" s="27">
        <f>G261*0</f>
        <v>0</v>
      </c>
      <c r="AP261" s="27">
        <f>G261*(1-0)</f>
        <v>0</v>
      </c>
      <c r="AQ261" s="30" t="s">
        <v>93</v>
      </c>
      <c r="AV261" s="27">
        <f>ROUND(AW261+AX261,2)</f>
        <v>0</v>
      </c>
      <c r="AW261" s="27">
        <f>ROUND(F261*AO261,2)</f>
        <v>0</v>
      </c>
      <c r="AX261" s="27">
        <f>ROUND(F261*AP261,2)</f>
        <v>0</v>
      </c>
      <c r="AY261" s="30" t="s">
        <v>483</v>
      </c>
      <c r="AZ261" s="30" t="s">
        <v>484</v>
      </c>
      <c r="BA261" s="12" t="s">
        <v>62</v>
      </c>
      <c r="BC261" s="27">
        <f>AW261+AX261</f>
        <v>0</v>
      </c>
      <c r="BD261" s="27">
        <f>G261/(100-BE261)*100</f>
        <v>0</v>
      </c>
      <c r="BE261" s="27">
        <v>0</v>
      </c>
      <c r="BF261" s="27">
        <f>261</f>
        <v>261</v>
      </c>
      <c r="BH261" s="27">
        <f>F261*AO261</f>
        <v>0</v>
      </c>
      <c r="BI261" s="27">
        <f>F261*AP261</f>
        <v>0</v>
      </c>
      <c r="BJ261" s="27">
        <f>F261*G261</f>
        <v>0</v>
      </c>
      <c r="BK261" s="30" t="s">
        <v>63</v>
      </c>
      <c r="BL261" s="27">
        <v>781</v>
      </c>
      <c r="BW261" s="27">
        <f>H261</f>
        <v>12</v>
      </c>
      <c r="BX261" s="5" t="s">
        <v>497</v>
      </c>
    </row>
    <row r="262" spans="1:76" x14ac:dyDescent="0.25">
      <c r="A262" s="31"/>
      <c r="C262" s="32" t="s">
        <v>498</v>
      </c>
      <c r="D262" s="32" t="s">
        <v>52</v>
      </c>
      <c r="F262" s="33">
        <v>0.215</v>
      </c>
      <c r="L262" s="34"/>
    </row>
    <row r="263" spans="1:76" x14ac:dyDescent="0.25">
      <c r="A263" s="37" t="s">
        <v>52</v>
      </c>
      <c r="B263" s="38" t="s">
        <v>499</v>
      </c>
      <c r="C263" s="103" t="s">
        <v>500</v>
      </c>
      <c r="D263" s="104"/>
      <c r="E263" s="39" t="s">
        <v>4</v>
      </c>
      <c r="F263" s="39" t="s">
        <v>4</v>
      </c>
      <c r="G263" s="39" t="s">
        <v>4</v>
      </c>
      <c r="H263" s="39" t="s">
        <v>4</v>
      </c>
      <c r="I263" s="1">
        <f>SUM(I264:I271)</f>
        <v>0</v>
      </c>
      <c r="J263" s="1">
        <f>SUM(J264:J271)</f>
        <v>0</v>
      </c>
      <c r="K263" s="1">
        <f>SUM(K264:K271)</f>
        <v>0</v>
      </c>
      <c r="L263" s="40" t="s">
        <v>52</v>
      </c>
      <c r="AI263" s="12" t="s">
        <v>52</v>
      </c>
      <c r="AS263" s="1">
        <f>SUM(AJ264:AJ271)</f>
        <v>0</v>
      </c>
      <c r="AT263" s="1">
        <f>SUM(AK264:AK271)</f>
        <v>0</v>
      </c>
      <c r="AU263" s="1">
        <f>SUM(AL264:AL271)</f>
        <v>0</v>
      </c>
    </row>
    <row r="264" spans="1:76" x14ac:dyDescent="0.25">
      <c r="A264" s="2" t="s">
        <v>501</v>
      </c>
      <c r="B264" s="3" t="s">
        <v>502</v>
      </c>
      <c r="C264" s="84" t="s">
        <v>503</v>
      </c>
      <c r="D264" s="79"/>
      <c r="E264" s="3" t="s">
        <v>78</v>
      </c>
      <c r="F264" s="27">
        <v>195.36</v>
      </c>
      <c r="G264" s="27">
        <v>0</v>
      </c>
      <c r="H264" s="28">
        <v>12</v>
      </c>
      <c r="I264" s="27">
        <f>ROUND(F264*AO264,2)</f>
        <v>0</v>
      </c>
      <c r="J264" s="27">
        <f>ROUND(F264*AP264,2)</f>
        <v>0</v>
      </c>
      <c r="K264" s="27">
        <f>ROUND(F264*G264,2)</f>
        <v>0</v>
      </c>
      <c r="L264" s="29" t="s">
        <v>59</v>
      </c>
      <c r="Z264" s="27">
        <f>ROUND(IF(AQ264="5",BJ264,0),2)</f>
        <v>0</v>
      </c>
      <c r="AB264" s="27">
        <f>ROUND(IF(AQ264="1",BH264,0),2)</f>
        <v>0</v>
      </c>
      <c r="AC264" s="27">
        <f>ROUND(IF(AQ264="1",BI264,0),2)</f>
        <v>0</v>
      </c>
      <c r="AD264" s="27">
        <f>ROUND(IF(AQ264="7",BH264,0),2)</f>
        <v>0</v>
      </c>
      <c r="AE264" s="27">
        <f>ROUND(IF(AQ264="7",BI264,0),2)</f>
        <v>0</v>
      </c>
      <c r="AF264" s="27">
        <f>ROUND(IF(AQ264="2",BH264,0),2)</f>
        <v>0</v>
      </c>
      <c r="AG264" s="27">
        <f>ROUND(IF(AQ264="2",BI264,0),2)</f>
        <v>0</v>
      </c>
      <c r="AH264" s="27">
        <f>ROUND(IF(AQ264="0",BJ264,0),2)</f>
        <v>0</v>
      </c>
      <c r="AI264" s="12" t="s">
        <v>52</v>
      </c>
      <c r="AJ264" s="27">
        <f>IF(AN264=0,K264,0)</f>
        <v>0</v>
      </c>
      <c r="AK264" s="27">
        <f>IF(AN264=12,K264,0)</f>
        <v>0</v>
      </c>
      <c r="AL264" s="27">
        <f>IF(AN264=21,K264,0)</f>
        <v>0</v>
      </c>
      <c r="AN264" s="27">
        <v>12</v>
      </c>
      <c r="AO264" s="27">
        <f>G264*0.002320719</f>
        <v>0</v>
      </c>
      <c r="AP264" s="27">
        <f>G264*(1-0.002320719)</f>
        <v>0</v>
      </c>
      <c r="AQ264" s="30" t="s">
        <v>104</v>
      </c>
      <c r="AV264" s="27">
        <f>ROUND(AW264+AX264,2)</f>
        <v>0</v>
      </c>
      <c r="AW264" s="27">
        <f>ROUND(F264*AO264,2)</f>
        <v>0</v>
      </c>
      <c r="AX264" s="27">
        <f>ROUND(F264*AP264,2)</f>
        <v>0</v>
      </c>
      <c r="AY264" s="30" t="s">
        <v>504</v>
      </c>
      <c r="AZ264" s="30" t="s">
        <v>484</v>
      </c>
      <c r="BA264" s="12" t="s">
        <v>62</v>
      </c>
      <c r="BC264" s="27">
        <f>AW264+AX264</f>
        <v>0</v>
      </c>
      <c r="BD264" s="27">
        <f>G264/(100-BE264)*100</f>
        <v>0</v>
      </c>
      <c r="BE264" s="27">
        <v>0</v>
      </c>
      <c r="BF264" s="27">
        <f>264</f>
        <v>264</v>
      </c>
      <c r="BH264" s="27">
        <f>F264*AO264</f>
        <v>0</v>
      </c>
      <c r="BI264" s="27">
        <f>F264*AP264</f>
        <v>0</v>
      </c>
      <c r="BJ264" s="27">
        <f>F264*G264</f>
        <v>0</v>
      </c>
      <c r="BK264" s="30" t="s">
        <v>63</v>
      </c>
      <c r="BL264" s="27">
        <v>784</v>
      </c>
      <c r="BW264" s="27">
        <f>H264</f>
        <v>12</v>
      </c>
      <c r="BX264" s="5" t="s">
        <v>503</v>
      </c>
    </row>
    <row r="265" spans="1:76" x14ac:dyDescent="0.25">
      <c r="A265" s="31"/>
      <c r="C265" s="32" t="s">
        <v>505</v>
      </c>
      <c r="D265" s="32" t="s">
        <v>52</v>
      </c>
      <c r="F265" s="33">
        <v>145.80000000000001</v>
      </c>
      <c r="L265" s="34"/>
    </row>
    <row r="266" spans="1:76" x14ac:dyDescent="0.25">
      <c r="A266" s="31"/>
      <c r="C266" s="32" t="s">
        <v>506</v>
      </c>
      <c r="D266" s="32" t="s">
        <v>52</v>
      </c>
      <c r="F266" s="33">
        <v>49.56</v>
      </c>
      <c r="L266" s="34"/>
    </row>
    <row r="267" spans="1:76" ht="25.5" x14ac:dyDescent="0.25">
      <c r="A267" s="31"/>
      <c r="B267" s="35" t="s">
        <v>71</v>
      </c>
      <c r="C267" s="100" t="s">
        <v>507</v>
      </c>
      <c r="D267" s="101"/>
      <c r="E267" s="101"/>
      <c r="F267" s="101"/>
      <c r="G267" s="101"/>
      <c r="H267" s="101"/>
      <c r="I267" s="101"/>
      <c r="J267" s="101"/>
      <c r="K267" s="101"/>
      <c r="L267" s="102"/>
      <c r="BX267" s="36" t="s">
        <v>507</v>
      </c>
    </row>
    <row r="268" spans="1:76" x14ac:dyDescent="0.25">
      <c r="A268" s="2" t="s">
        <v>508</v>
      </c>
      <c r="B268" s="3" t="s">
        <v>509</v>
      </c>
      <c r="C268" s="84" t="s">
        <v>510</v>
      </c>
      <c r="D268" s="79"/>
      <c r="E268" s="3" t="s">
        <v>78</v>
      </c>
      <c r="F268" s="27">
        <v>260.44</v>
      </c>
      <c r="G268" s="27">
        <v>0</v>
      </c>
      <c r="H268" s="28">
        <v>12</v>
      </c>
      <c r="I268" s="27">
        <f>ROUND(F268*AO268,2)</f>
        <v>0</v>
      </c>
      <c r="J268" s="27">
        <f>ROUND(F268*AP268,2)</f>
        <v>0</v>
      </c>
      <c r="K268" s="27">
        <f>ROUND(F268*G268,2)</f>
        <v>0</v>
      </c>
      <c r="L268" s="29" t="s">
        <v>59</v>
      </c>
      <c r="Z268" s="27">
        <f>ROUND(IF(AQ268="5",BJ268,0),2)</f>
        <v>0</v>
      </c>
      <c r="AB268" s="27">
        <f>ROUND(IF(AQ268="1",BH268,0),2)</f>
        <v>0</v>
      </c>
      <c r="AC268" s="27">
        <f>ROUND(IF(AQ268="1",BI268,0),2)</f>
        <v>0</v>
      </c>
      <c r="AD268" s="27">
        <f>ROUND(IF(AQ268="7",BH268,0),2)</f>
        <v>0</v>
      </c>
      <c r="AE268" s="27">
        <f>ROUND(IF(AQ268="7",BI268,0),2)</f>
        <v>0</v>
      </c>
      <c r="AF268" s="27">
        <f>ROUND(IF(AQ268="2",BH268,0),2)</f>
        <v>0</v>
      </c>
      <c r="AG268" s="27">
        <f>ROUND(IF(AQ268="2",BI268,0),2)</f>
        <v>0</v>
      </c>
      <c r="AH268" s="27">
        <f>ROUND(IF(AQ268="0",BJ268,0),2)</f>
        <v>0</v>
      </c>
      <c r="AI268" s="12" t="s">
        <v>52</v>
      </c>
      <c r="AJ268" s="27">
        <f>IF(AN268=0,K268,0)</f>
        <v>0</v>
      </c>
      <c r="AK268" s="27">
        <f>IF(AN268=12,K268,0)</f>
        <v>0</v>
      </c>
      <c r="AL268" s="27">
        <f>IF(AN268=21,K268,0)</f>
        <v>0</v>
      </c>
      <c r="AN268" s="27">
        <v>12</v>
      </c>
      <c r="AO268" s="27">
        <f>G268*0.284676438</f>
        <v>0</v>
      </c>
      <c r="AP268" s="27">
        <f>G268*(1-0.284676438)</f>
        <v>0</v>
      </c>
      <c r="AQ268" s="30" t="s">
        <v>104</v>
      </c>
      <c r="AV268" s="27">
        <f>ROUND(AW268+AX268,2)</f>
        <v>0</v>
      </c>
      <c r="AW268" s="27">
        <f>ROUND(F268*AO268,2)</f>
        <v>0</v>
      </c>
      <c r="AX268" s="27">
        <f>ROUND(F268*AP268,2)</f>
        <v>0</v>
      </c>
      <c r="AY268" s="30" t="s">
        <v>504</v>
      </c>
      <c r="AZ268" s="30" t="s">
        <v>484</v>
      </c>
      <c r="BA268" s="12" t="s">
        <v>62</v>
      </c>
      <c r="BC268" s="27">
        <f>AW268+AX268</f>
        <v>0</v>
      </c>
      <c r="BD268" s="27">
        <f>G268/(100-BE268)*100</f>
        <v>0</v>
      </c>
      <c r="BE268" s="27">
        <v>0</v>
      </c>
      <c r="BF268" s="27">
        <f>268</f>
        <v>268</v>
      </c>
      <c r="BH268" s="27">
        <f>F268*AO268</f>
        <v>0</v>
      </c>
      <c r="BI268" s="27">
        <f>F268*AP268</f>
        <v>0</v>
      </c>
      <c r="BJ268" s="27">
        <f>F268*G268</f>
        <v>0</v>
      </c>
      <c r="BK268" s="30" t="s">
        <v>63</v>
      </c>
      <c r="BL268" s="27">
        <v>784</v>
      </c>
      <c r="BW268" s="27">
        <f>H268</f>
        <v>12</v>
      </c>
      <c r="BX268" s="5" t="s">
        <v>510</v>
      </c>
    </row>
    <row r="269" spans="1:76" x14ac:dyDescent="0.25">
      <c r="A269" s="31"/>
      <c r="C269" s="32" t="s">
        <v>511</v>
      </c>
      <c r="D269" s="32" t="s">
        <v>512</v>
      </c>
      <c r="F269" s="33">
        <v>189.64</v>
      </c>
      <c r="L269" s="34"/>
    </row>
    <row r="270" spans="1:76" x14ac:dyDescent="0.25">
      <c r="A270" s="31"/>
      <c r="C270" s="32" t="s">
        <v>513</v>
      </c>
      <c r="D270" s="32" t="s">
        <v>514</v>
      </c>
      <c r="F270" s="33">
        <v>70.8</v>
      </c>
      <c r="L270" s="34"/>
    </row>
    <row r="271" spans="1:76" x14ac:dyDescent="0.25">
      <c r="A271" s="2" t="s">
        <v>515</v>
      </c>
      <c r="B271" s="3" t="s">
        <v>516</v>
      </c>
      <c r="C271" s="84" t="s">
        <v>517</v>
      </c>
      <c r="D271" s="79"/>
      <c r="E271" s="3" t="s">
        <v>78</v>
      </c>
      <c r="F271" s="27">
        <v>260.44</v>
      </c>
      <c r="G271" s="27">
        <v>0</v>
      </c>
      <c r="H271" s="28">
        <v>12</v>
      </c>
      <c r="I271" s="27">
        <f>ROUND(F271*AO271,2)</f>
        <v>0</v>
      </c>
      <c r="J271" s="27">
        <f>ROUND(F271*AP271,2)</f>
        <v>0</v>
      </c>
      <c r="K271" s="27">
        <f>ROUND(F271*G271,2)</f>
        <v>0</v>
      </c>
      <c r="L271" s="29" t="s">
        <v>59</v>
      </c>
      <c r="Z271" s="27">
        <f>ROUND(IF(AQ271="5",BJ271,0),2)</f>
        <v>0</v>
      </c>
      <c r="AB271" s="27">
        <f>ROUND(IF(AQ271="1",BH271,0),2)</f>
        <v>0</v>
      </c>
      <c r="AC271" s="27">
        <f>ROUND(IF(AQ271="1",BI271,0),2)</f>
        <v>0</v>
      </c>
      <c r="AD271" s="27">
        <f>ROUND(IF(AQ271="7",BH271,0),2)</f>
        <v>0</v>
      </c>
      <c r="AE271" s="27">
        <f>ROUND(IF(AQ271="7",BI271,0),2)</f>
        <v>0</v>
      </c>
      <c r="AF271" s="27">
        <f>ROUND(IF(AQ271="2",BH271,0),2)</f>
        <v>0</v>
      </c>
      <c r="AG271" s="27">
        <f>ROUND(IF(AQ271="2",BI271,0),2)</f>
        <v>0</v>
      </c>
      <c r="AH271" s="27">
        <f>ROUND(IF(AQ271="0",BJ271,0),2)</f>
        <v>0</v>
      </c>
      <c r="AI271" s="12" t="s">
        <v>52</v>
      </c>
      <c r="AJ271" s="27">
        <f>IF(AN271=0,K271,0)</f>
        <v>0</v>
      </c>
      <c r="AK271" s="27">
        <f>IF(AN271=12,K271,0)</f>
        <v>0</v>
      </c>
      <c r="AL271" s="27">
        <f>IF(AN271=21,K271,0)</f>
        <v>0</v>
      </c>
      <c r="AN271" s="27">
        <v>12</v>
      </c>
      <c r="AO271" s="27">
        <f>G271*0.194666834</f>
        <v>0</v>
      </c>
      <c r="AP271" s="27">
        <f>G271*(1-0.194666834)</f>
        <v>0</v>
      </c>
      <c r="AQ271" s="30" t="s">
        <v>104</v>
      </c>
      <c r="AV271" s="27">
        <f>ROUND(AW271+AX271,2)</f>
        <v>0</v>
      </c>
      <c r="AW271" s="27">
        <f>ROUND(F271*AO271,2)</f>
        <v>0</v>
      </c>
      <c r="AX271" s="27">
        <f>ROUND(F271*AP271,2)</f>
        <v>0</v>
      </c>
      <c r="AY271" s="30" t="s">
        <v>504</v>
      </c>
      <c r="AZ271" s="30" t="s">
        <v>484</v>
      </c>
      <c r="BA271" s="12" t="s">
        <v>62</v>
      </c>
      <c r="BC271" s="27">
        <f>AW271+AX271</f>
        <v>0</v>
      </c>
      <c r="BD271" s="27">
        <f>G271/(100-BE271)*100</f>
        <v>0</v>
      </c>
      <c r="BE271" s="27">
        <v>0</v>
      </c>
      <c r="BF271" s="27">
        <f>271</f>
        <v>271</v>
      </c>
      <c r="BH271" s="27">
        <f>F271*AO271</f>
        <v>0</v>
      </c>
      <c r="BI271" s="27">
        <f>F271*AP271</f>
        <v>0</v>
      </c>
      <c r="BJ271" s="27">
        <f>F271*G271</f>
        <v>0</v>
      </c>
      <c r="BK271" s="30" t="s">
        <v>63</v>
      </c>
      <c r="BL271" s="27">
        <v>784</v>
      </c>
      <c r="BW271" s="27">
        <f>H271</f>
        <v>12</v>
      </c>
      <c r="BX271" s="5" t="s">
        <v>517</v>
      </c>
    </row>
    <row r="272" spans="1:76" x14ac:dyDescent="0.25">
      <c r="A272" s="31"/>
      <c r="C272" s="32" t="s">
        <v>518</v>
      </c>
      <c r="D272" s="32" t="s">
        <v>52</v>
      </c>
      <c r="F272" s="33">
        <v>260.44</v>
      </c>
      <c r="L272" s="34"/>
    </row>
    <row r="273" spans="1:76" x14ac:dyDescent="0.25">
      <c r="A273" s="37" t="s">
        <v>52</v>
      </c>
      <c r="B273" s="38" t="s">
        <v>466</v>
      </c>
      <c r="C273" s="103" t="s">
        <v>519</v>
      </c>
      <c r="D273" s="104"/>
      <c r="E273" s="39" t="s">
        <v>4</v>
      </c>
      <c r="F273" s="39" t="s">
        <v>4</v>
      </c>
      <c r="G273" s="39" t="s">
        <v>4</v>
      </c>
      <c r="H273" s="39" t="s">
        <v>4</v>
      </c>
      <c r="I273" s="1">
        <f>SUM(I274:I274)</f>
        <v>0</v>
      </c>
      <c r="J273" s="1">
        <f>SUM(J274:J274)</f>
        <v>0</v>
      </c>
      <c r="K273" s="1">
        <f>SUM(K274:K274)</f>
        <v>0</v>
      </c>
      <c r="L273" s="40" t="s">
        <v>52</v>
      </c>
      <c r="AI273" s="12" t="s">
        <v>52</v>
      </c>
      <c r="AS273" s="1">
        <f>SUM(AJ274:AJ274)</f>
        <v>0</v>
      </c>
      <c r="AT273" s="1">
        <f>SUM(AK274:AK274)</f>
        <v>0</v>
      </c>
      <c r="AU273" s="1">
        <f>SUM(AL274:AL274)</f>
        <v>0</v>
      </c>
    </row>
    <row r="274" spans="1:76" x14ac:dyDescent="0.25">
      <c r="A274" s="2" t="s">
        <v>520</v>
      </c>
      <c r="B274" s="3" t="s">
        <v>521</v>
      </c>
      <c r="C274" s="84" t="s">
        <v>522</v>
      </c>
      <c r="D274" s="79"/>
      <c r="E274" s="3" t="s">
        <v>523</v>
      </c>
      <c r="F274" s="27">
        <v>24</v>
      </c>
      <c r="G274" s="27">
        <v>0</v>
      </c>
      <c r="H274" s="28">
        <v>12</v>
      </c>
      <c r="I274" s="27">
        <f>ROUND(F274*AO274,2)</f>
        <v>0</v>
      </c>
      <c r="J274" s="27">
        <f>ROUND(F274*AP274,2)</f>
        <v>0</v>
      </c>
      <c r="K274" s="27">
        <f>ROUND(F274*G274,2)</f>
        <v>0</v>
      </c>
      <c r="L274" s="29" t="s">
        <v>59</v>
      </c>
      <c r="Z274" s="27">
        <f>ROUND(IF(AQ274="5",BJ274,0),2)</f>
        <v>0</v>
      </c>
      <c r="AB274" s="27">
        <f>ROUND(IF(AQ274="1",BH274,0),2)</f>
        <v>0</v>
      </c>
      <c r="AC274" s="27">
        <f>ROUND(IF(AQ274="1",BI274,0),2)</f>
        <v>0</v>
      </c>
      <c r="AD274" s="27">
        <f>ROUND(IF(AQ274="7",BH274,0),2)</f>
        <v>0</v>
      </c>
      <c r="AE274" s="27">
        <f>ROUND(IF(AQ274="7",BI274,0),2)</f>
        <v>0</v>
      </c>
      <c r="AF274" s="27">
        <f>ROUND(IF(AQ274="2",BH274,0),2)</f>
        <v>0</v>
      </c>
      <c r="AG274" s="27">
        <f>ROUND(IF(AQ274="2",BI274,0),2)</f>
        <v>0</v>
      </c>
      <c r="AH274" s="27">
        <f>ROUND(IF(AQ274="0",BJ274,0),2)</f>
        <v>0</v>
      </c>
      <c r="AI274" s="12" t="s">
        <v>52</v>
      </c>
      <c r="AJ274" s="27">
        <f>IF(AN274=0,K274,0)</f>
        <v>0</v>
      </c>
      <c r="AK274" s="27">
        <f>IF(AN274=12,K274,0)</f>
        <v>0</v>
      </c>
      <c r="AL274" s="27">
        <f>IF(AN274=21,K274,0)</f>
        <v>0</v>
      </c>
      <c r="AN274" s="27">
        <v>12</v>
      </c>
      <c r="AO274" s="27">
        <f>G274*0</f>
        <v>0</v>
      </c>
      <c r="AP274" s="27">
        <f>G274*(1-0)</f>
        <v>0</v>
      </c>
      <c r="AQ274" s="30" t="s">
        <v>55</v>
      </c>
      <c r="AV274" s="27">
        <f>ROUND(AW274+AX274,2)</f>
        <v>0</v>
      </c>
      <c r="AW274" s="27">
        <f>ROUND(F274*AO274,2)</f>
        <v>0</v>
      </c>
      <c r="AX274" s="27">
        <f>ROUND(F274*AP274,2)</f>
        <v>0</v>
      </c>
      <c r="AY274" s="30" t="s">
        <v>524</v>
      </c>
      <c r="AZ274" s="30" t="s">
        <v>525</v>
      </c>
      <c r="BA274" s="12" t="s">
        <v>62</v>
      </c>
      <c r="BC274" s="27">
        <f>AW274+AX274</f>
        <v>0</v>
      </c>
      <c r="BD274" s="27">
        <f>G274/(100-BE274)*100</f>
        <v>0</v>
      </c>
      <c r="BE274" s="27">
        <v>0</v>
      </c>
      <c r="BF274" s="27">
        <f>274</f>
        <v>274</v>
      </c>
      <c r="BH274" s="27">
        <f>F274*AO274</f>
        <v>0</v>
      </c>
      <c r="BI274" s="27">
        <f>F274*AP274</f>
        <v>0</v>
      </c>
      <c r="BJ274" s="27">
        <f>F274*G274</f>
        <v>0</v>
      </c>
      <c r="BK274" s="30" t="s">
        <v>63</v>
      </c>
      <c r="BL274" s="27">
        <v>90</v>
      </c>
      <c r="BW274" s="27">
        <f>H274</f>
        <v>12</v>
      </c>
      <c r="BX274" s="5" t="s">
        <v>522</v>
      </c>
    </row>
    <row r="275" spans="1:76" x14ac:dyDescent="0.25">
      <c r="A275" s="31"/>
      <c r="C275" s="32" t="s">
        <v>186</v>
      </c>
      <c r="D275" s="32" t="s">
        <v>52</v>
      </c>
      <c r="F275" s="33">
        <v>24</v>
      </c>
      <c r="L275" s="34"/>
    </row>
    <row r="276" spans="1:76" ht="293.25" x14ac:dyDescent="0.25">
      <c r="A276" s="31"/>
      <c r="B276" s="35" t="s">
        <v>71</v>
      </c>
      <c r="C276" s="100" t="s">
        <v>526</v>
      </c>
      <c r="D276" s="101"/>
      <c r="E276" s="101"/>
      <c r="F276" s="101"/>
      <c r="G276" s="101"/>
      <c r="H276" s="101"/>
      <c r="I276" s="101"/>
      <c r="J276" s="101"/>
      <c r="K276" s="101"/>
      <c r="L276" s="102"/>
      <c r="BX276" s="36" t="s">
        <v>526</v>
      </c>
    </row>
    <row r="277" spans="1:76" x14ac:dyDescent="0.25">
      <c r="A277" s="37" t="s">
        <v>52</v>
      </c>
      <c r="B277" s="38" t="s">
        <v>508</v>
      </c>
      <c r="C277" s="103" t="s">
        <v>527</v>
      </c>
      <c r="D277" s="104"/>
      <c r="E277" s="39" t="s">
        <v>4</v>
      </c>
      <c r="F277" s="39" t="s">
        <v>4</v>
      </c>
      <c r="G277" s="39" t="s">
        <v>4</v>
      </c>
      <c r="H277" s="39" t="s">
        <v>4</v>
      </c>
      <c r="I277" s="1">
        <f>SUM(I278:I281)</f>
        <v>0</v>
      </c>
      <c r="J277" s="1">
        <f>SUM(J278:J281)</f>
        <v>0</v>
      </c>
      <c r="K277" s="1">
        <f>SUM(K278:K281)</f>
        <v>0</v>
      </c>
      <c r="L277" s="40" t="s">
        <v>52</v>
      </c>
      <c r="AI277" s="12" t="s">
        <v>52</v>
      </c>
      <c r="AS277" s="1">
        <f>SUM(AJ278:AJ281)</f>
        <v>0</v>
      </c>
      <c r="AT277" s="1">
        <f>SUM(AK278:AK281)</f>
        <v>0</v>
      </c>
      <c r="AU277" s="1">
        <f>SUM(AL278:AL281)</f>
        <v>0</v>
      </c>
    </row>
    <row r="278" spans="1:76" x14ac:dyDescent="0.25">
      <c r="A278" s="2" t="s">
        <v>528</v>
      </c>
      <c r="B278" s="3" t="s">
        <v>529</v>
      </c>
      <c r="C278" s="84" t="s">
        <v>530</v>
      </c>
      <c r="D278" s="79"/>
      <c r="E278" s="3" t="s">
        <v>69</v>
      </c>
      <c r="F278" s="27">
        <v>6</v>
      </c>
      <c r="G278" s="27">
        <v>0</v>
      </c>
      <c r="H278" s="28">
        <v>12</v>
      </c>
      <c r="I278" s="27">
        <f>ROUND(F278*AO278,2)</f>
        <v>0</v>
      </c>
      <c r="J278" s="27">
        <f>ROUND(F278*AP278,2)</f>
        <v>0</v>
      </c>
      <c r="K278" s="27">
        <f>ROUND(F278*G278,2)</f>
        <v>0</v>
      </c>
      <c r="L278" s="29" t="s">
        <v>59</v>
      </c>
      <c r="Z278" s="27">
        <f>ROUND(IF(AQ278="5",BJ278,0),2)</f>
        <v>0</v>
      </c>
      <c r="AB278" s="27">
        <f>ROUND(IF(AQ278="1",BH278,0),2)</f>
        <v>0</v>
      </c>
      <c r="AC278" s="27">
        <f>ROUND(IF(AQ278="1",BI278,0),2)</f>
        <v>0</v>
      </c>
      <c r="AD278" s="27">
        <f>ROUND(IF(AQ278="7",BH278,0),2)</f>
        <v>0</v>
      </c>
      <c r="AE278" s="27">
        <f>ROUND(IF(AQ278="7",BI278,0),2)</f>
        <v>0</v>
      </c>
      <c r="AF278" s="27">
        <f>ROUND(IF(AQ278="2",BH278,0),2)</f>
        <v>0</v>
      </c>
      <c r="AG278" s="27">
        <f>ROUND(IF(AQ278="2",BI278,0),2)</f>
        <v>0</v>
      </c>
      <c r="AH278" s="27">
        <f>ROUND(IF(AQ278="0",BJ278,0),2)</f>
        <v>0</v>
      </c>
      <c r="AI278" s="12" t="s">
        <v>52</v>
      </c>
      <c r="AJ278" s="27">
        <f>IF(AN278=0,K278,0)</f>
        <v>0</v>
      </c>
      <c r="AK278" s="27">
        <f>IF(AN278=12,K278,0)</f>
        <v>0</v>
      </c>
      <c r="AL278" s="27">
        <f>IF(AN278=21,K278,0)</f>
        <v>0</v>
      </c>
      <c r="AN278" s="27">
        <v>12</v>
      </c>
      <c r="AO278" s="27">
        <f>G278*0</f>
        <v>0</v>
      </c>
      <c r="AP278" s="27">
        <f>G278*(1-0)</f>
        <v>0</v>
      </c>
      <c r="AQ278" s="30" t="s">
        <v>55</v>
      </c>
      <c r="AV278" s="27">
        <f>ROUND(AW278+AX278,2)</f>
        <v>0</v>
      </c>
      <c r="AW278" s="27">
        <f>ROUND(F278*AO278,2)</f>
        <v>0</v>
      </c>
      <c r="AX278" s="27">
        <f>ROUND(F278*AP278,2)</f>
        <v>0</v>
      </c>
      <c r="AY278" s="30" t="s">
        <v>531</v>
      </c>
      <c r="AZ278" s="30" t="s">
        <v>525</v>
      </c>
      <c r="BA278" s="12" t="s">
        <v>62</v>
      </c>
      <c r="BC278" s="27">
        <f>AW278+AX278</f>
        <v>0</v>
      </c>
      <c r="BD278" s="27">
        <f>G278/(100-BE278)*100</f>
        <v>0</v>
      </c>
      <c r="BE278" s="27">
        <v>0</v>
      </c>
      <c r="BF278" s="27">
        <f>278</f>
        <v>278</v>
      </c>
      <c r="BH278" s="27">
        <f>F278*AO278</f>
        <v>0</v>
      </c>
      <c r="BI278" s="27">
        <f>F278*AP278</f>
        <v>0</v>
      </c>
      <c r="BJ278" s="27">
        <f>F278*G278</f>
        <v>0</v>
      </c>
      <c r="BK278" s="30" t="s">
        <v>63</v>
      </c>
      <c r="BL278" s="27">
        <v>96</v>
      </c>
      <c r="BW278" s="27">
        <f>H278</f>
        <v>12</v>
      </c>
      <c r="BX278" s="5" t="s">
        <v>530</v>
      </c>
    </row>
    <row r="279" spans="1:76" x14ac:dyDescent="0.25">
      <c r="A279" s="31"/>
      <c r="C279" s="32" t="s">
        <v>99</v>
      </c>
      <c r="D279" s="32" t="s">
        <v>52</v>
      </c>
      <c r="F279" s="33">
        <v>6</v>
      </c>
      <c r="L279" s="34"/>
    </row>
    <row r="280" spans="1:76" ht="38.25" x14ac:dyDescent="0.25">
      <c r="A280" s="31"/>
      <c r="B280" s="35" t="s">
        <v>71</v>
      </c>
      <c r="C280" s="100" t="s">
        <v>532</v>
      </c>
      <c r="D280" s="101"/>
      <c r="E280" s="101"/>
      <c r="F280" s="101"/>
      <c r="G280" s="101"/>
      <c r="H280" s="101"/>
      <c r="I280" s="101"/>
      <c r="J280" s="101"/>
      <c r="K280" s="101"/>
      <c r="L280" s="102"/>
      <c r="BX280" s="36" t="s">
        <v>532</v>
      </c>
    </row>
    <row r="281" spans="1:76" x14ac:dyDescent="0.25">
      <c r="A281" s="2" t="s">
        <v>533</v>
      </c>
      <c r="B281" s="3" t="s">
        <v>534</v>
      </c>
      <c r="C281" s="84" t="s">
        <v>535</v>
      </c>
      <c r="D281" s="79"/>
      <c r="E281" s="3" t="s">
        <v>78</v>
      </c>
      <c r="F281" s="27">
        <v>9.4</v>
      </c>
      <c r="G281" s="27">
        <v>0</v>
      </c>
      <c r="H281" s="28">
        <v>12</v>
      </c>
      <c r="I281" s="27">
        <f>ROUND(F281*AO281,2)</f>
        <v>0</v>
      </c>
      <c r="J281" s="27">
        <f>ROUND(F281*AP281,2)</f>
        <v>0</v>
      </c>
      <c r="K281" s="27">
        <f>ROUND(F281*G281,2)</f>
        <v>0</v>
      </c>
      <c r="L281" s="29" t="s">
        <v>59</v>
      </c>
      <c r="Z281" s="27">
        <f>ROUND(IF(AQ281="5",BJ281,0),2)</f>
        <v>0</v>
      </c>
      <c r="AB281" s="27">
        <f>ROUND(IF(AQ281="1",BH281,0),2)</f>
        <v>0</v>
      </c>
      <c r="AC281" s="27">
        <f>ROUND(IF(AQ281="1",BI281,0),2)</f>
        <v>0</v>
      </c>
      <c r="AD281" s="27">
        <f>ROUND(IF(AQ281="7",BH281,0),2)</f>
        <v>0</v>
      </c>
      <c r="AE281" s="27">
        <f>ROUND(IF(AQ281="7",BI281,0),2)</f>
        <v>0</v>
      </c>
      <c r="AF281" s="27">
        <f>ROUND(IF(AQ281="2",BH281,0),2)</f>
        <v>0</v>
      </c>
      <c r="AG281" s="27">
        <f>ROUND(IF(AQ281="2",BI281,0),2)</f>
        <v>0</v>
      </c>
      <c r="AH281" s="27">
        <f>ROUND(IF(AQ281="0",BJ281,0),2)</f>
        <v>0</v>
      </c>
      <c r="AI281" s="12" t="s">
        <v>52</v>
      </c>
      <c r="AJ281" s="27">
        <f>IF(AN281=0,K281,0)</f>
        <v>0</v>
      </c>
      <c r="AK281" s="27">
        <f>IF(AN281=12,K281,0)</f>
        <v>0</v>
      </c>
      <c r="AL281" s="27">
        <f>IF(AN281=21,K281,0)</f>
        <v>0</v>
      </c>
      <c r="AN281" s="27">
        <v>12</v>
      </c>
      <c r="AO281" s="27">
        <f>G281*0.066869301</f>
        <v>0</v>
      </c>
      <c r="AP281" s="27">
        <f>G281*(1-0.066869301)</f>
        <v>0</v>
      </c>
      <c r="AQ281" s="30" t="s">
        <v>55</v>
      </c>
      <c r="AV281" s="27">
        <f>ROUND(AW281+AX281,2)</f>
        <v>0</v>
      </c>
      <c r="AW281" s="27">
        <f>ROUND(F281*AO281,2)</f>
        <v>0</v>
      </c>
      <c r="AX281" s="27">
        <f>ROUND(F281*AP281,2)</f>
        <v>0</v>
      </c>
      <c r="AY281" s="30" t="s">
        <v>531</v>
      </c>
      <c r="AZ281" s="30" t="s">
        <v>525</v>
      </c>
      <c r="BA281" s="12" t="s">
        <v>62</v>
      </c>
      <c r="BC281" s="27">
        <f>AW281+AX281</f>
        <v>0</v>
      </c>
      <c r="BD281" s="27">
        <f>G281/(100-BE281)*100</f>
        <v>0</v>
      </c>
      <c r="BE281" s="27">
        <v>0</v>
      </c>
      <c r="BF281" s="27">
        <f>281</f>
        <v>281</v>
      </c>
      <c r="BH281" s="27">
        <f>F281*AO281</f>
        <v>0</v>
      </c>
      <c r="BI281" s="27">
        <f>F281*AP281</f>
        <v>0</v>
      </c>
      <c r="BJ281" s="27">
        <f>F281*G281</f>
        <v>0</v>
      </c>
      <c r="BK281" s="30" t="s">
        <v>63</v>
      </c>
      <c r="BL281" s="27">
        <v>96</v>
      </c>
      <c r="BW281" s="27">
        <f>H281</f>
        <v>12</v>
      </c>
      <c r="BX281" s="5" t="s">
        <v>535</v>
      </c>
    </row>
    <row r="282" spans="1:76" x14ac:dyDescent="0.25">
      <c r="A282" s="31"/>
      <c r="C282" s="32" t="s">
        <v>536</v>
      </c>
      <c r="D282" s="32" t="s">
        <v>52</v>
      </c>
      <c r="F282" s="33">
        <v>9.4</v>
      </c>
      <c r="L282" s="34"/>
    </row>
    <row r="283" spans="1:76" ht="51" x14ac:dyDescent="0.25">
      <c r="A283" s="31"/>
      <c r="B283" s="35" t="s">
        <v>71</v>
      </c>
      <c r="C283" s="100" t="s">
        <v>537</v>
      </c>
      <c r="D283" s="101"/>
      <c r="E283" s="101"/>
      <c r="F283" s="101"/>
      <c r="G283" s="101"/>
      <c r="H283" s="101"/>
      <c r="I283" s="101"/>
      <c r="J283" s="101"/>
      <c r="K283" s="101"/>
      <c r="L283" s="102"/>
      <c r="BX283" s="36" t="s">
        <v>537</v>
      </c>
    </row>
    <row r="284" spans="1:76" x14ac:dyDescent="0.25">
      <c r="A284" s="37" t="s">
        <v>52</v>
      </c>
      <c r="B284" s="38" t="s">
        <v>515</v>
      </c>
      <c r="C284" s="103" t="s">
        <v>538</v>
      </c>
      <c r="D284" s="104"/>
      <c r="E284" s="39" t="s">
        <v>4</v>
      </c>
      <c r="F284" s="39" t="s">
        <v>4</v>
      </c>
      <c r="G284" s="39" t="s">
        <v>4</v>
      </c>
      <c r="H284" s="39" t="s">
        <v>4</v>
      </c>
      <c r="I284" s="1">
        <f>SUM(I285:I302)</f>
        <v>0</v>
      </c>
      <c r="J284" s="1">
        <f>SUM(J285:J302)</f>
        <v>0</v>
      </c>
      <c r="K284" s="1">
        <f>SUM(K285:K302)</f>
        <v>0</v>
      </c>
      <c r="L284" s="40" t="s">
        <v>52</v>
      </c>
      <c r="AI284" s="12" t="s">
        <v>52</v>
      </c>
      <c r="AS284" s="1">
        <f>SUM(AJ285:AJ302)</f>
        <v>0</v>
      </c>
      <c r="AT284" s="1">
        <f>SUM(AK285:AK302)</f>
        <v>0</v>
      </c>
      <c r="AU284" s="1">
        <f>SUM(AL285:AL302)</f>
        <v>0</v>
      </c>
    </row>
    <row r="285" spans="1:76" x14ac:dyDescent="0.25">
      <c r="A285" s="2" t="s">
        <v>387</v>
      </c>
      <c r="B285" s="3" t="s">
        <v>539</v>
      </c>
      <c r="C285" s="84" t="s">
        <v>540</v>
      </c>
      <c r="D285" s="79"/>
      <c r="E285" s="3" t="s">
        <v>78</v>
      </c>
      <c r="F285" s="27">
        <v>208.96</v>
      </c>
      <c r="G285" s="27">
        <v>0</v>
      </c>
      <c r="H285" s="28">
        <v>12</v>
      </c>
      <c r="I285" s="27">
        <f>ROUND(F285*AO285,2)</f>
        <v>0</v>
      </c>
      <c r="J285" s="27">
        <f>ROUND(F285*AP285,2)</f>
        <v>0</v>
      </c>
      <c r="K285" s="27">
        <f>ROUND(F285*G285,2)</f>
        <v>0</v>
      </c>
      <c r="L285" s="29" t="s">
        <v>59</v>
      </c>
      <c r="Z285" s="27">
        <f>ROUND(IF(AQ285="5",BJ285,0),2)</f>
        <v>0</v>
      </c>
      <c r="AB285" s="27">
        <f>ROUND(IF(AQ285="1",BH285,0),2)</f>
        <v>0</v>
      </c>
      <c r="AC285" s="27">
        <f>ROUND(IF(AQ285="1",BI285,0),2)</f>
        <v>0</v>
      </c>
      <c r="AD285" s="27">
        <f>ROUND(IF(AQ285="7",BH285,0),2)</f>
        <v>0</v>
      </c>
      <c r="AE285" s="27">
        <f>ROUND(IF(AQ285="7",BI285,0),2)</f>
        <v>0</v>
      </c>
      <c r="AF285" s="27">
        <f>ROUND(IF(AQ285="2",BH285,0),2)</f>
        <v>0</v>
      </c>
      <c r="AG285" s="27">
        <f>ROUND(IF(AQ285="2",BI285,0),2)</f>
        <v>0</v>
      </c>
      <c r="AH285" s="27">
        <f>ROUND(IF(AQ285="0",BJ285,0),2)</f>
        <v>0</v>
      </c>
      <c r="AI285" s="12" t="s">
        <v>52</v>
      </c>
      <c r="AJ285" s="27">
        <f>IF(AN285=0,K285,0)</f>
        <v>0</v>
      </c>
      <c r="AK285" s="27">
        <f>IF(AN285=12,K285,0)</f>
        <v>0</v>
      </c>
      <c r="AL285" s="27">
        <f>IF(AN285=21,K285,0)</f>
        <v>0</v>
      </c>
      <c r="AN285" s="27">
        <v>12</v>
      </c>
      <c r="AO285" s="27">
        <f>G285*0</f>
        <v>0</v>
      </c>
      <c r="AP285" s="27">
        <f>G285*(1-0)</f>
        <v>0</v>
      </c>
      <c r="AQ285" s="30" t="s">
        <v>55</v>
      </c>
      <c r="AV285" s="27">
        <f>ROUND(AW285+AX285,2)</f>
        <v>0</v>
      </c>
      <c r="AW285" s="27">
        <f>ROUND(F285*AO285,2)</f>
        <v>0</v>
      </c>
      <c r="AX285" s="27">
        <f>ROUND(F285*AP285,2)</f>
        <v>0</v>
      </c>
      <c r="AY285" s="30" t="s">
        <v>541</v>
      </c>
      <c r="AZ285" s="30" t="s">
        <v>525</v>
      </c>
      <c r="BA285" s="12" t="s">
        <v>62</v>
      </c>
      <c r="BC285" s="27">
        <f>AW285+AX285</f>
        <v>0</v>
      </c>
      <c r="BD285" s="27">
        <f>G285/(100-BE285)*100</f>
        <v>0</v>
      </c>
      <c r="BE285" s="27">
        <v>0</v>
      </c>
      <c r="BF285" s="27">
        <f>285</f>
        <v>285</v>
      </c>
      <c r="BH285" s="27">
        <f>F285*AO285</f>
        <v>0</v>
      </c>
      <c r="BI285" s="27">
        <f>F285*AP285</f>
        <v>0</v>
      </c>
      <c r="BJ285" s="27">
        <f>F285*G285</f>
        <v>0</v>
      </c>
      <c r="BK285" s="30" t="s">
        <v>63</v>
      </c>
      <c r="BL285" s="27">
        <v>97</v>
      </c>
      <c r="BW285" s="27">
        <f>H285</f>
        <v>12</v>
      </c>
      <c r="BX285" s="5" t="s">
        <v>540</v>
      </c>
    </row>
    <row r="286" spans="1:76" x14ac:dyDescent="0.25">
      <c r="A286" s="31"/>
      <c r="C286" s="32" t="s">
        <v>542</v>
      </c>
      <c r="D286" s="32" t="s">
        <v>387</v>
      </c>
      <c r="F286" s="33">
        <v>34.162999999999997</v>
      </c>
      <c r="L286" s="34"/>
    </row>
    <row r="287" spans="1:76" x14ac:dyDescent="0.25">
      <c r="A287" s="31"/>
      <c r="C287" s="32" t="s">
        <v>543</v>
      </c>
      <c r="D287" s="32" t="s">
        <v>544</v>
      </c>
      <c r="F287" s="33">
        <v>-9.4</v>
      </c>
      <c r="L287" s="34"/>
    </row>
    <row r="288" spans="1:76" x14ac:dyDescent="0.25">
      <c r="A288" s="31"/>
      <c r="C288" s="32" t="s">
        <v>545</v>
      </c>
      <c r="D288" s="32" t="s">
        <v>389</v>
      </c>
      <c r="F288" s="33">
        <v>33.732599999999998</v>
      </c>
      <c r="L288" s="34"/>
    </row>
    <row r="289" spans="1:76" x14ac:dyDescent="0.25">
      <c r="A289" s="31"/>
      <c r="C289" s="32" t="s">
        <v>546</v>
      </c>
      <c r="D289" s="32" t="s">
        <v>52</v>
      </c>
      <c r="F289" s="33">
        <v>-1.6</v>
      </c>
      <c r="L289" s="34"/>
    </row>
    <row r="290" spans="1:76" x14ac:dyDescent="0.25">
      <c r="A290" s="31"/>
      <c r="C290" s="32" t="s">
        <v>547</v>
      </c>
      <c r="D290" s="32" t="s">
        <v>156</v>
      </c>
      <c r="F290" s="33">
        <v>22.488399999999999</v>
      </c>
      <c r="L290" s="34"/>
    </row>
    <row r="291" spans="1:76" x14ac:dyDescent="0.25">
      <c r="A291" s="31"/>
      <c r="C291" s="32" t="s">
        <v>548</v>
      </c>
      <c r="D291" s="32" t="s">
        <v>52</v>
      </c>
      <c r="F291" s="33">
        <v>-1.2</v>
      </c>
      <c r="L291" s="34"/>
    </row>
    <row r="292" spans="1:76" x14ac:dyDescent="0.25">
      <c r="A292" s="31"/>
      <c r="C292" s="32" t="s">
        <v>549</v>
      </c>
      <c r="D292" s="32" t="s">
        <v>395</v>
      </c>
      <c r="F292" s="33">
        <v>39.542999999999999</v>
      </c>
      <c r="L292" s="34"/>
    </row>
    <row r="293" spans="1:76" x14ac:dyDescent="0.25">
      <c r="A293" s="31"/>
      <c r="C293" s="32" t="s">
        <v>546</v>
      </c>
      <c r="D293" s="32" t="s">
        <v>52</v>
      </c>
      <c r="F293" s="33">
        <v>-1.6</v>
      </c>
      <c r="L293" s="34"/>
    </row>
    <row r="294" spans="1:76" x14ac:dyDescent="0.25">
      <c r="A294" s="31"/>
      <c r="C294" s="32" t="s">
        <v>550</v>
      </c>
      <c r="D294" s="32" t="s">
        <v>391</v>
      </c>
      <c r="F294" s="33">
        <v>48.151000000000003</v>
      </c>
      <c r="L294" s="34"/>
    </row>
    <row r="295" spans="1:76" x14ac:dyDescent="0.25">
      <c r="A295" s="31"/>
      <c r="C295" s="32" t="s">
        <v>546</v>
      </c>
      <c r="D295" s="32" t="s">
        <v>52</v>
      </c>
      <c r="F295" s="33">
        <v>-1.6</v>
      </c>
      <c r="L295" s="34"/>
    </row>
    <row r="296" spans="1:76" x14ac:dyDescent="0.25">
      <c r="A296" s="31"/>
      <c r="C296" s="32" t="s">
        <v>551</v>
      </c>
      <c r="D296" s="32" t="s">
        <v>393</v>
      </c>
      <c r="F296" s="33">
        <v>47.881999999999998</v>
      </c>
      <c r="L296" s="34"/>
    </row>
    <row r="297" spans="1:76" x14ac:dyDescent="0.25">
      <c r="A297" s="31"/>
      <c r="C297" s="32" t="s">
        <v>546</v>
      </c>
      <c r="D297" s="32" t="s">
        <v>52</v>
      </c>
      <c r="F297" s="33">
        <v>-1.6</v>
      </c>
      <c r="L297" s="34"/>
    </row>
    <row r="298" spans="1:76" ht="25.5" x14ac:dyDescent="0.25">
      <c r="A298" s="31"/>
      <c r="B298" s="35" t="s">
        <v>71</v>
      </c>
      <c r="C298" s="100" t="s">
        <v>552</v>
      </c>
      <c r="D298" s="101"/>
      <c r="E298" s="101"/>
      <c r="F298" s="101"/>
      <c r="G298" s="101"/>
      <c r="H298" s="101"/>
      <c r="I298" s="101"/>
      <c r="J298" s="101"/>
      <c r="K298" s="101"/>
      <c r="L298" s="102"/>
      <c r="BX298" s="36" t="s">
        <v>552</v>
      </c>
    </row>
    <row r="299" spans="1:76" x14ac:dyDescent="0.25">
      <c r="A299" s="2" t="s">
        <v>389</v>
      </c>
      <c r="B299" s="3" t="s">
        <v>553</v>
      </c>
      <c r="C299" s="84" t="s">
        <v>554</v>
      </c>
      <c r="D299" s="79"/>
      <c r="E299" s="3" t="s">
        <v>78</v>
      </c>
      <c r="F299" s="27">
        <v>15.52</v>
      </c>
      <c r="G299" s="27">
        <v>0</v>
      </c>
      <c r="H299" s="28">
        <v>12</v>
      </c>
      <c r="I299" s="27">
        <f>ROUND(F299*AO299,2)</f>
        <v>0</v>
      </c>
      <c r="J299" s="27">
        <f>ROUND(F299*AP299,2)</f>
        <v>0</v>
      </c>
      <c r="K299" s="27">
        <f>ROUND(F299*G299,2)</f>
        <v>0</v>
      </c>
      <c r="L299" s="29" t="s">
        <v>59</v>
      </c>
      <c r="Z299" s="27">
        <f>ROUND(IF(AQ299="5",BJ299,0),2)</f>
        <v>0</v>
      </c>
      <c r="AB299" s="27">
        <f>ROUND(IF(AQ299="1",BH299,0),2)</f>
        <v>0</v>
      </c>
      <c r="AC299" s="27">
        <f>ROUND(IF(AQ299="1",BI299,0),2)</f>
        <v>0</v>
      </c>
      <c r="AD299" s="27">
        <f>ROUND(IF(AQ299="7",BH299,0),2)</f>
        <v>0</v>
      </c>
      <c r="AE299" s="27">
        <f>ROUND(IF(AQ299="7",BI299,0),2)</f>
        <v>0</v>
      </c>
      <c r="AF299" s="27">
        <f>ROUND(IF(AQ299="2",BH299,0),2)</f>
        <v>0</v>
      </c>
      <c r="AG299" s="27">
        <f>ROUND(IF(AQ299="2",BI299,0),2)</f>
        <v>0</v>
      </c>
      <c r="AH299" s="27">
        <f>ROUND(IF(AQ299="0",BJ299,0),2)</f>
        <v>0</v>
      </c>
      <c r="AI299" s="12" t="s">
        <v>52</v>
      </c>
      <c r="AJ299" s="27">
        <f>IF(AN299=0,K299,0)</f>
        <v>0</v>
      </c>
      <c r="AK299" s="27">
        <f>IF(AN299=12,K299,0)</f>
        <v>0</v>
      </c>
      <c r="AL299" s="27">
        <f>IF(AN299=21,K299,0)</f>
        <v>0</v>
      </c>
      <c r="AN299" s="27">
        <v>12</v>
      </c>
      <c r="AO299" s="27">
        <f>G299*0</f>
        <v>0</v>
      </c>
      <c r="AP299" s="27">
        <f>G299*(1-0)</f>
        <v>0</v>
      </c>
      <c r="AQ299" s="30" t="s">
        <v>55</v>
      </c>
      <c r="AV299" s="27">
        <f>ROUND(AW299+AX299,2)</f>
        <v>0</v>
      </c>
      <c r="AW299" s="27">
        <f>ROUND(F299*AO299,2)</f>
        <v>0</v>
      </c>
      <c r="AX299" s="27">
        <f>ROUND(F299*AP299,2)</f>
        <v>0</v>
      </c>
      <c r="AY299" s="30" t="s">
        <v>541</v>
      </c>
      <c r="AZ299" s="30" t="s">
        <v>525</v>
      </c>
      <c r="BA299" s="12" t="s">
        <v>62</v>
      </c>
      <c r="BC299" s="27">
        <f>AW299+AX299</f>
        <v>0</v>
      </c>
      <c r="BD299" s="27">
        <f>G299/(100-BE299)*100</f>
        <v>0</v>
      </c>
      <c r="BE299" s="27">
        <v>0</v>
      </c>
      <c r="BF299" s="27">
        <f>299</f>
        <v>299</v>
      </c>
      <c r="BH299" s="27">
        <f>F299*AO299</f>
        <v>0</v>
      </c>
      <c r="BI299" s="27">
        <f>F299*AP299</f>
        <v>0</v>
      </c>
      <c r="BJ299" s="27">
        <f>F299*G299</f>
        <v>0</v>
      </c>
      <c r="BK299" s="30" t="s">
        <v>63</v>
      </c>
      <c r="BL299" s="27">
        <v>97</v>
      </c>
      <c r="BW299" s="27">
        <f>H299</f>
        <v>12</v>
      </c>
      <c r="BX299" s="5" t="s">
        <v>554</v>
      </c>
    </row>
    <row r="300" spans="1:76" x14ac:dyDescent="0.25">
      <c r="A300" s="31"/>
      <c r="C300" s="32" t="s">
        <v>555</v>
      </c>
      <c r="D300" s="32" t="s">
        <v>156</v>
      </c>
      <c r="F300" s="33">
        <v>15.52</v>
      </c>
      <c r="L300" s="34"/>
    </row>
    <row r="301" spans="1:76" ht="25.5" x14ac:dyDescent="0.25">
      <c r="A301" s="31"/>
      <c r="B301" s="35" t="s">
        <v>71</v>
      </c>
      <c r="C301" s="100" t="s">
        <v>556</v>
      </c>
      <c r="D301" s="101"/>
      <c r="E301" s="101"/>
      <c r="F301" s="101"/>
      <c r="G301" s="101"/>
      <c r="H301" s="101"/>
      <c r="I301" s="101"/>
      <c r="J301" s="101"/>
      <c r="K301" s="101"/>
      <c r="L301" s="102"/>
      <c r="BX301" s="36" t="s">
        <v>556</v>
      </c>
    </row>
    <row r="302" spans="1:76" x14ac:dyDescent="0.25">
      <c r="A302" s="2" t="s">
        <v>156</v>
      </c>
      <c r="B302" s="3" t="s">
        <v>557</v>
      </c>
      <c r="C302" s="84" t="s">
        <v>558</v>
      </c>
      <c r="D302" s="79"/>
      <c r="E302" s="3" t="s">
        <v>78</v>
      </c>
      <c r="F302" s="27">
        <v>67.099999999999994</v>
      </c>
      <c r="G302" s="27">
        <v>0</v>
      </c>
      <c r="H302" s="28">
        <v>12</v>
      </c>
      <c r="I302" s="27">
        <f>ROUND(F302*AO302,2)</f>
        <v>0</v>
      </c>
      <c r="J302" s="27">
        <f>ROUND(F302*AP302,2)</f>
        <v>0</v>
      </c>
      <c r="K302" s="27">
        <f>ROUND(F302*G302,2)</f>
        <v>0</v>
      </c>
      <c r="L302" s="29" t="s">
        <v>59</v>
      </c>
      <c r="Z302" s="27">
        <f>ROUND(IF(AQ302="5",BJ302,0),2)</f>
        <v>0</v>
      </c>
      <c r="AB302" s="27">
        <f>ROUND(IF(AQ302="1",BH302,0),2)</f>
        <v>0</v>
      </c>
      <c r="AC302" s="27">
        <f>ROUND(IF(AQ302="1",BI302,0),2)</f>
        <v>0</v>
      </c>
      <c r="AD302" s="27">
        <f>ROUND(IF(AQ302="7",BH302,0),2)</f>
        <v>0</v>
      </c>
      <c r="AE302" s="27">
        <f>ROUND(IF(AQ302="7",BI302,0),2)</f>
        <v>0</v>
      </c>
      <c r="AF302" s="27">
        <f>ROUND(IF(AQ302="2",BH302,0),2)</f>
        <v>0</v>
      </c>
      <c r="AG302" s="27">
        <f>ROUND(IF(AQ302="2",BI302,0),2)</f>
        <v>0</v>
      </c>
      <c r="AH302" s="27">
        <f>ROUND(IF(AQ302="0",BJ302,0),2)</f>
        <v>0</v>
      </c>
      <c r="AI302" s="12" t="s">
        <v>52</v>
      </c>
      <c r="AJ302" s="27">
        <f>IF(AN302=0,K302,0)</f>
        <v>0</v>
      </c>
      <c r="AK302" s="27">
        <f>IF(AN302=12,K302,0)</f>
        <v>0</v>
      </c>
      <c r="AL302" s="27">
        <f>IF(AN302=21,K302,0)</f>
        <v>0</v>
      </c>
      <c r="AN302" s="27">
        <v>12</v>
      </c>
      <c r="AO302" s="27">
        <f>G302*0</f>
        <v>0</v>
      </c>
      <c r="AP302" s="27">
        <f>G302*(1-0)</f>
        <v>0</v>
      </c>
      <c r="AQ302" s="30" t="s">
        <v>55</v>
      </c>
      <c r="AV302" s="27">
        <f>ROUND(AW302+AX302,2)</f>
        <v>0</v>
      </c>
      <c r="AW302" s="27">
        <f>ROUND(F302*AO302,2)</f>
        <v>0</v>
      </c>
      <c r="AX302" s="27">
        <f>ROUND(F302*AP302,2)</f>
        <v>0</v>
      </c>
      <c r="AY302" s="30" t="s">
        <v>541</v>
      </c>
      <c r="AZ302" s="30" t="s">
        <v>525</v>
      </c>
      <c r="BA302" s="12" t="s">
        <v>62</v>
      </c>
      <c r="BC302" s="27">
        <f>AW302+AX302</f>
        <v>0</v>
      </c>
      <c r="BD302" s="27">
        <f>G302/(100-BE302)*100</f>
        <v>0</v>
      </c>
      <c r="BE302" s="27">
        <v>0</v>
      </c>
      <c r="BF302" s="27">
        <f>302</f>
        <v>302</v>
      </c>
      <c r="BH302" s="27">
        <f>F302*AO302</f>
        <v>0</v>
      </c>
      <c r="BI302" s="27">
        <f>F302*AP302</f>
        <v>0</v>
      </c>
      <c r="BJ302" s="27">
        <f>F302*G302</f>
        <v>0</v>
      </c>
      <c r="BK302" s="30" t="s">
        <v>63</v>
      </c>
      <c r="BL302" s="27">
        <v>97</v>
      </c>
      <c r="BW302" s="27">
        <f>H302</f>
        <v>12</v>
      </c>
      <c r="BX302" s="5" t="s">
        <v>558</v>
      </c>
    </row>
    <row r="303" spans="1:76" x14ac:dyDescent="0.25">
      <c r="A303" s="31"/>
      <c r="C303" s="32" t="s">
        <v>559</v>
      </c>
      <c r="D303" s="32" t="s">
        <v>52</v>
      </c>
      <c r="F303" s="33">
        <v>67.099999999999994</v>
      </c>
      <c r="L303" s="34"/>
    </row>
    <row r="304" spans="1:76" ht="25.5" x14ac:dyDescent="0.25">
      <c r="A304" s="31"/>
      <c r="B304" s="35" t="s">
        <v>71</v>
      </c>
      <c r="C304" s="100" t="s">
        <v>556</v>
      </c>
      <c r="D304" s="101"/>
      <c r="E304" s="101"/>
      <c r="F304" s="101"/>
      <c r="G304" s="101"/>
      <c r="H304" s="101"/>
      <c r="I304" s="101"/>
      <c r="J304" s="101"/>
      <c r="K304" s="101"/>
      <c r="L304" s="102"/>
      <c r="BX304" s="36" t="s">
        <v>556</v>
      </c>
    </row>
    <row r="305" spans="1:76" x14ac:dyDescent="0.25">
      <c r="A305" s="37" t="s">
        <v>52</v>
      </c>
      <c r="B305" s="38" t="s">
        <v>560</v>
      </c>
      <c r="C305" s="103" t="s">
        <v>561</v>
      </c>
      <c r="D305" s="104"/>
      <c r="E305" s="39" t="s">
        <v>4</v>
      </c>
      <c r="F305" s="39" t="s">
        <v>4</v>
      </c>
      <c r="G305" s="39" t="s">
        <v>4</v>
      </c>
      <c r="H305" s="39" t="s">
        <v>4</v>
      </c>
      <c r="I305" s="1">
        <f>SUM(I306:I306)</f>
        <v>0</v>
      </c>
      <c r="J305" s="1">
        <f>SUM(J306:J306)</f>
        <v>0</v>
      </c>
      <c r="K305" s="1">
        <f>SUM(K306:K306)</f>
        <v>0</v>
      </c>
      <c r="L305" s="40" t="s">
        <v>52</v>
      </c>
      <c r="AI305" s="12" t="s">
        <v>52</v>
      </c>
      <c r="AS305" s="1">
        <f>SUM(AJ306:AJ306)</f>
        <v>0</v>
      </c>
      <c r="AT305" s="1">
        <f>SUM(AK306:AK306)</f>
        <v>0</v>
      </c>
      <c r="AU305" s="1">
        <f>SUM(AL306:AL306)</f>
        <v>0</v>
      </c>
    </row>
    <row r="306" spans="1:76" x14ac:dyDescent="0.25">
      <c r="A306" s="2" t="s">
        <v>395</v>
      </c>
      <c r="B306" s="3" t="s">
        <v>562</v>
      </c>
      <c r="C306" s="84" t="s">
        <v>563</v>
      </c>
      <c r="D306" s="79"/>
      <c r="E306" s="3" t="s">
        <v>182</v>
      </c>
      <c r="F306" s="27">
        <v>5.6769999999999996</v>
      </c>
      <c r="G306" s="27">
        <v>0</v>
      </c>
      <c r="H306" s="28">
        <v>12</v>
      </c>
      <c r="I306" s="27">
        <f>ROUND(F306*AO306,2)</f>
        <v>0</v>
      </c>
      <c r="J306" s="27">
        <f>ROUND(F306*AP306,2)</f>
        <v>0</v>
      </c>
      <c r="K306" s="27">
        <f>ROUND(F306*G306,2)</f>
        <v>0</v>
      </c>
      <c r="L306" s="29" t="s">
        <v>59</v>
      </c>
      <c r="Z306" s="27">
        <f>ROUND(IF(AQ306="5",BJ306,0),2)</f>
        <v>0</v>
      </c>
      <c r="AB306" s="27">
        <f>ROUND(IF(AQ306="1",BH306,0),2)</f>
        <v>0</v>
      </c>
      <c r="AC306" s="27">
        <f>ROUND(IF(AQ306="1",BI306,0),2)</f>
        <v>0</v>
      </c>
      <c r="AD306" s="27">
        <f>ROUND(IF(AQ306="7",BH306,0),2)</f>
        <v>0</v>
      </c>
      <c r="AE306" s="27">
        <f>ROUND(IF(AQ306="7",BI306,0),2)</f>
        <v>0</v>
      </c>
      <c r="AF306" s="27">
        <f>ROUND(IF(AQ306="2",BH306,0),2)</f>
        <v>0</v>
      </c>
      <c r="AG306" s="27">
        <f>ROUND(IF(AQ306="2",BI306,0),2)</f>
        <v>0</v>
      </c>
      <c r="AH306" s="27">
        <f>ROUND(IF(AQ306="0",BJ306,0),2)</f>
        <v>0</v>
      </c>
      <c r="AI306" s="12" t="s">
        <v>52</v>
      </c>
      <c r="AJ306" s="27">
        <f>IF(AN306=0,K306,0)</f>
        <v>0</v>
      </c>
      <c r="AK306" s="27">
        <f>IF(AN306=12,K306,0)</f>
        <v>0</v>
      </c>
      <c r="AL306" s="27">
        <f>IF(AN306=21,K306,0)</f>
        <v>0</v>
      </c>
      <c r="AN306" s="27">
        <v>12</v>
      </c>
      <c r="AO306" s="27">
        <f>G306*0</f>
        <v>0</v>
      </c>
      <c r="AP306" s="27">
        <f>G306*(1-0)</f>
        <v>0</v>
      </c>
      <c r="AQ306" s="30" t="s">
        <v>93</v>
      </c>
      <c r="AV306" s="27">
        <f>ROUND(AW306+AX306,2)</f>
        <v>0</v>
      </c>
      <c r="AW306" s="27">
        <f>ROUND(F306*AO306,2)</f>
        <v>0</v>
      </c>
      <c r="AX306" s="27">
        <f>ROUND(F306*AP306,2)</f>
        <v>0</v>
      </c>
      <c r="AY306" s="30" t="s">
        <v>564</v>
      </c>
      <c r="AZ306" s="30" t="s">
        <v>525</v>
      </c>
      <c r="BA306" s="12" t="s">
        <v>62</v>
      </c>
      <c r="BC306" s="27">
        <f>AW306+AX306</f>
        <v>0</v>
      </c>
      <c r="BD306" s="27">
        <f>G306/(100-BE306)*100</f>
        <v>0</v>
      </c>
      <c r="BE306" s="27">
        <v>0</v>
      </c>
      <c r="BF306" s="27">
        <f>306</f>
        <v>306</v>
      </c>
      <c r="BH306" s="27">
        <f>F306*AO306</f>
        <v>0</v>
      </c>
      <c r="BI306" s="27">
        <f>F306*AP306</f>
        <v>0</v>
      </c>
      <c r="BJ306" s="27">
        <f>F306*G306</f>
        <v>0</v>
      </c>
      <c r="BK306" s="30" t="s">
        <v>63</v>
      </c>
      <c r="BL306" s="27"/>
      <c r="BW306" s="27">
        <f>H306</f>
        <v>12</v>
      </c>
      <c r="BX306" s="5" t="s">
        <v>563</v>
      </c>
    </row>
    <row r="307" spans="1:76" x14ac:dyDescent="0.25">
      <c r="A307" s="31"/>
      <c r="C307" s="32" t="s">
        <v>565</v>
      </c>
      <c r="D307" s="32" t="s">
        <v>52</v>
      </c>
      <c r="F307" s="33">
        <v>5.6769999999999996</v>
      </c>
      <c r="L307" s="34"/>
    </row>
    <row r="308" spans="1:76" x14ac:dyDescent="0.25">
      <c r="A308" s="37" t="s">
        <v>52</v>
      </c>
      <c r="B308" s="38" t="s">
        <v>566</v>
      </c>
      <c r="C308" s="103" t="s">
        <v>567</v>
      </c>
      <c r="D308" s="104"/>
      <c r="E308" s="39" t="s">
        <v>4</v>
      </c>
      <c r="F308" s="39" t="s">
        <v>4</v>
      </c>
      <c r="G308" s="39" t="s">
        <v>4</v>
      </c>
      <c r="H308" s="39" t="s">
        <v>4</v>
      </c>
      <c r="I308" s="1">
        <f>SUM(I309:I388)</f>
        <v>0</v>
      </c>
      <c r="J308" s="1">
        <f>SUM(J309:J388)</f>
        <v>0</v>
      </c>
      <c r="K308" s="1">
        <f>SUM(K309:K388)</f>
        <v>0</v>
      </c>
      <c r="L308" s="40" t="s">
        <v>52</v>
      </c>
      <c r="AI308" s="12" t="s">
        <v>52</v>
      </c>
      <c r="AS308" s="1">
        <f>SUM(AJ309:AJ388)</f>
        <v>0</v>
      </c>
      <c r="AT308" s="1">
        <f>SUM(AK309:AK388)</f>
        <v>0</v>
      </c>
      <c r="AU308" s="1">
        <f>SUM(AL309:AL388)</f>
        <v>0</v>
      </c>
    </row>
    <row r="309" spans="1:76" x14ac:dyDescent="0.25">
      <c r="A309" s="2" t="s">
        <v>391</v>
      </c>
      <c r="B309" s="3" t="s">
        <v>568</v>
      </c>
      <c r="C309" s="84" t="s">
        <v>569</v>
      </c>
      <c r="D309" s="79"/>
      <c r="E309" s="3" t="s">
        <v>69</v>
      </c>
      <c r="F309" s="27">
        <v>6</v>
      </c>
      <c r="G309" s="27">
        <v>0</v>
      </c>
      <c r="H309" s="28">
        <v>12</v>
      </c>
      <c r="I309" s="27">
        <f>ROUND(F309*AO309,2)</f>
        <v>0</v>
      </c>
      <c r="J309" s="27">
        <f>ROUND(F309*AP309,2)</f>
        <v>0</v>
      </c>
      <c r="K309" s="27">
        <f>ROUND(F309*G309,2)</f>
        <v>0</v>
      </c>
      <c r="L309" s="29" t="s">
        <v>59</v>
      </c>
      <c r="Z309" s="27">
        <f>ROUND(IF(AQ309="5",BJ309,0),2)</f>
        <v>0</v>
      </c>
      <c r="AB309" s="27">
        <f>ROUND(IF(AQ309="1",BH309,0),2)</f>
        <v>0</v>
      </c>
      <c r="AC309" s="27">
        <f>ROUND(IF(AQ309="1",BI309,0),2)</f>
        <v>0</v>
      </c>
      <c r="AD309" s="27">
        <f>ROUND(IF(AQ309="7",BH309,0),2)</f>
        <v>0</v>
      </c>
      <c r="AE309" s="27">
        <f>ROUND(IF(AQ309="7",BI309,0),2)</f>
        <v>0</v>
      </c>
      <c r="AF309" s="27">
        <f>ROUND(IF(AQ309="2",BH309,0),2)</f>
        <v>0</v>
      </c>
      <c r="AG309" s="27">
        <f>ROUND(IF(AQ309="2",BI309,0),2)</f>
        <v>0</v>
      </c>
      <c r="AH309" s="27">
        <f>ROUND(IF(AQ309="0",BJ309,0),2)</f>
        <v>0</v>
      </c>
      <c r="AI309" s="12" t="s">
        <v>52</v>
      </c>
      <c r="AJ309" s="27">
        <f>IF(AN309=0,K309,0)</f>
        <v>0</v>
      </c>
      <c r="AK309" s="27">
        <f>IF(AN309=12,K309,0)</f>
        <v>0</v>
      </c>
      <c r="AL309" s="27">
        <f>IF(AN309=21,K309,0)</f>
        <v>0</v>
      </c>
      <c r="AN309" s="27">
        <v>12</v>
      </c>
      <c r="AO309" s="27">
        <f>G309*0.408180404</f>
        <v>0</v>
      </c>
      <c r="AP309" s="27">
        <f>G309*(1-0.408180404)</f>
        <v>0</v>
      </c>
      <c r="AQ309" s="30" t="s">
        <v>66</v>
      </c>
      <c r="AV309" s="27">
        <f>ROUND(AW309+AX309,2)</f>
        <v>0</v>
      </c>
      <c r="AW309" s="27">
        <f>ROUND(F309*AO309,2)</f>
        <v>0</v>
      </c>
      <c r="AX309" s="27">
        <f>ROUND(F309*AP309,2)</f>
        <v>0</v>
      </c>
      <c r="AY309" s="30" t="s">
        <v>570</v>
      </c>
      <c r="AZ309" s="30" t="s">
        <v>525</v>
      </c>
      <c r="BA309" s="12" t="s">
        <v>62</v>
      </c>
      <c r="BC309" s="27">
        <f>AW309+AX309</f>
        <v>0</v>
      </c>
      <c r="BD309" s="27">
        <f>G309/(100-BE309)*100</f>
        <v>0</v>
      </c>
      <c r="BE309" s="27">
        <v>0</v>
      </c>
      <c r="BF309" s="27">
        <f>309</f>
        <v>309</v>
      </c>
      <c r="BH309" s="27">
        <f>F309*AO309</f>
        <v>0</v>
      </c>
      <c r="BI309" s="27">
        <f>F309*AP309</f>
        <v>0</v>
      </c>
      <c r="BJ309" s="27">
        <f>F309*G309</f>
        <v>0</v>
      </c>
      <c r="BK309" s="30" t="s">
        <v>63</v>
      </c>
      <c r="BL309" s="27"/>
      <c r="BW309" s="27">
        <f>H309</f>
        <v>12</v>
      </c>
      <c r="BX309" s="5" t="s">
        <v>569</v>
      </c>
    </row>
    <row r="310" spans="1:76" x14ac:dyDescent="0.25">
      <c r="A310" s="31"/>
      <c r="C310" s="32" t="s">
        <v>99</v>
      </c>
      <c r="D310" s="32" t="s">
        <v>52</v>
      </c>
      <c r="F310" s="33">
        <v>6</v>
      </c>
      <c r="L310" s="34"/>
    </row>
    <row r="311" spans="1:76" x14ac:dyDescent="0.25">
      <c r="A311" s="31"/>
      <c r="B311" s="35" t="s">
        <v>71</v>
      </c>
      <c r="C311" s="100" t="s">
        <v>571</v>
      </c>
      <c r="D311" s="101"/>
      <c r="E311" s="101"/>
      <c r="F311" s="101"/>
      <c r="G311" s="101"/>
      <c r="H311" s="101"/>
      <c r="I311" s="101"/>
      <c r="J311" s="101"/>
      <c r="K311" s="101"/>
      <c r="L311" s="102"/>
      <c r="BX311" s="36" t="s">
        <v>571</v>
      </c>
    </row>
    <row r="312" spans="1:76" x14ac:dyDescent="0.25">
      <c r="A312" s="2" t="s">
        <v>393</v>
      </c>
      <c r="B312" s="3" t="s">
        <v>572</v>
      </c>
      <c r="C312" s="84" t="s">
        <v>573</v>
      </c>
      <c r="D312" s="79"/>
      <c r="E312" s="3" t="s">
        <v>69</v>
      </c>
      <c r="F312" s="27">
        <v>2</v>
      </c>
      <c r="G312" s="27">
        <v>0</v>
      </c>
      <c r="H312" s="28">
        <v>12</v>
      </c>
      <c r="I312" s="27">
        <f>ROUND(F312*AO312,2)</f>
        <v>0</v>
      </c>
      <c r="J312" s="27">
        <f>ROUND(F312*AP312,2)</f>
        <v>0</v>
      </c>
      <c r="K312" s="27">
        <f>ROUND(F312*G312,2)</f>
        <v>0</v>
      </c>
      <c r="L312" s="29" t="s">
        <v>59</v>
      </c>
      <c r="Z312" s="27">
        <f>ROUND(IF(AQ312="5",BJ312,0),2)</f>
        <v>0</v>
      </c>
      <c r="AB312" s="27">
        <f>ROUND(IF(AQ312="1",BH312,0),2)</f>
        <v>0</v>
      </c>
      <c r="AC312" s="27">
        <f>ROUND(IF(AQ312="1",BI312,0),2)</f>
        <v>0</v>
      </c>
      <c r="AD312" s="27">
        <f>ROUND(IF(AQ312="7",BH312,0),2)</f>
        <v>0</v>
      </c>
      <c r="AE312" s="27">
        <f>ROUND(IF(AQ312="7",BI312,0),2)</f>
        <v>0</v>
      </c>
      <c r="AF312" s="27">
        <f>ROUND(IF(AQ312="2",BH312,0),2)</f>
        <v>0</v>
      </c>
      <c r="AG312" s="27">
        <f>ROUND(IF(AQ312="2",BI312,0),2)</f>
        <v>0</v>
      </c>
      <c r="AH312" s="27">
        <f>ROUND(IF(AQ312="0",BJ312,0),2)</f>
        <v>0</v>
      </c>
      <c r="AI312" s="12" t="s">
        <v>52</v>
      </c>
      <c r="AJ312" s="27">
        <f>IF(AN312=0,K312,0)</f>
        <v>0</v>
      </c>
      <c r="AK312" s="27">
        <f>IF(AN312=12,K312,0)</f>
        <v>0</v>
      </c>
      <c r="AL312" s="27">
        <f>IF(AN312=21,K312,0)</f>
        <v>0</v>
      </c>
      <c r="AN312" s="27">
        <v>12</v>
      </c>
      <c r="AO312" s="27">
        <f>G312*0.403683176</f>
        <v>0</v>
      </c>
      <c r="AP312" s="27">
        <f>G312*(1-0.403683176)</f>
        <v>0</v>
      </c>
      <c r="AQ312" s="30" t="s">
        <v>66</v>
      </c>
      <c r="AV312" s="27">
        <f>ROUND(AW312+AX312,2)</f>
        <v>0</v>
      </c>
      <c r="AW312" s="27">
        <f>ROUND(F312*AO312,2)</f>
        <v>0</v>
      </c>
      <c r="AX312" s="27">
        <f>ROUND(F312*AP312,2)</f>
        <v>0</v>
      </c>
      <c r="AY312" s="30" t="s">
        <v>570</v>
      </c>
      <c r="AZ312" s="30" t="s">
        <v>525</v>
      </c>
      <c r="BA312" s="12" t="s">
        <v>62</v>
      </c>
      <c r="BC312" s="27">
        <f>AW312+AX312</f>
        <v>0</v>
      </c>
      <c r="BD312" s="27">
        <f>G312/(100-BE312)*100</f>
        <v>0</v>
      </c>
      <c r="BE312" s="27">
        <v>0</v>
      </c>
      <c r="BF312" s="27">
        <f>312</f>
        <v>312</v>
      </c>
      <c r="BH312" s="27">
        <f>F312*AO312</f>
        <v>0</v>
      </c>
      <c r="BI312" s="27">
        <f>F312*AP312</f>
        <v>0</v>
      </c>
      <c r="BJ312" s="27">
        <f>F312*G312</f>
        <v>0</v>
      </c>
      <c r="BK312" s="30" t="s">
        <v>63</v>
      </c>
      <c r="BL312" s="27"/>
      <c r="BW312" s="27">
        <f>H312</f>
        <v>12</v>
      </c>
      <c r="BX312" s="5" t="s">
        <v>573</v>
      </c>
    </row>
    <row r="313" spans="1:76" x14ac:dyDescent="0.25">
      <c r="A313" s="31"/>
      <c r="C313" s="32" t="s">
        <v>66</v>
      </c>
      <c r="D313" s="32" t="s">
        <v>52</v>
      </c>
      <c r="F313" s="33">
        <v>2</v>
      </c>
      <c r="L313" s="34"/>
    </row>
    <row r="314" spans="1:76" x14ac:dyDescent="0.25">
      <c r="A314" s="31"/>
      <c r="B314" s="35" t="s">
        <v>71</v>
      </c>
      <c r="C314" s="100" t="s">
        <v>571</v>
      </c>
      <c r="D314" s="101"/>
      <c r="E314" s="101"/>
      <c r="F314" s="101"/>
      <c r="G314" s="101"/>
      <c r="H314" s="101"/>
      <c r="I314" s="101"/>
      <c r="J314" s="101"/>
      <c r="K314" s="101"/>
      <c r="L314" s="102"/>
      <c r="BX314" s="36" t="s">
        <v>571</v>
      </c>
    </row>
    <row r="315" spans="1:76" x14ac:dyDescent="0.25">
      <c r="A315" s="2" t="s">
        <v>574</v>
      </c>
      <c r="B315" s="3" t="s">
        <v>575</v>
      </c>
      <c r="C315" s="84" t="s">
        <v>576</v>
      </c>
      <c r="D315" s="79"/>
      <c r="E315" s="3" t="s">
        <v>69</v>
      </c>
      <c r="F315" s="27">
        <v>1</v>
      </c>
      <c r="G315" s="27">
        <v>0</v>
      </c>
      <c r="H315" s="28">
        <v>12</v>
      </c>
      <c r="I315" s="27">
        <f>ROUND(F315*AO315,2)</f>
        <v>0</v>
      </c>
      <c r="J315" s="27">
        <f>ROUND(F315*AP315,2)</f>
        <v>0</v>
      </c>
      <c r="K315" s="27">
        <f>ROUND(F315*G315,2)</f>
        <v>0</v>
      </c>
      <c r="L315" s="29" t="s">
        <v>59</v>
      </c>
      <c r="Z315" s="27">
        <f>ROUND(IF(AQ315="5",BJ315,0),2)</f>
        <v>0</v>
      </c>
      <c r="AB315" s="27">
        <f>ROUND(IF(AQ315="1",BH315,0),2)</f>
        <v>0</v>
      </c>
      <c r="AC315" s="27">
        <f>ROUND(IF(AQ315="1",BI315,0),2)</f>
        <v>0</v>
      </c>
      <c r="AD315" s="27">
        <f>ROUND(IF(AQ315="7",BH315,0),2)</f>
        <v>0</v>
      </c>
      <c r="AE315" s="27">
        <f>ROUND(IF(AQ315="7",BI315,0),2)</f>
        <v>0</v>
      </c>
      <c r="AF315" s="27">
        <f>ROUND(IF(AQ315="2",BH315,0),2)</f>
        <v>0</v>
      </c>
      <c r="AG315" s="27">
        <f>ROUND(IF(AQ315="2",BI315,0),2)</f>
        <v>0</v>
      </c>
      <c r="AH315" s="27">
        <f>ROUND(IF(AQ315="0",BJ315,0),2)</f>
        <v>0</v>
      </c>
      <c r="AI315" s="12" t="s">
        <v>52</v>
      </c>
      <c r="AJ315" s="27">
        <f>IF(AN315=0,K315,0)</f>
        <v>0</v>
      </c>
      <c r="AK315" s="27">
        <f>IF(AN315=12,K315,0)</f>
        <v>0</v>
      </c>
      <c r="AL315" s="27">
        <f>IF(AN315=21,K315,0)</f>
        <v>0</v>
      </c>
      <c r="AN315" s="27">
        <v>12</v>
      </c>
      <c r="AO315" s="27">
        <f>G315*0.451161912</f>
        <v>0</v>
      </c>
      <c r="AP315" s="27">
        <f>G315*(1-0.451161912)</f>
        <v>0</v>
      </c>
      <c r="AQ315" s="30" t="s">
        <v>66</v>
      </c>
      <c r="AV315" s="27">
        <f>ROUND(AW315+AX315,2)</f>
        <v>0</v>
      </c>
      <c r="AW315" s="27">
        <f>ROUND(F315*AO315,2)</f>
        <v>0</v>
      </c>
      <c r="AX315" s="27">
        <f>ROUND(F315*AP315,2)</f>
        <v>0</v>
      </c>
      <c r="AY315" s="30" t="s">
        <v>570</v>
      </c>
      <c r="AZ315" s="30" t="s">
        <v>525</v>
      </c>
      <c r="BA315" s="12" t="s">
        <v>62</v>
      </c>
      <c r="BC315" s="27">
        <f>AW315+AX315</f>
        <v>0</v>
      </c>
      <c r="BD315" s="27">
        <f>G315/(100-BE315)*100</f>
        <v>0</v>
      </c>
      <c r="BE315" s="27">
        <v>0</v>
      </c>
      <c r="BF315" s="27">
        <f>315</f>
        <v>315</v>
      </c>
      <c r="BH315" s="27">
        <f>F315*AO315</f>
        <v>0</v>
      </c>
      <c r="BI315" s="27">
        <f>F315*AP315</f>
        <v>0</v>
      </c>
      <c r="BJ315" s="27">
        <f>F315*G315</f>
        <v>0</v>
      </c>
      <c r="BK315" s="30" t="s">
        <v>63</v>
      </c>
      <c r="BL315" s="27"/>
      <c r="BW315" s="27">
        <f>H315</f>
        <v>12</v>
      </c>
      <c r="BX315" s="5" t="s">
        <v>576</v>
      </c>
    </row>
    <row r="316" spans="1:76" x14ac:dyDescent="0.25">
      <c r="A316" s="31"/>
      <c r="C316" s="32" t="s">
        <v>55</v>
      </c>
      <c r="D316" s="32" t="s">
        <v>52</v>
      </c>
      <c r="F316" s="33">
        <v>1</v>
      </c>
      <c r="L316" s="34"/>
    </row>
    <row r="317" spans="1:76" x14ac:dyDescent="0.25">
      <c r="A317" s="31"/>
      <c r="B317" s="35" t="s">
        <v>71</v>
      </c>
      <c r="C317" s="100" t="s">
        <v>577</v>
      </c>
      <c r="D317" s="101"/>
      <c r="E317" s="101"/>
      <c r="F317" s="101"/>
      <c r="G317" s="101"/>
      <c r="H317" s="101"/>
      <c r="I317" s="101"/>
      <c r="J317" s="101"/>
      <c r="K317" s="101"/>
      <c r="L317" s="102"/>
      <c r="BX317" s="36" t="s">
        <v>577</v>
      </c>
    </row>
    <row r="318" spans="1:76" x14ac:dyDescent="0.25">
      <c r="A318" s="2" t="s">
        <v>578</v>
      </c>
      <c r="B318" s="3" t="s">
        <v>575</v>
      </c>
      <c r="C318" s="84" t="s">
        <v>579</v>
      </c>
      <c r="D318" s="79"/>
      <c r="E318" s="3" t="s">
        <v>69</v>
      </c>
      <c r="F318" s="27">
        <v>1</v>
      </c>
      <c r="G318" s="27">
        <v>0</v>
      </c>
      <c r="H318" s="28">
        <v>12</v>
      </c>
      <c r="I318" s="27">
        <f>ROUND(F318*AO318,2)</f>
        <v>0</v>
      </c>
      <c r="J318" s="27">
        <f>ROUND(F318*AP318,2)</f>
        <v>0</v>
      </c>
      <c r="K318" s="27">
        <f>ROUND(F318*G318,2)</f>
        <v>0</v>
      </c>
      <c r="L318" s="29" t="s">
        <v>59</v>
      </c>
      <c r="Z318" s="27">
        <f>ROUND(IF(AQ318="5",BJ318,0),2)</f>
        <v>0</v>
      </c>
      <c r="AB318" s="27">
        <f>ROUND(IF(AQ318="1",BH318,0),2)</f>
        <v>0</v>
      </c>
      <c r="AC318" s="27">
        <f>ROUND(IF(AQ318="1",BI318,0),2)</f>
        <v>0</v>
      </c>
      <c r="AD318" s="27">
        <f>ROUND(IF(AQ318="7",BH318,0),2)</f>
        <v>0</v>
      </c>
      <c r="AE318" s="27">
        <f>ROUND(IF(AQ318="7",BI318,0),2)</f>
        <v>0</v>
      </c>
      <c r="AF318" s="27">
        <f>ROUND(IF(AQ318="2",BH318,0),2)</f>
        <v>0</v>
      </c>
      <c r="AG318" s="27">
        <f>ROUND(IF(AQ318="2",BI318,0),2)</f>
        <v>0</v>
      </c>
      <c r="AH318" s="27">
        <f>ROUND(IF(AQ318="0",BJ318,0),2)</f>
        <v>0</v>
      </c>
      <c r="AI318" s="12" t="s">
        <v>52</v>
      </c>
      <c r="AJ318" s="27">
        <f>IF(AN318=0,K318,0)</f>
        <v>0</v>
      </c>
      <c r="AK318" s="27">
        <f>IF(AN318=12,K318,0)</f>
        <v>0</v>
      </c>
      <c r="AL318" s="27">
        <f>IF(AN318=21,K318,0)</f>
        <v>0</v>
      </c>
      <c r="AN318" s="27">
        <v>12</v>
      </c>
      <c r="AO318" s="27">
        <f>G318*0.451161912</f>
        <v>0</v>
      </c>
      <c r="AP318" s="27">
        <f>G318*(1-0.451161912)</f>
        <v>0</v>
      </c>
      <c r="AQ318" s="30" t="s">
        <v>66</v>
      </c>
      <c r="AV318" s="27">
        <f>ROUND(AW318+AX318,2)</f>
        <v>0</v>
      </c>
      <c r="AW318" s="27">
        <f>ROUND(F318*AO318,2)</f>
        <v>0</v>
      </c>
      <c r="AX318" s="27">
        <f>ROUND(F318*AP318,2)</f>
        <v>0</v>
      </c>
      <c r="AY318" s="30" t="s">
        <v>570</v>
      </c>
      <c r="AZ318" s="30" t="s">
        <v>525</v>
      </c>
      <c r="BA318" s="12" t="s">
        <v>62</v>
      </c>
      <c r="BC318" s="27">
        <f>AW318+AX318</f>
        <v>0</v>
      </c>
      <c r="BD318" s="27">
        <f>G318/(100-BE318)*100</f>
        <v>0</v>
      </c>
      <c r="BE318" s="27">
        <v>0</v>
      </c>
      <c r="BF318" s="27">
        <f>318</f>
        <v>318</v>
      </c>
      <c r="BH318" s="27">
        <f>F318*AO318</f>
        <v>0</v>
      </c>
      <c r="BI318" s="27">
        <f>F318*AP318</f>
        <v>0</v>
      </c>
      <c r="BJ318" s="27">
        <f>F318*G318</f>
        <v>0</v>
      </c>
      <c r="BK318" s="30" t="s">
        <v>63</v>
      </c>
      <c r="BL318" s="27"/>
      <c r="BW318" s="27">
        <f>H318</f>
        <v>12</v>
      </c>
      <c r="BX318" s="5" t="s">
        <v>579</v>
      </c>
    </row>
    <row r="319" spans="1:76" x14ac:dyDescent="0.25">
      <c r="A319" s="31"/>
      <c r="C319" s="32" t="s">
        <v>55</v>
      </c>
      <c r="D319" s="32" t="s">
        <v>52</v>
      </c>
      <c r="F319" s="33">
        <v>1</v>
      </c>
      <c r="L319" s="34"/>
    </row>
    <row r="320" spans="1:76" x14ac:dyDescent="0.25">
      <c r="A320" s="31"/>
      <c r="B320" s="35" t="s">
        <v>71</v>
      </c>
      <c r="C320" s="100" t="s">
        <v>571</v>
      </c>
      <c r="D320" s="101"/>
      <c r="E320" s="101"/>
      <c r="F320" s="101"/>
      <c r="G320" s="101"/>
      <c r="H320" s="101"/>
      <c r="I320" s="101"/>
      <c r="J320" s="101"/>
      <c r="K320" s="101"/>
      <c r="L320" s="102"/>
      <c r="BX320" s="36" t="s">
        <v>571</v>
      </c>
    </row>
    <row r="321" spans="1:76" x14ac:dyDescent="0.25">
      <c r="A321" s="2" t="s">
        <v>580</v>
      </c>
      <c r="B321" s="3" t="s">
        <v>581</v>
      </c>
      <c r="C321" s="84" t="s">
        <v>582</v>
      </c>
      <c r="D321" s="79"/>
      <c r="E321" s="3" t="s">
        <v>69</v>
      </c>
      <c r="F321" s="27">
        <v>6</v>
      </c>
      <c r="G321" s="27">
        <v>0</v>
      </c>
      <c r="H321" s="28">
        <v>12</v>
      </c>
      <c r="I321" s="27">
        <f>ROUND(F321*AO321,2)</f>
        <v>0</v>
      </c>
      <c r="J321" s="27">
        <f>ROUND(F321*AP321,2)</f>
        <v>0</v>
      </c>
      <c r="K321" s="27">
        <f>ROUND(F321*G321,2)</f>
        <v>0</v>
      </c>
      <c r="L321" s="29" t="s">
        <v>59</v>
      </c>
      <c r="Z321" s="27">
        <f>ROUND(IF(AQ321="5",BJ321,0),2)</f>
        <v>0</v>
      </c>
      <c r="AB321" s="27">
        <f>ROUND(IF(AQ321="1",BH321,0),2)</f>
        <v>0</v>
      </c>
      <c r="AC321" s="27">
        <f>ROUND(IF(AQ321="1",BI321,0),2)</f>
        <v>0</v>
      </c>
      <c r="AD321" s="27">
        <f>ROUND(IF(AQ321="7",BH321,0),2)</f>
        <v>0</v>
      </c>
      <c r="AE321" s="27">
        <f>ROUND(IF(AQ321="7",BI321,0),2)</f>
        <v>0</v>
      </c>
      <c r="AF321" s="27">
        <f>ROUND(IF(AQ321="2",BH321,0),2)</f>
        <v>0</v>
      </c>
      <c r="AG321" s="27">
        <f>ROUND(IF(AQ321="2",BI321,0),2)</f>
        <v>0</v>
      </c>
      <c r="AH321" s="27">
        <f>ROUND(IF(AQ321="0",BJ321,0),2)</f>
        <v>0</v>
      </c>
      <c r="AI321" s="12" t="s">
        <v>52</v>
      </c>
      <c r="AJ321" s="27">
        <f>IF(AN321=0,K321,0)</f>
        <v>0</v>
      </c>
      <c r="AK321" s="27">
        <f>IF(AN321=12,K321,0)</f>
        <v>0</v>
      </c>
      <c r="AL321" s="27">
        <f>IF(AN321=21,K321,0)</f>
        <v>0</v>
      </c>
      <c r="AN321" s="27">
        <v>12</v>
      </c>
      <c r="AO321" s="27">
        <f>G321*0.590292553</f>
        <v>0</v>
      </c>
      <c r="AP321" s="27">
        <f>G321*(1-0.590292553)</f>
        <v>0</v>
      </c>
      <c r="AQ321" s="30" t="s">
        <v>66</v>
      </c>
      <c r="AV321" s="27">
        <f>ROUND(AW321+AX321,2)</f>
        <v>0</v>
      </c>
      <c r="AW321" s="27">
        <f>ROUND(F321*AO321,2)</f>
        <v>0</v>
      </c>
      <c r="AX321" s="27">
        <f>ROUND(F321*AP321,2)</f>
        <v>0</v>
      </c>
      <c r="AY321" s="30" t="s">
        <v>570</v>
      </c>
      <c r="AZ321" s="30" t="s">
        <v>525</v>
      </c>
      <c r="BA321" s="12" t="s">
        <v>62</v>
      </c>
      <c r="BC321" s="27">
        <f>AW321+AX321</f>
        <v>0</v>
      </c>
      <c r="BD321" s="27">
        <f>G321/(100-BE321)*100</f>
        <v>0</v>
      </c>
      <c r="BE321" s="27">
        <v>0</v>
      </c>
      <c r="BF321" s="27">
        <f>321</f>
        <v>321</v>
      </c>
      <c r="BH321" s="27">
        <f>F321*AO321</f>
        <v>0</v>
      </c>
      <c r="BI321" s="27">
        <f>F321*AP321</f>
        <v>0</v>
      </c>
      <c r="BJ321" s="27">
        <f>F321*G321</f>
        <v>0</v>
      </c>
      <c r="BK321" s="30" t="s">
        <v>63</v>
      </c>
      <c r="BL321" s="27"/>
      <c r="BW321" s="27">
        <f>H321</f>
        <v>12</v>
      </c>
      <c r="BX321" s="5" t="s">
        <v>582</v>
      </c>
    </row>
    <row r="322" spans="1:76" x14ac:dyDescent="0.25">
      <c r="A322" s="31"/>
      <c r="C322" s="32" t="s">
        <v>99</v>
      </c>
      <c r="D322" s="32" t="s">
        <v>52</v>
      </c>
      <c r="F322" s="33">
        <v>6</v>
      </c>
      <c r="L322" s="34"/>
    </row>
    <row r="323" spans="1:76" x14ac:dyDescent="0.25">
      <c r="A323" s="31"/>
      <c r="B323" s="35" t="s">
        <v>71</v>
      </c>
      <c r="C323" s="100" t="s">
        <v>583</v>
      </c>
      <c r="D323" s="101"/>
      <c r="E323" s="101"/>
      <c r="F323" s="101"/>
      <c r="G323" s="101"/>
      <c r="H323" s="101"/>
      <c r="I323" s="101"/>
      <c r="J323" s="101"/>
      <c r="K323" s="101"/>
      <c r="L323" s="102"/>
      <c r="BX323" s="36" t="s">
        <v>583</v>
      </c>
    </row>
    <row r="324" spans="1:76" x14ac:dyDescent="0.25">
      <c r="A324" s="2" t="s">
        <v>584</v>
      </c>
      <c r="B324" s="3" t="s">
        <v>585</v>
      </c>
      <c r="C324" s="84" t="s">
        <v>586</v>
      </c>
      <c r="D324" s="79"/>
      <c r="E324" s="3" t="s">
        <v>69</v>
      </c>
      <c r="F324" s="27">
        <v>11</v>
      </c>
      <c r="G324" s="27">
        <v>0</v>
      </c>
      <c r="H324" s="28">
        <v>12</v>
      </c>
      <c r="I324" s="27">
        <f>ROUND(F324*AO324,2)</f>
        <v>0</v>
      </c>
      <c r="J324" s="27">
        <f>ROUND(F324*AP324,2)</f>
        <v>0</v>
      </c>
      <c r="K324" s="27">
        <f>ROUND(F324*G324,2)</f>
        <v>0</v>
      </c>
      <c r="L324" s="29" t="s">
        <v>59</v>
      </c>
      <c r="Z324" s="27">
        <f>ROUND(IF(AQ324="5",BJ324,0),2)</f>
        <v>0</v>
      </c>
      <c r="AB324" s="27">
        <f>ROUND(IF(AQ324="1",BH324,0),2)</f>
        <v>0</v>
      </c>
      <c r="AC324" s="27">
        <f>ROUND(IF(AQ324="1",BI324,0),2)</f>
        <v>0</v>
      </c>
      <c r="AD324" s="27">
        <f>ROUND(IF(AQ324="7",BH324,0),2)</f>
        <v>0</v>
      </c>
      <c r="AE324" s="27">
        <f>ROUND(IF(AQ324="7",BI324,0),2)</f>
        <v>0</v>
      </c>
      <c r="AF324" s="27">
        <f>ROUND(IF(AQ324="2",BH324,0),2)</f>
        <v>0</v>
      </c>
      <c r="AG324" s="27">
        <f>ROUND(IF(AQ324="2",BI324,0),2)</f>
        <v>0</v>
      </c>
      <c r="AH324" s="27">
        <f>ROUND(IF(AQ324="0",BJ324,0),2)</f>
        <v>0</v>
      </c>
      <c r="AI324" s="12" t="s">
        <v>52</v>
      </c>
      <c r="AJ324" s="27">
        <f>IF(AN324=0,K324,0)</f>
        <v>0</v>
      </c>
      <c r="AK324" s="27">
        <f>IF(AN324=12,K324,0)</f>
        <v>0</v>
      </c>
      <c r="AL324" s="27">
        <f>IF(AN324=21,K324,0)</f>
        <v>0</v>
      </c>
      <c r="AN324" s="27">
        <v>12</v>
      </c>
      <c r="AO324" s="27">
        <f>G324*0.659362637</f>
        <v>0</v>
      </c>
      <c r="AP324" s="27">
        <f>G324*(1-0.659362637)</f>
        <v>0</v>
      </c>
      <c r="AQ324" s="30" t="s">
        <v>66</v>
      </c>
      <c r="AV324" s="27">
        <f>ROUND(AW324+AX324,2)</f>
        <v>0</v>
      </c>
      <c r="AW324" s="27">
        <f>ROUND(F324*AO324,2)</f>
        <v>0</v>
      </c>
      <c r="AX324" s="27">
        <f>ROUND(F324*AP324,2)</f>
        <v>0</v>
      </c>
      <c r="AY324" s="30" t="s">
        <v>570</v>
      </c>
      <c r="AZ324" s="30" t="s">
        <v>525</v>
      </c>
      <c r="BA324" s="12" t="s">
        <v>62</v>
      </c>
      <c r="BC324" s="27">
        <f>AW324+AX324</f>
        <v>0</v>
      </c>
      <c r="BD324" s="27">
        <f>G324/(100-BE324)*100</f>
        <v>0</v>
      </c>
      <c r="BE324" s="27">
        <v>0</v>
      </c>
      <c r="BF324" s="27">
        <f>324</f>
        <v>324</v>
      </c>
      <c r="BH324" s="27">
        <f>F324*AO324</f>
        <v>0</v>
      </c>
      <c r="BI324" s="27">
        <f>F324*AP324</f>
        <v>0</v>
      </c>
      <c r="BJ324" s="27">
        <f>F324*G324</f>
        <v>0</v>
      </c>
      <c r="BK324" s="30" t="s">
        <v>63</v>
      </c>
      <c r="BL324" s="27"/>
      <c r="BW324" s="27">
        <f>H324</f>
        <v>12</v>
      </c>
      <c r="BX324" s="5" t="s">
        <v>586</v>
      </c>
    </row>
    <row r="325" spans="1:76" x14ac:dyDescent="0.25">
      <c r="A325" s="31"/>
      <c r="C325" s="32" t="s">
        <v>126</v>
      </c>
      <c r="D325" s="32" t="s">
        <v>52</v>
      </c>
      <c r="F325" s="33">
        <v>11</v>
      </c>
      <c r="L325" s="34"/>
    </row>
    <row r="326" spans="1:76" x14ac:dyDescent="0.25">
      <c r="A326" s="31"/>
      <c r="B326" s="35" t="s">
        <v>71</v>
      </c>
      <c r="C326" s="100" t="s">
        <v>583</v>
      </c>
      <c r="D326" s="101"/>
      <c r="E326" s="101"/>
      <c r="F326" s="101"/>
      <c r="G326" s="101"/>
      <c r="H326" s="101"/>
      <c r="I326" s="101"/>
      <c r="J326" s="101"/>
      <c r="K326" s="101"/>
      <c r="L326" s="102"/>
      <c r="BX326" s="36" t="s">
        <v>583</v>
      </c>
    </row>
    <row r="327" spans="1:76" x14ac:dyDescent="0.25">
      <c r="A327" s="2" t="s">
        <v>587</v>
      </c>
      <c r="B327" s="3" t="s">
        <v>588</v>
      </c>
      <c r="C327" s="84" t="s">
        <v>589</v>
      </c>
      <c r="D327" s="79"/>
      <c r="E327" s="3" t="s">
        <v>69</v>
      </c>
      <c r="F327" s="27">
        <v>1</v>
      </c>
      <c r="G327" s="27">
        <v>0</v>
      </c>
      <c r="H327" s="28">
        <v>12</v>
      </c>
      <c r="I327" s="27">
        <f>ROUND(F327*AO327,2)</f>
        <v>0</v>
      </c>
      <c r="J327" s="27">
        <f>ROUND(F327*AP327,2)</f>
        <v>0</v>
      </c>
      <c r="K327" s="27">
        <f>ROUND(F327*G327,2)</f>
        <v>0</v>
      </c>
      <c r="L327" s="29" t="s">
        <v>59</v>
      </c>
      <c r="Z327" s="27">
        <f>ROUND(IF(AQ327="5",BJ327,0),2)</f>
        <v>0</v>
      </c>
      <c r="AB327" s="27">
        <f>ROUND(IF(AQ327="1",BH327,0),2)</f>
        <v>0</v>
      </c>
      <c r="AC327" s="27">
        <f>ROUND(IF(AQ327="1",BI327,0),2)</f>
        <v>0</v>
      </c>
      <c r="AD327" s="27">
        <f>ROUND(IF(AQ327="7",BH327,0),2)</f>
        <v>0</v>
      </c>
      <c r="AE327" s="27">
        <f>ROUND(IF(AQ327="7",BI327,0),2)</f>
        <v>0</v>
      </c>
      <c r="AF327" s="27">
        <f>ROUND(IF(AQ327="2",BH327,0),2)</f>
        <v>0</v>
      </c>
      <c r="AG327" s="27">
        <f>ROUND(IF(AQ327="2",BI327,0),2)</f>
        <v>0</v>
      </c>
      <c r="AH327" s="27">
        <f>ROUND(IF(AQ327="0",BJ327,0),2)</f>
        <v>0</v>
      </c>
      <c r="AI327" s="12" t="s">
        <v>52</v>
      </c>
      <c r="AJ327" s="27">
        <f>IF(AN327=0,K327,0)</f>
        <v>0</v>
      </c>
      <c r="AK327" s="27">
        <f>IF(AN327=12,K327,0)</f>
        <v>0</v>
      </c>
      <c r="AL327" s="27">
        <f>IF(AN327=21,K327,0)</f>
        <v>0</v>
      </c>
      <c r="AN327" s="27">
        <v>12</v>
      </c>
      <c r="AO327" s="27">
        <f>G327*0</f>
        <v>0</v>
      </c>
      <c r="AP327" s="27">
        <f>G327*(1-0)</f>
        <v>0</v>
      </c>
      <c r="AQ327" s="30" t="s">
        <v>66</v>
      </c>
      <c r="AV327" s="27">
        <f>ROUND(AW327+AX327,2)</f>
        <v>0</v>
      </c>
      <c r="AW327" s="27">
        <f>ROUND(F327*AO327,2)</f>
        <v>0</v>
      </c>
      <c r="AX327" s="27">
        <f>ROUND(F327*AP327,2)</f>
        <v>0</v>
      </c>
      <c r="AY327" s="30" t="s">
        <v>570</v>
      </c>
      <c r="AZ327" s="30" t="s">
        <v>525</v>
      </c>
      <c r="BA327" s="12" t="s">
        <v>62</v>
      </c>
      <c r="BC327" s="27">
        <f>AW327+AX327</f>
        <v>0</v>
      </c>
      <c r="BD327" s="27">
        <f>G327/(100-BE327)*100</f>
        <v>0</v>
      </c>
      <c r="BE327" s="27">
        <v>0</v>
      </c>
      <c r="BF327" s="27">
        <f>327</f>
        <v>327</v>
      </c>
      <c r="BH327" s="27">
        <f>F327*AO327</f>
        <v>0</v>
      </c>
      <c r="BI327" s="27">
        <f>F327*AP327</f>
        <v>0</v>
      </c>
      <c r="BJ327" s="27">
        <f>F327*G327</f>
        <v>0</v>
      </c>
      <c r="BK327" s="30" t="s">
        <v>63</v>
      </c>
      <c r="BL327" s="27"/>
      <c r="BW327" s="27">
        <f>H327</f>
        <v>12</v>
      </c>
      <c r="BX327" s="5" t="s">
        <v>589</v>
      </c>
    </row>
    <row r="328" spans="1:76" x14ac:dyDescent="0.25">
      <c r="A328" s="31"/>
      <c r="C328" s="32" t="s">
        <v>55</v>
      </c>
      <c r="D328" s="32" t="s">
        <v>52</v>
      </c>
      <c r="F328" s="33">
        <v>1</v>
      </c>
      <c r="L328" s="34"/>
    </row>
    <row r="329" spans="1:76" x14ac:dyDescent="0.25">
      <c r="A329" s="2" t="s">
        <v>590</v>
      </c>
      <c r="B329" s="3" t="s">
        <v>591</v>
      </c>
      <c r="C329" s="84" t="s">
        <v>592</v>
      </c>
      <c r="D329" s="79"/>
      <c r="E329" s="3" t="s">
        <v>416</v>
      </c>
      <c r="F329" s="27">
        <v>1</v>
      </c>
      <c r="G329" s="27">
        <v>0</v>
      </c>
      <c r="H329" s="28">
        <v>12</v>
      </c>
      <c r="I329" s="27">
        <f>ROUND(F329*AO329,2)</f>
        <v>0</v>
      </c>
      <c r="J329" s="27">
        <f>ROUND(F329*AP329,2)</f>
        <v>0</v>
      </c>
      <c r="K329" s="27">
        <f>ROUND(F329*G329,2)</f>
        <v>0</v>
      </c>
      <c r="L329" s="29" t="s">
        <v>59</v>
      </c>
      <c r="Z329" s="27">
        <f>ROUND(IF(AQ329="5",BJ329,0),2)</f>
        <v>0</v>
      </c>
      <c r="AB329" s="27">
        <f>ROUND(IF(AQ329="1",BH329,0),2)</f>
        <v>0</v>
      </c>
      <c r="AC329" s="27">
        <f>ROUND(IF(AQ329="1",BI329,0),2)</f>
        <v>0</v>
      </c>
      <c r="AD329" s="27">
        <f>ROUND(IF(AQ329="7",BH329,0),2)</f>
        <v>0</v>
      </c>
      <c r="AE329" s="27">
        <f>ROUND(IF(AQ329="7",BI329,0),2)</f>
        <v>0</v>
      </c>
      <c r="AF329" s="27">
        <f>ROUND(IF(AQ329="2",BH329,0),2)</f>
        <v>0</v>
      </c>
      <c r="AG329" s="27">
        <f>ROUND(IF(AQ329="2",BI329,0),2)</f>
        <v>0</v>
      </c>
      <c r="AH329" s="27">
        <f>ROUND(IF(AQ329="0",BJ329,0),2)</f>
        <v>0</v>
      </c>
      <c r="AI329" s="12" t="s">
        <v>52</v>
      </c>
      <c r="AJ329" s="27">
        <f>IF(AN329=0,K329,0)</f>
        <v>0</v>
      </c>
      <c r="AK329" s="27">
        <f>IF(AN329=12,K329,0)</f>
        <v>0</v>
      </c>
      <c r="AL329" s="27">
        <f>IF(AN329=21,K329,0)</f>
        <v>0</v>
      </c>
      <c r="AN329" s="27">
        <v>12</v>
      </c>
      <c r="AO329" s="27">
        <f>G329*0</f>
        <v>0</v>
      </c>
      <c r="AP329" s="27">
        <f>G329*(1-0)</f>
        <v>0</v>
      </c>
      <c r="AQ329" s="30" t="s">
        <v>66</v>
      </c>
      <c r="AV329" s="27">
        <f>ROUND(AW329+AX329,2)</f>
        <v>0</v>
      </c>
      <c r="AW329" s="27">
        <f>ROUND(F329*AO329,2)</f>
        <v>0</v>
      </c>
      <c r="AX329" s="27">
        <f>ROUND(F329*AP329,2)</f>
        <v>0</v>
      </c>
      <c r="AY329" s="30" t="s">
        <v>570</v>
      </c>
      <c r="AZ329" s="30" t="s">
        <v>525</v>
      </c>
      <c r="BA329" s="12" t="s">
        <v>62</v>
      </c>
      <c r="BC329" s="27">
        <f>AW329+AX329</f>
        <v>0</v>
      </c>
      <c r="BD329" s="27">
        <f>G329/(100-BE329)*100</f>
        <v>0</v>
      </c>
      <c r="BE329" s="27">
        <v>0</v>
      </c>
      <c r="BF329" s="27">
        <f>329</f>
        <v>329</v>
      </c>
      <c r="BH329" s="27">
        <f>F329*AO329</f>
        <v>0</v>
      </c>
      <c r="BI329" s="27">
        <f>F329*AP329</f>
        <v>0</v>
      </c>
      <c r="BJ329" s="27">
        <f>F329*G329</f>
        <v>0</v>
      </c>
      <c r="BK329" s="30" t="s">
        <v>63</v>
      </c>
      <c r="BL329" s="27"/>
      <c r="BW329" s="27">
        <f>H329</f>
        <v>12</v>
      </c>
      <c r="BX329" s="5" t="s">
        <v>592</v>
      </c>
    </row>
    <row r="330" spans="1:76" x14ac:dyDescent="0.25">
      <c r="A330" s="31"/>
      <c r="C330" s="32" t="s">
        <v>55</v>
      </c>
      <c r="D330" s="32" t="s">
        <v>52</v>
      </c>
      <c r="F330" s="33">
        <v>1</v>
      </c>
      <c r="L330" s="34"/>
    </row>
    <row r="331" spans="1:76" x14ac:dyDescent="0.25">
      <c r="A331" s="2" t="s">
        <v>593</v>
      </c>
      <c r="B331" s="3" t="s">
        <v>594</v>
      </c>
      <c r="C331" s="84" t="s">
        <v>595</v>
      </c>
      <c r="D331" s="79"/>
      <c r="E331" s="3" t="s">
        <v>69</v>
      </c>
      <c r="F331" s="27">
        <v>2</v>
      </c>
      <c r="G331" s="27">
        <v>0</v>
      </c>
      <c r="H331" s="28">
        <v>12</v>
      </c>
      <c r="I331" s="27">
        <f>ROUND(F331*AO331,2)</f>
        <v>0</v>
      </c>
      <c r="J331" s="27">
        <f>ROUND(F331*AP331,2)</f>
        <v>0</v>
      </c>
      <c r="K331" s="27">
        <f>ROUND(F331*G331,2)</f>
        <v>0</v>
      </c>
      <c r="L331" s="29" t="s">
        <v>59</v>
      </c>
      <c r="Z331" s="27">
        <f>ROUND(IF(AQ331="5",BJ331,0),2)</f>
        <v>0</v>
      </c>
      <c r="AB331" s="27">
        <f>ROUND(IF(AQ331="1",BH331,0),2)</f>
        <v>0</v>
      </c>
      <c r="AC331" s="27">
        <f>ROUND(IF(AQ331="1",BI331,0),2)</f>
        <v>0</v>
      </c>
      <c r="AD331" s="27">
        <f>ROUND(IF(AQ331="7",BH331,0),2)</f>
        <v>0</v>
      </c>
      <c r="AE331" s="27">
        <f>ROUND(IF(AQ331="7",BI331,0),2)</f>
        <v>0</v>
      </c>
      <c r="AF331" s="27">
        <f>ROUND(IF(AQ331="2",BH331,0),2)</f>
        <v>0</v>
      </c>
      <c r="AG331" s="27">
        <f>ROUND(IF(AQ331="2",BI331,0),2)</f>
        <v>0</v>
      </c>
      <c r="AH331" s="27">
        <f>ROUND(IF(AQ331="0",BJ331,0),2)</f>
        <v>0</v>
      </c>
      <c r="AI331" s="12" t="s">
        <v>52</v>
      </c>
      <c r="AJ331" s="27">
        <f>IF(AN331=0,K331,0)</f>
        <v>0</v>
      </c>
      <c r="AK331" s="27">
        <f>IF(AN331=12,K331,0)</f>
        <v>0</v>
      </c>
      <c r="AL331" s="27">
        <f>IF(AN331=21,K331,0)</f>
        <v>0</v>
      </c>
      <c r="AN331" s="27">
        <v>12</v>
      </c>
      <c r="AO331" s="27">
        <f>G331*0.322661871</f>
        <v>0</v>
      </c>
      <c r="AP331" s="27">
        <f>G331*(1-0.322661871)</f>
        <v>0</v>
      </c>
      <c r="AQ331" s="30" t="s">
        <v>66</v>
      </c>
      <c r="AV331" s="27">
        <f>ROUND(AW331+AX331,2)</f>
        <v>0</v>
      </c>
      <c r="AW331" s="27">
        <f>ROUND(F331*AO331,2)</f>
        <v>0</v>
      </c>
      <c r="AX331" s="27">
        <f>ROUND(F331*AP331,2)</f>
        <v>0</v>
      </c>
      <c r="AY331" s="30" t="s">
        <v>570</v>
      </c>
      <c r="AZ331" s="30" t="s">
        <v>525</v>
      </c>
      <c r="BA331" s="12" t="s">
        <v>62</v>
      </c>
      <c r="BC331" s="27">
        <f>AW331+AX331</f>
        <v>0</v>
      </c>
      <c r="BD331" s="27">
        <f>G331/(100-BE331)*100</f>
        <v>0</v>
      </c>
      <c r="BE331" s="27">
        <v>0</v>
      </c>
      <c r="BF331" s="27">
        <f>331</f>
        <v>331</v>
      </c>
      <c r="BH331" s="27">
        <f>F331*AO331</f>
        <v>0</v>
      </c>
      <c r="BI331" s="27">
        <f>F331*AP331</f>
        <v>0</v>
      </c>
      <c r="BJ331" s="27">
        <f>F331*G331</f>
        <v>0</v>
      </c>
      <c r="BK331" s="30" t="s">
        <v>63</v>
      </c>
      <c r="BL331" s="27"/>
      <c r="BW331" s="27">
        <f>H331</f>
        <v>12</v>
      </c>
      <c r="BX331" s="5" t="s">
        <v>595</v>
      </c>
    </row>
    <row r="332" spans="1:76" x14ac:dyDescent="0.25">
      <c r="A332" s="31"/>
      <c r="C332" s="32" t="s">
        <v>66</v>
      </c>
      <c r="D332" s="32" t="s">
        <v>52</v>
      </c>
      <c r="F332" s="33">
        <v>2</v>
      </c>
      <c r="L332" s="34"/>
    </row>
    <row r="333" spans="1:76" x14ac:dyDescent="0.25">
      <c r="A333" s="2" t="s">
        <v>596</v>
      </c>
      <c r="B333" s="3" t="s">
        <v>597</v>
      </c>
      <c r="C333" s="84" t="s">
        <v>598</v>
      </c>
      <c r="D333" s="79"/>
      <c r="E333" s="3" t="s">
        <v>89</v>
      </c>
      <c r="F333" s="27">
        <v>100</v>
      </c>
      <c r="G333" s="27">
        <v>0</v>
      </c>
      <c r="H333" s="28">
        <v>12</v>
      </c>
      <c r="I333" s="27">
        <f>ROUND(F333*AO333,2)</f>
        <v>0</v>
      </c>
      <c r="J333" s="27">
        <f>ROUND(F333*AP333,2)</f>
        <v>0</v>
      </c>
      <c r="K333" s="27">
        <f>ROUND(F333*G333,2)</f>
        <v>0</v>
      </c>
      <c r="L333" s="29" t="s">
        <v>59</v>
      </c>
      <c r="Z333" s="27">
        <f>ROUND(IF(AQ333="5",BJ333,0),2)</f>
        <v>0</v>
      </c>
      <c r="AB333" s="27">
        <f>ROUND(IF(AQ333="1",BH333,0),2)</f>
        <v>0</v>
      </c>
      <c r="AC333" s="27">
        <f>ROUND(IF(AQ333="1",BI333,0),2)</f>
        <v>0</v>
      </c>
      <c r="AD333" s="27">
        <f>ROUND(IF(AQ333="7",BH333,0),2)</f>
        <v>0</v>
      </c>
      <c r="AE333" s="27">
        <f>ROUND(IF(AQ333="7",BI333,0),2)</f>
        <v>0</v>
      </c>
      <c r="AF333" s="27">
        <f>ROUND(IF(AQ333="2",BH333,0),2)</f>
        <v>0</v>
      </c>
      <c r="AG333" s="27">
        <f>ROUND(IF(AQ333="2",BI333,0),2)</f>
        <v>0</v>
      </c>
      <c r="AH333" s="27">
        <f>ROUND(IF(AQ333="0",BJ333,0),2)</f>
        <v>0</v>
      </c>
      <c r="AI333" s="12" t="s">
        <v>52</v>
      </c>
      <c r="AJ333" s="27">
        <f>IF(AN333=0,K333,0)</f>
        <v>0</v>
      </c>
      <c r="AK333" s="27">
        <f>IF(AN333=12,K333,0)</f>
        <v>0</v>
      </c>
      <c r="AL333" s="27">
        <f>IF(AN333=21,K333,0)</f>
        <v>0</v>
      </c>
      <c r="AN333" s="27">
        <v>12</v>
      </c>
      <c r="AO333" s="27">
        <f>G333*0.307313196</f>
        <v>0</v>
      </c>
      <c r="AP333" s="27">
        <f>G333*(1-0.307313196)</f>
        <v>0</v>
      </c>
      <c r="AQ333" s="30" t="s">
        <v>66</v>
      </c>
      <c r="AV333" s="27">
        <f>ROUND(AW333+AX333,2)</f>
        <v>0</v>
      </c>
      <c r="AW333" s="27">
        <f>ROUND(F333*AO333,2)</f>
        <v>0</v>
      </c>
      <c r="AX333" s="27">
        <f>ROUND(F333*AP333,2)</f>
        <v>0</v>
      </c>
      <c r="AY333" s="30" t="s">
        <v>570</v>
      </c>
      <c r="AZ333" s="30" t="s">
        <v>525</v>
      </c>
      <c r="BA333" s="12" t="s">
        <v>62</v>
      </c>
      <c r="BC333" s="27">
        <f>AW333+AX333</f>
        <v>0</v>
      </c>
      <c r="BD333" s="27">
        <f>G333/(100-BE333)*100</f>
        <v>0</v>
      </c>
      <c r="BE333" s="27">
        <v>0</v>
      </c>
      <c r="BF333" s="27">
        <f>333</f>
        <v>333</v>
      </c>
      <c r="BH333" s="27">
        <f>F333*AO333</f>
        <v>0</v>
      </c>
      <c r="BI333" s="27">
        <f>F333*AP333</f>
        <v>0</v>
      </c>
      <c r="BJ333" s="27">
        <f>F333*G333</f>
        <v>0</v>
      </c>
      <c r="BK333" s="30" t="s">
        <v>63</v>
      </c>
      <c r="BL333" s="27"/>
      <c r="BW333" s="27">
        <f>H333</f>
        <v>12</v>
      </c>
      <c r="BX333" s="5" t="s">
        <v>598</v>
      </c>
    </row>
    <row r="334" spans="1:76" x14ac:dyDescent="0.25">
      <c r="A334" s="31"/>
      <c r="C334" s="32" t="s">
        <v>533</v>
      </c>
      <c r="D334" s="32" t="s">
        <v>52</v>
      </c>
      <c r="F334" s="33">
        <v>100</v>
      </c>
      <c r="L334" s="34"/>
    </row>
    <row r="335" spans="1:76" x14ac:dyDescent="0.25">
      <c r="A335" s="2" t="s">
        <v>599</v>
      </c>
      <c r="B335" s="3" t="s">
        <v>600</v>
      </c>
      <c r="C335" s="84" t="s">
        <v>601</v>
      </c>
      <c r="D335" s="79"/>
      <c r="E335" s="3" t="s">
        <v>89</v>
      </c>
      <c r="F335" s="27">
        <v>28</v>
      </c>
      <c r="G335" s="27">
        <v>0</v>
      </c>
      <c r="H335" s="28">
        <v>12</v>
      </c>
      <c r="I335" s="27">
        <f>ROUND(F335*AO335,2)</f>
        <v>0</v>
      </c>
      <c r="J335" s="27">
        <f>ROUND(F335*AP335,2)</f>
        <v>0</v>
      </c>
      <c r="K335" s="27">
        <f>ROUND(F335*G335,2)</f>
        <v>0</v>
      </c>
      <c r="L335" s="29" t="s">
        <v>59</v>
      </c>
      <c r="Z335" s="27">
        <f>ROUND(IF(AQ335="5",BJ335,0),2)</f>
        <v>0</v>
      </c>
      <c r="AB335" s="27">
        <f>ROUND(IF(AQ335="1",BH335,0),2)</f>
        <v>0</v>
      </c>
      <c r="AC335" s="27">
        <f>ROUND(IF(AQ335="1",BI335,0),2)</f>
        <v>0</v>
      </c>
      <c r="AD335" s="27">
        <f>ROUND(IF(AQ335="7",BH335,0),2)</f>
        <v>0</v>
      </c>
      <c r="AE335" s="27">
        <f>ROUND(IF(AQ335="7",BI335,0),2)</f>
        <v>0</v>
      </c>
      <c r="AF335" s="27">
        <f>ROUND(IF(AQ335="2",BH335,0),2)</f>
        <v>0</v>
      </c>
      <c r="AG335" s="27">
        <f>ROUND(IF(AQ335="2",BI335,0),2)</f>
        <v>0</v>
      </c>
      <c r="AH335" s="27">
        <f>ROUND(IF(AQ335="0",BJ335,0),2)</f>
        <v>0</v>
      </c>
      <c r="AI335" s="12" t="s">
        <v>52</v>
      </c>
      <c r="AJ335" s="27">
        <f>IF(AN335=0,K335,0)</f>
        <v>0</v>
      </c>
      <c r="AK335" s="27">
        <f>IF(AN335=12,K335,0)</f>
        <v>0</v>
      </c>
      <c r="AL335" s="27">
        <f>IF(AN335=21,K335,0)</f>
        <v>0</v>
      </c>
      <c r="AN335" s="27">
        <v>12</v>
      </c>
      <c r="AO335" s="27">
        <f>G335*0.647578125</f>
        <v>0</v>
      </c>
      <c r="AP335" s="27">
        <f>G335*(1-0.647578125)</f>
        <v>0</v>
      </c>
      <c r="AQ335" s="30" t="s">
        <v>66</v>
      </c>
      <c r="AV335" s="27">
        <f>ROUND(AW335+AX335,2)</f>
        <v>0</v>
      </c>
      <c r="AW335" s="27">
        <f>ROUND(F335*AO335,2)</f>
        <v>0</v>
      </c>
      <c r="AX335" s="27">
        <f>ROUND(F335*AP335,2)</f>
        <v>0</v>
      </c>
      <c r="AY335" s="30" t="s">
        <v>570</v>
      </c>
      <c r="AZ335" s="30" t="s">
        <v>525</v>
      </c>
      <c r="BA335" s="12" t="s">
        <v>62</v>
      </c>
      <c r="BC335" s="27">
        <f>AW335+AX335</f>
        <v>0</v>
      </c>
      <c r="BD335" s="27">
        <f>G335/(100-BE335)*100</f>
        <v>0</v>
      </c>
      <c r="BE335" s="27">
        <v>0</v>
      </c>
      <c r="BF335" s="27">
        <f>335</f>
        <v>335</v>
      </c>
      <c r="BH335" s="27">
        <f>F335*AO335</f>
        <v>0</v>
      </c>
      <c r="BI335" s="27">
        <f>F335*AP335</f>
        <v>0</v>
      </c>
      <c r="BJ335" s="27">
        <f>F335*G335</f>
        <v>0</v>
      </c>
      <c r="BK335" s="30" t="s">
        <v>63</v>
      </c>
      <c r="BL335" s="27"/>
      <c r="BW335" s="27">
        <f>H335</f>
        <v>12</v>
      </c>
      <c r="BX335" s="5" t="s">
        <v>601</v>
      </c>
    </row>
    <row r="336" spans="1:76" x14ac:dyDescent="0.25">
      <c r="A336" s="31"/>
      <c r="C336" s="32" t="s">
        <v>201</v>
      </c>
      <c r="D336" s="32" t="s">
        <v>52</v>
      </c>
      <c r="F336" s="33">
        <v>28</v>
      </c>
      <c r="L336" s="34"/>
    </row>
    <row r="337" spans="1:76" x14ac:dyDescent="0.25">
      <c r="A337" s="2" t="s">
        <v>602</v>
      </c>
      <c r="B337" s="3" t="s">
        <v>603</v>
      </c>
      <c r="C337" s="84" t="s">
        <v>604</v>
      </c>
      <c r="D337" s="79"/>
      <c r="E337" s="3" t="s">
        <v>89</v>
      </c>
      <c r="F337" s="27">
        <v>120</v>
      </c>
      <c r="G337" s="27">
        <v>0</v>
      </c>
      <c r="H337" s="28">
        <v>12</v>
      </c>
      <c r="I337" s="27">
        <f>ROUND(F337*AO337,2)</f>
        <v>0</v>
      </c>
      <c r="J337" s="27">
        <f>ROUND(F337*AP337,2)</f>
        <v>0</v>
      </c>
      <c r="K337" s="27">
        <f>ROUND(F337*G337,2)</f>
        <v>0</v>
      </c>
      <c r="L337" s="29" t="s">
        <v>59</v>
      </c>
      <c r="Z337" s="27">
        <f>ROUND(IF(AQ337="5",BJ337,0),2)</f>
        <v>0</v>
      </c>
      <c r="AB337" s="27">
        <f>ROUND(IF(AQ337="1",BH337,0),2)</f>
        <v>0</v>
      </c>
      <c r="AC337" s="27">
        <f>ROUND(IF(AQ337="1",BI337,0),2)</f>
        <v>0</v>
      </c>
      <c r="AD337" s="27">
        <f>ROUND(IF(AQ337="7",BH337,0),2)</f>
        <v>0</v>
      </c>
      <c r="AE337" s="27">
        <f>ROUND(IF(AQ337="7",BI337,0),2)</f>
        <v>0</v>
      </c>
      <c r="AF337" s="27">
        <f>ROUND(IF(AQ337="2",BH337,0),2)</f>
        <v>0</v>
      </c>
      <c r="AG337" s="27">
        <f>ROUND(IF(AQ337="2",BI337,0),2)</f>
        <v>0</v>
      </c>
      <c r="AH337" s="27">
        <f>ROUND(IF(AQ337="0",BJ337,0),2)</f>
        <v>0</v>
      </c>
      <c r="AI337" s="12" t="s">
        <v>52</v>
      </c>
      <c r="AJ337" s="27">
        <f>IF(AN337=0,K337,0)</f>
        <v>0</v>
      </c>
      <c r="AK337" s="27">
        <f>IF(AN337=12,K337,0)</f>
        <v>0</v>
      </c>
      <c r="AL337" s="27">
        <f>IF(AN337=21,K337,0)</f>
        <v>0</v>
      </c>
      <c r="AN337" s="27">
        <v>12</v>
      </c>
      <c r="AO337" s="27">
        <f>G337*0.416733601</f>
        <v>0</v>
      </c>
      <c r="AP337" s="27">
        <f>G337*(1-0.416733601)</f>
        <v>0</v>
      </c>
      <c r="AQ337" s="30" t="s">
        <v>66</v>
      </c>
      <c r="AV337" s="27">
        <f>ROUND(AW337+AX337,2)</f>
        <v>0</v>
      </c>
      <c r="AW337" s="27">
        <f>ROUND(F337*AO337,2)</f>
        <v>0</v>
      </c>
      <c r="AX337" s="27">
        <f>ROUND(F337*AP337,2)</f>
        <v>0</v>
      </c>
      <c r="AY337" s="30" t="s">
        <v>570</v>
      </c>
      <c r="AZ337" s="30" t="s">
        <v>525</v>
      </c>
      <c r="BA337" s="12" t="s">
        <v>62</v>
      </c>
      <c r="BC337" s="27">
        <f>AW337+AX337</f>
        <v>0</v>
      </c>
      <c r="BD337" s="27">
        <f>G337/(100-BE337)*100</f>
        <v>0</v>
      </c>
      <c r="BE337" s="27">
        <v>0</v>
      </c>
      <c r="BF337" s="27">
        <f>337</f>
        <v>337</v>
      </c>
      <c r="BH337" s="27">
        <f>F337*AO337</f>
        <v>0</v>
      </c>
      <c r="BI337" s="27">
        <f>F337*AP337</f>
        <v>0</v>
      </c>
      <c r="BJ337" s="27">
        <f>F337*G337</f>
        <v>0</v>
      </c>
      <c r="BK337" s="30" t="s">
        <v>63</v>
      </c>
      <c r="BL337" s="27"/>
      <c r="BW337" s="27">
        <f>H337</f>
        <v>12</v>
      </c>
      <c r="BX337" s="5" t="s">
        <v>604</v>
      </c>
    </row>
    <row r="338" spans="1:76" x14ac:dyDescent="0.25">
      <c r="A338" s="31"/>
      <c r="C338" s="32" t="s">
        <v>605</v>
      </c>
      <c r="D338" s="32" t="s">
        <v>52</v>
      </c>
      <c r="F338" s="33">
        <v>120</v>
      </c>
      <c r="L338" s="34"/>
    </row>
    <row r="339" spans="1:76" x14ac:dyDescent="0.25">
      <c r="A339" s="2" t="s">
        <v>606</v>
      </c>
      <c r="B339" s="3" t="s">
        <v>607</v>
      </c>
      <c r="C339" s="84" t="s">
        <v>608</v>
      </c>
      <c r="D339" s="79"/>
      <c r="E339" s="3" t="s">
        <v>89</v>
      </c>
      <c r="F339" s="27">
        <v>50</v>
      </c>
      <c r="G339" s="27">
        <v>0</v>
      </c>
      <c r="H339" s="28">
        <v>12</v>
      </c>
      <c r="I339" s="27">
        <f>ROUND(F339*AO339,2)</f>
        <v>0</v>
      </c>
      <c r="J339" s="27">
        <f>ROUND(F339*AP339,2)</f>
        <v>0</v>
      </c>
      <c r="K339" s="27">
        <f>ROUND(F339*G339,2)</f>
        <v>0</v>
      </c>
      <c r="L339" s="29" t="s">
        <v>59</v>
      </c>
      <c r="Z339" s="27">
        <f>ROUND(IF(AQ339="5",BJ339,0),2)</f>
        <v>0</v>
      </c>
      <c r="AB339" s="27">
        <f>ROUND(IF(AQ339="1",BH339,0),2)</f>
        <v>0</v>
      </c>
      <c r="AC339" s="27">
        <f>ROUND(IF(AQ339="1",BI339,0),2)</f>
        <v>0</v>
      </c>
      <c r="AD339" s="27">
        <f>ROUND(IF(AQ339="7",BH339,0),2)</f>
        <v>0</v>
      </c>
      <c r="AE339" s="27">
        <f>ROUND(IF(AQ339="7",BI339,0),2)</f>
        <v>0</v>
      </c>
      <c r="AF339" s="27">
        <f>ROUND(IF(AQ339="2",BH339,0),2)</f>
        <v>0</v>
      </c>
      <c r="AG339" s="27">
        <f>ROUND(IF(AQ339="2",BI339,0),2)</f>
        <v>0</v>
      </c>
      <c r="AH339" s="27">
        <f>ROUND(IF(AQ339="0",BJ339,0),2)</f>
        <v>0</v>
      </c>
      <c r="AI339" s="12" t="s">
        <v>52</v>
      </c>
      <c r="AJ339" s="27">
        <f>IF(AN339=0,K339,0)</f>
        <v>0</v>
      </c>
      <c r="AK339" s="27">
        <f>IF(AN339=12,K339,0)</f>
        <v>0</v>
      </c>
      <c r="AL339" s="27">
        <f>IF(AN339=21,K339,0)</f>
        <v>0</v>
      </c>
      <c r="AN339" s="27">
        <v>12</v>
      </c>
      <c r="AO339" s="27">
        <f>G339*0.418291055</f>
        <v>0</v>
      </c>
      <c r="AP339" s="27">
        <f>G339*(1-0.418291055)</f>
        <v>0</v>
      </c>
      <c r="AQ339" s="30" t="s">
        <v>66</v>
      </c>
      <c r="AV339" s="27">
        <f>ROUND(AW339+AX339,2)</f>
        <v>0</v>
      </c>
      <c r="AW339" s="27">
        <f>ROUND(F339*AO339,2)</f>
        <v>0</v>
      </c>
      <c r="AX339" s="27">
        <f>ROUND(F339*AP339,2)</f>
        <v>0</v>
      </c>
      <c r="AY339" s="30" t="s">
        <v>570</v>
      </c>
      <c r="AZ339" s="30" t="s">
        <v>525</v>
      </c>
      <c r="BA339" s="12" t="s">
        <v>62</v>
      </c>
      <c r="BC339" s="27">
        <f>AW339+AX339</f>
        <v>0</v>
      </c>
      <c r="BD339" s="27">
        <f>G339/(100-BE339)*100</f>
        <v>0</v>
      </c>
      <c r="BE339" s="27">
        <v>0</v>
      </c>
      <c r="BF339" s="27">
        <f>339</f>
        <v>339</v>
      </c>
      <c r="BH339" s="27">
        <f>F339*AO339</f>
        <v>0</v>
      </c>
      <c r="BI339" s="27">
        <f>F339*AP339</f>
        <v>0</v>
      </c>
      <c r="BJ339" s="27">
        <f>F339*G339</f>
        <v>0</v>
      </c>
      <c r="BK339" s="30" t="s">
        <v>63</v>
      </c>
      <c r="BL339" s="27"/>
      <c r="BW339" s="27">
        <f>H339</f>
        <v>12</v>
      </c>
      <c r="BX339" s="5" t="s">
        <v>608</v>
      </c>
    </row>
    <row r="340" spans="1:76" x14ac:dyDescent="0.25">
      <c r="A340" s="31"/>
      <c r="C340" s="32" t="s">
        <v>279</v>
      </c>
      <c r="D340" s="32" t="s">
        <v>52</v>
      </c>
      <c r="F340" s="33">
        <v>50</v>
      </c>
      <c r="L340" s="34"/>
    </row>
    <row r="341" spans="1:76" x14ac:dyDescent="0.25">
      <c r="A341" s="2" t="s">
        <v>609</v>
      </c>
      <c r="B341" s="3" t="s">
        <v>610</v>
      </c>
      <c r="C341" s="84" t="s">
        <v>611</v>
      </c>
      <c r="D341" s="79"/>
      <c r="E341" s="3" t="s">
        <v>89</v>
      </c>
      <c r="F341" s="27">
        <v>12</v>
      </c>
      <c r="G341" s="27">
        <v>0</v>
      </c>
      <c r="H341" s="28">
        <v>12</v>
      </c>
      <c r="I341" s="27">
        <f>ROUND(F341*AO341,2)</f>
        <v>0</v>
      </c>
      <c r="J341" s="27">
        <f>ROUND(F341*AP341,2)</f>
        <v>0</v>
      </c>
      <c r="K341" s="27">
        <f>ROUND(F341*G341,2)</f>
        <v>0</v>
      </c>
      <c r="L341" s="29" t="s">
        <v>59</v>
      </c>
      <c r="Z341" s="27">
        <f>ROUND(IF(AQ341="5",BJ341,0),2)</f>
        <v>0</v>
      </c>
      <c r="AB341" s="27">
        <f>ROUND(IF(AQ341="1",BH341,0),2)</f>
        <v>0</v>
      </c>
      <c r="AC341" s="27">
        <f>ROUND(IF(AQ341="1",BI341,0),2)</f>
        <v>0</v>
      </c>
      <c r="AD341" s="27">
        <f>ROUND(IF(AQ341="7",BH341,0),2)</f>
        <v>0</v>
      </c>
      <c r="AE341" s="27">
        <f>ROUND(IF(AQ341="7",BI341,0),2)</f>
        <v>0</v>
      </c>
      <c r="AF341" s="27">
        <f>ROUND(IF(AQ341="2",BH341,0),2)</f>
        <v>0</v>
      </c>
      <c r="AG341" s="27">
        <f>ROUND(IF(AQ341="2",BI341,0),2)</f>
        <v>0</v>
      </c>
      <c r="AH341" s="27">
        <f>ROUND(IF(AQ341="0",BJ341,0),2)</f>
        <v>0</v>
      </c>
      <c r="AI341" s="12" t="s">
        <v>52</v>
      </c>
      <c r="AJ341" s="27">
        <f>IF(AN341=0,K341,0)</f>
        <v>0</v>
      </c>
      <c r="AK341" s="27">
        <f>IF(AN341=12,K341,0)</f>
        <v>0</v>
      </c>
      <c r="AL341" s="27">
        <f>IF(AN341=21,K341,0)</f>
        <v>0</v>
      </c>
      <c r="AN341" s="27">
        <v>12</v>
      </c>
      <c r="AO341" s="27">
        <f>G341*0.527643979</f>
        <v>0</v>
      </c>
      <c r="AP341" s="27">
        <f>G341*(1-0.527643979)</f>
        <v>0</v>
      </c>
      <c r="AQ341" s="30" t="s">
        <v>66</v>
      </c>
      <c r="AV341" s="27">
        <f>ROUND(AW341+AX341,2)</f>
        <v>0</v>
      </c>
      <c r="AW341" s="27">
        <f>ROUND(F341*AO341,2)</f>
        <v>0</v>
      </c>
      <c r="AX341" s="27">
        <f>ROUND(F341*AP341,2)</f>
        <v>0</v>
      </c>
      <c r="AY341" s="30" t="s">
        <v>570</v>
      </c>
      <c r="AZ341" s="30" t="s">
        <v>525</v>
      </c>
      <c r="BA341" s="12" t="s">
        <v>62</v>
      </c>
      <c r="BC341" s="27">
        <f>AW341+AX341</f>
        <v>0</v>
      </c>
      <c r="BD341" s="27">
        <f>G341/(100-BE341)*100</f>
        <v>0</v>
      </c>
      <c r="BE341" s="27">
        <v>0</v>
      </c>
      <c r="BF341" s="27">
        <f>341</f>
        <v>341</v>
      </c>
      <c r="BH341" s="27">
        <f>F341*AO341</f>
        <v>0</v>
      </c>
      <c r="BI341" s="27">
        <f>F341*AP341</f>
        <v>0</v>
      </c>
      <c r="BJ341" s="27">
        <f>F341*G341</f>
        <v>0</v>
      </c>
      <c r="BK341" s="30" t="s">
        <v>63</v>
      </c>
      <c r="BL341" s="27"/>
      <c r="BW341" s="27">
        <f>H341</f>
        <v>12</v>
      </c>
      <c r="BX341" s="5" t="s">
        <v>611</v>
      </c>
    </row>
    <row r="342" spans="1:76" x14ac:dyDescent="0.25">
      <c r="A342" s="31"/>
      <c r="C342" s="32" t="s">
        <v>131</v>
      </c>
      <c r="D342" s="32" t="s">
        <v>52</v>
      </c>
      <c r="F342" s="33">
        <v>12</v>
      </c>
      <c r="L342" s="34"/>
    </row>
    <row r="343" spans="1:76" x14ac:dyDescent="0.25">
      <c r="A343" s="2" t="s">
        <v>612</v>
      </c>
      <c r="B343" s="3" t="s">
        <v>613</v>
      </c>
      <c r="C343" s="84" t="s">
        <v>614</v>
      </c>
      <c r="D343" s="79"/>
      <c r="E343" s="3" t="s">
        <v>89</v>
      </c>
      <c r="F343" s="27">
        <v>3.2</v>
      </c>
      <c r="G343" s="27">
        <v>0</v>
      </c>
      <c r="H343" s="28">
        <v>12</v>
      </c>
      <c r="I343" s="27">
        <f>ROUND(F343*AO343,2)</f>
        <v>0</v>
      </c>
      <c r="J343" s="27">
        <f>ROUND(F343*AP343,2)</f>
        <v>0</v>
      </c>
      <c r="K343" s="27">
        <f>ROUND(F343*G343,2)</f>
        <v>0</v>
      </c>
      <c r="L343" s="29" t="s">
        <v>59</v>
      </c>
      <c r="Z343" s="27">
        <f>ROUND(IF(AQ343="5",BJ343,0),2)</f>
        <v>0</v>
      </c>
      <c r="AB343" s="27">
        <f>ROUND(IF(AQ343="1",BH343,0),2)</f>
        <v>0</v>
      </c>
      <c r="AC343" s="27">
        <f>ROUND(IF(AQ343="1",BI343,0),2)</f>
        <v>0</v>
      </c>
      <c r="AD343" s="27">
        <f>ROUND(IF(AQ343="7",BH343,0),2)</f>
        <v>0</v>
      </c>
      <c r="AE343" s="27">
        <f>ROUND(IF(AQ343="7",BI343,0),2)</f>
        <v>0</v>
      </c>
      <c r="AF343" s="27">
        <f>ROUND(IF(AQ343="2",BH343,0),2)</f>
        <v>0</v>
      </c>
      <c r="AG343" s="27">
        <f>ROUND(IF(AQ343="2",BI343,0),2)</f>
        <v>0</v>
      </c>
      <c r="AH343" s="27">
        <f>ROUND(IF(AQ343="0",BJ343,0),2)</f>
        <v>0</v>
      </c>
      <c r="AI343" s="12" t="s">
        <v>52</v>
      </c>
      <c r="AJ343" s="27">
        <f>IF(AN343=0,K343,0)</f>
        <v>0</v>
      </c>
      <c r="AK343" s="27">
        <f>IF(AN343=12,K343,0)</f>
        <v>0</v>
      </c>
      <c r="AL343" s="27">
        <f>IF(AN343=21,K343,0)</f>
        <v>0</v>
      </c>
      <c r="AN343" s="27">
        <v>12</v>
      </c>
      <c r="AO343" s="27">
        <f>G343*0.749056346</f>
        <v>0</v>
      </c>
      <c r="AP343" s="27">
        <f>G343*(1-0.749056346)</f>
        <v>0</v>
      </c>
      <c r="AQ343" s="30" t="s">
        <v>66</v>
      </c>
      <c r="AV343" s="27">
        <f>ROUND(AW343+AX343,2)</f>
        <v>0</v>
      </c>
      <c r="AW343" s="27">
        <f>ROUND(F343*AO343,2)</f>
        <v>0</v>
      </c>
      <c r="AX343" s="27">
        <f>ROUND(F343*AP343,2)</f>
        <v>0</v>
      </c>
      <c r="AY343" s="30" t="s">
        <v>570</v>
      </c>
      <c r="AZ343" s="30" t="s">
        <v>525</v>
      </c>
      <c r="BA343" s="12" t="s">
        <v>62</v>
      </c>
      <c r="BC343" s="27">
        <f>AW343+AX343</f>
        <v>0</v>
      </c>
      <c r="BD343" s="27">
        <f>G343/(100-BE343)*100</f>
        <v>0</v>
      </c>
      <c r="BE343" s="27">
        <v>0</v>
      </c>
      <c r="BF343" s="27">
        <f>343</f>
        <v>343</v>
      </c>
      <c r="BH343" s="27">
        <f>F343*AO343</f>
        <v>0</v>
      </c>
      <c r="BI343" s="27">
        <f>F343*AP343</f>
        <v>0</v>
      </c>
      <c r="BJ343" s="27">
        <f>F343*G343</f>
        <v>0</v>
      </c>
      <c r="BK343" s="30" t="s">
        <v>63</v>
      </c>
      <c r="BL343" s="27"/>
      <c r="BW343" s="27">
        <f>H343</f>
        <v>12</v>
      </c>
      <c r="BX343" s="5" t="s">
        <v>614</v>
      </c>
    </row>
    <row r="344" spans="1:76" x14ac:dyDescent="0.25">
      <c r="A344" s="31"/>
      <c r="C344" s="32" t="s">
        <v>615</v>
      </c>
      <c r="D344" s="32" t="s">
        <v>52</v>
      </c>
      <c r="F344" s="33">
        <v>3.2</v>
      </c>
      <c r="L344" s="34"/>
    </row>
    <row r="345" spans="1:76" x14ac:dyDescent="0.25">
      <c r="A345" s="2" t="s">
        <v>605</v>
      </c>
      <c r="B345" s="3" t="s">
        <v>616</v>
      </c>
      <c r="C345" s="84" t="s">
        <v>617</v>
      </c>
      <c r="D345" s="79"/>
      <c r="E345" s="3" t="s">
        <v>89</v>
      </c>
      <c r="F345" s="27">
        <v>12</v>
      </c>
      <c r="G345" s="27">
        <v>0</v>
      </c>
      <c r="H345" s="28">
        <v>12</v>
      </c>
      <c r="I345" s="27">
        <f>ROUND(F345*AO345,2)</f>
        <v>0</v>
      </c>
      <c r="J345" s="27">
        <f>ROUND(F345*AP345,2)</f>
        <v>0</v>
      </c>
      <c r="K345" s="27">
        <f>ROUND(F345*G345,2)</f>
        <v>0</v>
      </c>
      <c r="L345" s="29" t="s">
        <v>59</v>
      </c>
      <c r="Z345" s="27">
        <f>ROUND(IF(AQ345="5",BJ345,0),2)</f>
        <v>0</v>
      </c>
      <c r="AB345" s="27">
        <f>ROUND(IF(AQ345="1",BH345,0),2)</f>
        <v>0</v>
      </c>
      <c r="AC345" s="27">
        <f>ROUND(IF(AQ345="1",BI345,0),2)</f>
        <v>0</v>
      </c>
      <c r="AD345" s="27">
        <f>ROUND(IF(AQ345="7",BH345,0),2)</f>
        <v>0</v>
      </c>
      <c r="AE345" s="27">
        <f>ROUND(IF(AQ345="7",BI345,0),2)</f>
        <v>0</v>
      </c>
      <c r="AF345" s="27">
        <f>ROUND(IF(AQ345="2",BH345,0),2)</f>
        <v>0</v>
      </c>
      <c r="AG345" s="27">
        <f>ROUND(IF(AQ345="2",BI345,0),2)</f>
        <v>0</v>
      </c>
      <c r="AH345" s="27">
        <f>ROUND(IF(AQ345="0",BJ345,0),2)</f>
        <v>0</v>
      </c>
      <c r="AI345" s="12" t="s">
        <v>52</v>
      </c>
      <c r="AJ345" s="27">
        <f>IF(AN345=0,K345,0)</f>
        <v>0</v>
      </c>
      <c r="AK345" s="27">
        <f>IF(AN345=12,K345,0)</f>
        <v>0</v>
      </c>
      <c r="AL345" s="27">
        <f>IF(AN345=21,K345,0)</f>
        <v>0</v>
      </c>
      <c r="AN345" s="27">
        <v>12</v>
      </c>
      <c r="AO345" s="27">
        <f>G345*0.460037175</f>
        <v>0</v>
      </c>
      <c r="AP345" s="27">
        <f>G345*(1-0.460037175)</f>
        <v>0</v>
      </c>
      <c r="AQ345" s="30" t="s">
        <v>66</v>
      </c>
      <c r="AV345" s="27">
        <f>ROUND(AW345+AX345,2)</f>
        <v>0</v>
      </c>
      <c r="AW345" s="27">
        <f>ROUND(F345*AO345,2)</f>
        <v>0</v>
      </c>
      <c r="AX345" s="27">
        <f>ROUND(F345*AP345,2)</f>
        <v>0</v>
      </c>
      <c r="AY345" s="30" t="s">
        <v>570</v>
      </c>
      <c r="AZ345" s="30" t="s">
        <v>525</v>
      </c>
      <c r="BA345" s="12" t="s">
        <v>62</v>
      </c>
      <c r="BC345" s="27">
        <f>AW345+AX345</f>
        <v>0</v>
      </c>
      <c r="BD345" s="27">
        <f>G345/(100-BE345)*100</f>
        <v>0</v>
      </c>
      <c r="BE345" s="27">
        <v>0</v>
      </c>
      <c r="BF345" s="27">
        <f>345</f>
        <v>345</v>
      </c>
      <c r="BH345" s="27">
        <f>F345*AO345</f>
        <v>0</v>
      </c>
      <c r="BI345" s="27">
        <f>F345*AP345</f>
        <v>0</v>
      </c>
      <c r="BJ345" s="27">
        <f>F345*G345</f>
        <v>0</v>
      </c>
      <c r="BK345" s="30" t="s">
        <v>63</v>
      </c>
      <c r="BL345" s="27"/>
      <c r="BW345" s="27">
        <f>H345</f>
        <v>12</v>
      </c>
      <c r="BX345" s="5" t="s">
        <v>617</v>
      </c>
    </row>
    <row r="346" spans="1:76" x14ac:dyDescent="0.25">
      <c r="A346" s="31"/>
      <c r="C346" s="32" t="s">
        <v>131</v>
      </c>
      <c r="D346" s="32" t="s">
        <v>52</v>
      </c>
      <c r="F346" s="33">
        <v>12</v>
      </c>
      <c r="L346" s="34"/>
    </row>
    <row r="347" spans="1:76" x14ac:dyDescent="0.25">
      <c r="A347" s="2" t="s">
        <v>618</v>
      </c>
      <c r="B347" s="3" t="s">
        <v>619</v>
      </c>
      <c r="C347" s="84" t="s">
        <v>620</v>
      </c>
      <c r="D347" s="79"/>
      <c r="E347" s="3" t="s">
        <v>416</v>
      </c>
      <c r="F347" s="27">
        <v>1</v>
      </c>
      <c r="G347" s="27">
        <v>0</v>
      </c>
      <c r="H347" s="28">
        <v>12</v>
      </c>
      <c r="I347" s="27">
        <f>ROUND(F347*AO347,2)</f>
        <v>0</v>
      </c>
      <c r="J347" s="27">
        <f>ROUND(F347*AP347,2)</f>
        <v>0</v>
      </c>
      <c r="K347" s="27">
        <f>ROUND(F347*G347,2)</f>
        <v>0</v>
      </c>
      <c r="L347" s="29" t="s">
        <v>59</v>
      </c>
      <c r="Z347" s="27">
        <f>ROUND(IF(AQ347="5",BJ347,0),2)</f>
        <v>0</v>
      </c>
      <c r="AB347" s="27">
        <f>ROUND(IF(AQ347="1",BH347,0),2)</f>
        <v>0</v>
      </c>
      <c r="AC347" s="27">
        <f>ROUND(IF(AQ347="1",BI347,0),2)</f>
        <v>0</v>
      </c>
      <c r="AD347" s="27">
        <f>ROUND(IF(AQ347="7",BH347,0),2)</f>
        <v>0</v>
      </c>
      <c r="AE347" s="27">
        <f>ROUND(IF(AQ347="7",BI347,0),2)</f>
        <v>0</v>
      </c>
      <c r="AF347" s="27">
        <f>ROUND(IF(AQ347="2",BH347,0),2)</f>
        <v>0</v>
      </c>
      <c r="AG347" s="27">
        <f>ROUND(IF(AQ347="2",BI347,0),2)</f>
        <v>0</v>
      </c>
      <c r="AH347" s="27">
        <f>ROUND(IF(AQ347="0",BJ347,0),2)</f>
        <v>0</v>
      </c>
      <c r="AI347" s="12" t="s">
        <v>52</v>
      </c>
      <c r="AJ347" s="27">
        <f>IF(AN347=0,K347,0)</f>
        <v>0</v>
      </c>
      <c r="AK347" s="27">
        <f>IF(AN347=12,K347,0)</f>
        <v>0</v>
      </c>
      <c r="AL347" s="27">
        <f>IF(AN347=21,K347,0)</f>
        <v>0</v>
      </c>
      <c r="AN347" s="27">
        <v>12</v>
      </c>
      <c r="AO347" s="27">
        <f>G347*0.420377016</f>
        <v>0</v>
      </c>
      <c r="AP347" s="27">
        <f>G347*(1-0.420377016)</f>
        <v>0</v>
      </c>
      <c r="AQ347" s="30" t="s">
        <v>66</v>
      </c>
      <c r="AV347" s="27">
        <f>ROUND(AW347+AX347,2)</f>
        <v>0</v>
      </c>
      <c r="AW347" s="27">
        <f>ROUND(F347*AO347,2)</f>
        <v>0</v>
      </c>
      <c r="AX347" s="27">
        <f>ROUND(F347*AP347,2)</f>
        <v>0</v>
      </c>
      <c r="AY347" s="30" t="s">
        <v>570</v>
      </c>
      <c r="AZ347" s="30" t="s">
        <v>525</v>
      </c>
      <c r="BA347" s="12" t="s">
        <v>62</v>
      </c>
      <c r="BC347" s="27">
        <f>AW347+AX347</f>
        <v>0</v>
      </c>
      <c r="BD347" s="27">
        <f>G347/(100-BE347)*100</f>
        <v>0</v>
      </c>
      <c r="BE347" s="27">
        <v>0</v>
      </c>
      <c r="BF347" s="27">
        <f>347</f>
        <v>347</v>
      </c>
      <c r="BH347" s="27">
        <f>F347*AO347</f>
        <v>0</v>
      </c>
      <c r="BI347" s="27">
        <f>F347*AP347</f>
        <v>0</v>
      </c>
      <c r="BJ347" s="27">
        <f>F347*G347</f>
        <v>0</v>
      </c>
      <c r="BK347" s="30" t="s">
        <v>63</v>
      </c>
      <c r="BL347" s="27"/>
      <c r="BW347" s="27">
        <f>H347</f>
        <v>12</v>
      </c>
      <c r="BX347" s="5" t="s">
        <v>620</v>
      </c>
    </row>
    <row r="348" spans="1:76" x14ac:dyDescent="0.25">
      <c r="A348" s="31"/>
      <c r="C348" s="32" t="s">
        <v>55</v>
      </c>
      <c r="D348" s="32" t="s">
        <v>52</v>
      </c>
      <c r="F348" s="33">
        <v>1</v>
      </c>
      <c r="L348" s="34"/>
    </row>
    <row r="349" spans="1:76" x14ac:dyDescent="0.25">
      <c r="A349" s="2" t="s">
        <v>621</v>
      </c>
      <c r="B349" s="3" t="s">
        <v>622</v>
      </c>
      <c r="C349" s="84" t="s">
        <v>623</v>
      </c>
      <c r="D349" s="79"/>
      <c r="E349" s="3" t="s">
        <v>69</v>
      </c>
      <c r="F349" s="27">
        <v>27</v>
      </c>
      <c r="G349" s="27">
        <v>0</v>
      </c>
      <c r="H349" s="28">
        <v>12</v>
      </c>
      <c r="I349" s="27">
        <f>ROUND(F349*AO349,2)</f>
        <v>0</v>
      </c>
      <c r="J349" s="27">
        <f>ROUND(F349*AP349,2)</f>
        <v>0</v>
      </c>
      <c r="K349" s="27">
        <f>ROUND(F349*G349,2)</f>
        <v>0</v>
      </c>
      <c r="L349" s="29" t="s">
        <v>59</v>
      </c>
      <c r="Z349" s="27">
        <f>ROUND(IF(AQ349="5",BJ349,0),2)</f>
        <v>0</v>
      </c>
      <c r="AB349" s="27">
        <f>ROUND(IF(AQ349="1",BH349,0),2)</f>
        <v>0</v>
      </c>
      <c r="AC349" s="27">
        <f>ROUND(IF(AQ349="1",BI349,0),2)</f>
        <v>0</v>
      </c>
      <c r="AD349" s="27">
        <f>ROUND(IF(AQ349="7",BH349,0),2)</f>
        <v>0</v>
      </c>
      <c r="AE349" s="27">
        <f>ROUND(IF(AQ349="7",BI349,0),2)</f>
        <v>0</v>
      </c>
      <c r="AF349" s="27">
        <f>ROUND(IF(AQ349="2",BH349,0),2)</f>
        <v>0</v>
      </c>
      <c r="AG349" s="27">
        <f>ROUND(IF(AQ349="2",BI349,0),2)</f>
        <v>0</v>
      </c>
      <c r="AH349" s="27">
        <f>ROUND(IF(AQ349="0",BJ349,0),2)</f>
        <v>0</v>
      </c>
      <c r="AI349" s="12" t="s">
        <v>52</v>
      </c>
      <c r="AJ349" s="27">
        <f>IF(AN349=0,K349,0)</f>
        <v>0</v>
      </c>
      <c r="AK349" s="27">
        <f>IF(AN349=12,K349,0)</f>
        <v>0</v>
      </c>
      <c r="AL349" s="27">
        <f>IF(AN349=21,K349,0)</f>
        <v>0</v>
      </c>
      <c r="AN349" s="27">
        <v>12</v>
      </c>
      <c r="AO349" s="27">
        <f>G349*0.082481752</f>
        <v>0</v>
      </c>
      <c r="AP349" s="27">
        <f>G349*(1-0.082481752)</f>
        <v>0</v>
      </c>
      <c r="AQ349" s="30" t="s">
        <v>66</v>
      </c>
      <c r="AV349" s="27">
        <f>ROUND(AW349+AX349,2)</f>
        <v>0</v>
      </c>
      <c r="AW349" s="27">
        <f>ROUND(F349*AO349,2)</f>
        <v>0</v>
      </c>
      <c r="AX349" s="27">
        <f>ROUND(F349*AP349,2)</f>
        <v>0</v>
      </c>
      <c r="AY349" s="30" t="s">
        <v>570</v>
      </c>
      <c r="AZ349" s="30" t="s">
        <v>525</v>
      </c>
      <c r="BA349" s="12" t="s">
        <v>62</v>
      </c>
      <c r="BC349" s="27">
        <f>AW349+AX349</f>
        <v>0</v>
      </c>
      <c r="BD349" s="27">
        <f>G349/(100-BE349)*100</f>
        <v>0</v>
      </c>
      <c r="BE349" s="27">
        <v>0</v>
      </c>
      <c r="BF349" s="27">
        <f>349</f>
        <v>349</v>
      </c>
      <c r="BH349" s="27">
        <f>F349*AO349</f>
        <v>0</v>
      </c>
      <c r="BI349" s="27">
        <f>F349*AP349</f>
        <v>0</v>
      </c>
      <c r="BJ349" s="27">
        <f>F349*G349</f>
        <v>0</v>
      </c>
      <c r="BK349" s="30" t="s">
        <v>63</v>
      </c>
      <c r="BL349" s="27"/>
      <c r="BW349" s="27">
        <f>H349</f>
        <v>12</v>
      </c>
      <c r="BX349" s="5" t="s">
        <v>623</v>
      </c>
    </row>
    <row r="350" spans="1:76" x14ac:dyDescent="0.25">
      <c r="A350" s="31"/>
      <c r="C350" s="32" t="s">
        <v>198</v>
      </c>
      <c r="D350" s="32" t="s">
        <v>52</v>
      </c>
      <c r="F350" s="33">
        <v>27</v>
      </c>
      <c r="L350" s="34"/>
    </row>
    <row r="351" spans="1:76" ht="25.5" x14ac:dyDescent="0.25">
      <c r="A351" s="31"/>
      <c r="B351" s="35" t="s">
        <v>71</v>
      </c>
      <c r="C351" s="100" t="s">
        <v>624</v>
      </c>
      <c r="D351" s="101"/>
      <c r="E351" s="101"/>
      <c r="F351" s="101"/>
      <c r="G351" s="101"/>
      <c r="H351" s="101"/>
      <c r="I351" s="101"/>
      <c r="J351" s="101"/>
      <c r="K351" s="101"/>
      <c r="L351" s="102"/>
      <c r="BX351" s="36" t="s">
        <v>624</v>
      </c>
    </row>
    <row r="352" spans="1:76" x14ac:dyDescent="0.25">
      <c r="A352" s="2" t="s">
        <v>625</v>
      </c>
      <c r="B352" s="3" t="s">
        <v>626</v>
      </c>
      <c r="C352" s="84" t="s">
        <v>627</v>
      </c>
      <c r="D352" s="79"/>
      <c r="E352" s="3" t="s">
        <v>69</v>
      </c>
      <c r="F352" s="27">
        <v>6</v>
      </c>
      <c r="G352" s="27">
        <v>0</v>
      </c>
      <c r="H352" s="28">
        <v>12</v>
      </c>
      <c r="I352" s="27">
        <f>ROUND(F352*AO352,2)</f>
        <v>0</v>
      </c>
      <c r="J352" s="27">
        <f>ROUND(F352*AP352,2)</f>
        <v>0</v>
      </c>
      <c r="K352" s="27">
        <f>ROUND(F352*G352,2)</f>
        <v>0</v>
      </c>
      <c r="L352" s="29" t="s">
        <v>59</v>
      </c>
      <c r="Z352" s="27">
        <f>ROUND(IF(AQ352="5",BJ352,0),2)</f>
        <v>0</v>
      </c>
      <c r="AB352" s="27">
        <f>ROUND(IF(AQ352="1",BH352,0),2)</f>
        <v>0</v>
      </c>
      <c r="AC352" s="27">
        <f>ROUND(IF(AQ352="1",BI352,0),2)</f>
        <v>0</v>
      </c>
      <c r="AD352" s="27">
        <f>ROUND(IF(AQ352="7",BH352,0),2)</f>
        <v>0</v>
      </c>
      <c r="AE352" s="27">
        <f>ROUND(IF(AQ352="7",BI352,0),2)</f>
        <v>0</v>
      </c>
      <c r="AF352" s="27">
        <f>ROUND(IF(AQ352="2",BH352,0),2)</f>
        <v>0</v>
      </c>
      <c r="AG352" s="27">
        <f>ROUND(IF(AQ352="2",BI352,0),2)</f>
        <v>0</v>
      </c>
      <c r="AH352" s="27">
        <f>ROUND(IF(AQ352="0",BJ352,0),2)</f>
        <v>0</v>
      </c>
      <c r="AI352" s="12" t="s">
        <v>52</v>
      </c>
      <c r="AJ352" s="27">
        <f>IF(AN352=0,K352,0)</f>
        <v>0</v>
      </c>
      <c r="AK352" s="27">
        <f>IF(AN352=12,K352,0)</f>
        <v>0</v>
      </c>
      <c r="AL352" s="27">
        <f>IF(AN352=21,K352,0)</f>
        <v>0</v>
      </c>
      <c r="AN352" s="27">
        <v>12</v>
      </c>
      <c r="AO352" s="27">
        <f>G352*0.128982249</f>
        <v>0</v>
      </c>
      <c r="AP352" s="27">
        <f>G352*(1-0.128982249)</f>
        <v>0</v>
      </c>
      <c r="AQ352" s="30" t="s">
        <v>66</v>
      </c>
      <c r="AV352" s="27">
        <f>ROUND(AW352+AX352,2)</f>
        <v>0</v>
      </c>
      <c r="AW352" s="27">
        <f>ROUND(F352*AO352,2)</f>
        <v>0</v>
      </c>
      <c r="AX352" s="27">
        <f>ROUND(F352*AP352,2)</f>
        <v>0</v>
      </c>
      <c r="AY352" s="30" t="s">
        <v>570</v>
      </c>
      <c r="AZ352" s="30" t="s">
        <v>525</v>
      </c>
      <c r="BA352" s="12" t="s">
        <v>62</v>
      </c>
      <c r="BC352" s="27">
        <f>AW352+AX352</f>
        <v>0</v>
      </c>
      <c r="BD352" s="27">
        <f>G352/(100-BE352)*100</f>
        <v>0</v>
      </c>
      <c r="BE352" s="27">
        <v>0</v>
      </c>
      <c r="BF352" s="27">
        <f>352</f>
        <v>352</v>
      </c>
      <c r="BH352" s="27">
        <f>F352*AO352</f>
        <v>0</v>
      </c>
      <c r="BI352" s="27">
        <f>F352*AP352</f>
        <v>0</v>
      </c>
      <c r="BJ352" s="27">
        <f>F352*G352</f>
        <v>0</v>
      </c>
      <c r="BK352" s="30" t="s">
        <v>63</v>
      </c>
      <c r="BL352" s="27"/>
      <c r="BW352" s="27">
        <f>H352</f>
        <v>12</v>
      </c>
      <c r="BX352" s="5" t="s">
        <v>627</v>
      </c>
    </row>
    <row r="353" spans="1:76" x14ac:dyDescent="0.25">
      <c r="A353" s="31"/>
      <c r="C353" s="32" t="s">
        <v>99</v>
      </c>
      <c r="D353" s="32" t="s">
        <v>52</v>
      </c>
      <c r="F353" s="33">
        <v>6</v>
      </c>
      <c r="L353" s="34"/>
    </row>
    <row r="354" spans="1:76" ht="25.5" x14ac:dyDescent="0.25">
      <c r="A354" s="31"/>
      <c r="B354" s="35" t="s">
        <v>71</v>
      </c>
      <c r="C354" s="100" t="s">
        <v>628</v>
      </c>
      <c r="D354" s="101"/>
      <c r="E354" s="101"/>
      <c r="F354" s="101"/>
      <c r="G354" s="101"/>
      <c r="H354" s="101"/>
      <c r="I354" s="101"/>
      <c r="J354" s="101"/>
      <c r="K354" s="101"/>
      <c r="L354" s="102"/>
      <c r="BX354" s="36" t="s">
        <v>628</v>
      </c>
    </row>
    <row r="355" spans="1:76" x14ac:dyDescent="0.25">
      <c r="A355" s="2" t="s">
        <v>629</v>
      </c>
      <c r="B355" s="3" t="s">
        <v>630</v>
      </c>
      <c r="C355" s="84" t="s">
        <v>627</v>
      </c>
      <c r="D355" s="79"/>
      <c r="E355" s="3" t="s">
        <v>69</v>
      </c>
      <c r="F355" s="27">
        <v>4</v>
      </c>
      <c r="G355" s="27">
        <v>0</v>
      </c>
      <c r="H355" s="28">
        <v>12</v>
      </c>
      <c r="I355" s="27">
        <f>ROUND(F355*AO355,2)</f>
        <v>0</v>
      </c>
      <c r="J355" s="27">
        <f>ROUND(F355*AP355,2)</f>
        <v>0</v>
      </c>
      <c r="K355" s="27">
        <f>ROUND(F355*G355,2)</f>
        <v>0</v>
      </c>
      <c r="L355" s="29" t="s">
        <v>59</v>
      </c>
      <c r="Z355" s="27">
        <f>ROUND(IF(AQ355="5",BJ355,0),2)</f>
        <v>0</v>
      </c>
      <c r="AB355" s="27">
        <f>ROUND(IF(AQ355="1",BH355,0),2)</f>
        <v>0</v>
      </c>
      <c r="AC355" s="27">
        <f>ROUND(IF(AQ355="1",BI355,0),2)</f>
        <v>0</v>
      </c>
      <c r="AD355" s="27">
        <f>ROUND(IF(AQ355="7",BH355,0),2)</f>
        <v>0</v>
      </c>
      <c r="AE355" s="27">
        <f>ROUND(IF(AQ355="7",BI355,0),2)</f>
        <v>0</v>
      </c>
      <c r="AF355" s="27">
        <f>ROUND(IF(AQ355="2",BH355,0),2)</f>
        <v>0</v>
      </c>
      <c r="AG355" s="27">
        <f>ROUND(IF(AQ355="2",BI355,0),2)</f>
        <v>0</v>
      </c>
      <c r="AH355" s="27">
        <f>ROUND(IF(AQ355="0",BJ355,0),2)</f>
        <v>0</v>
      </c>
      <c r="AI355" s="12" t="s">
        <v>52</v>
      </c>
      <c r="AJ355" s="27">
        <f>IF(AN355=0,K355,0)</f>
        <v>0</v>
      </c>
      <c r="AK355" s="27">
        <f>IF(AN355=12,K355,0)</f>
        <v>0</v>
      </c>
      <c r="AL355" s="27">
        <f>IF(AN355=21,K355,0)</f>
        <v>0</v>
      </c>
      <c r="AN355" s="27">
        <v>12</v>
      </c>
      <c r="AO355" s="27">
        <f>G355*0.090072389</f>
        <v>0</v>
      </c>
      <c r="AP355" s="27">
        <f>G355*(1-0.090072389)</f>
        <v>0</v>
      </c>
      <c r="AQ355" s="30" t="s">
        <v>66</v>
      </c>
      <c r="AV355" s="27">
        <f>ROUND(AW355+AX355,2)</f>
        <v>0</v>
      </c>
      <c r="AW355" s="27">
        <f>ROUND(F355*AO355,2)</f>
        <v>0</v>
      </c>
      <c r="AX355" s="27">
        <f>ROUND(F355*AP355,2)</f>
        <v>0</v>
      </c>
      <c r="AY355" s="30" t="s">
        <v>570</v>
      </c>
      <c r="AZ355" s="30" t="s">
        <v>525</v>
      </c>
      <c r="BA355" s="12" t="s">
        <v>62</v>
      </c>
      <c r="BC355" s="27">
        <f>AW355+AX355</f>
        <v>0</v>
      </c>
      <c r="BD355" s="27">
        <f>G355/(100-BE355)*100</f>
        <v>0</v>
      </c>
      <c r="BE355" s="27">
        <v>0</v>
      </c>
      <c r="BF355" s="27">
        <f>355</f>
        <v>355</v>
      </c>
      <c r="BH355" s="27">
        <f>F355*AO355</f>
        <v>0</v>
      </c>
      <c r="BI355" s="27">
        <f>F355*AP355</f>
        <v>0</v>
      </c>
      <c r="BJ355" s="27">
        <f>F355*G355</f>
        <v>0</v>
      </c>
      <c r="BK355" s="30" t="s">
        <v>63</v>
      </c>
      <c r="BL355" s="27"/>
      <c r="BW355" s="27">
        <f>H355</f>
        <v>12</v>
      </c>
      <c r="BX355" s="5" t="s">
        <v>627</v>
      </c>
    </row>
    <row r="356" spans="1:76" x14ac:dyDescent="0.25">
      <c r="A356" s="31"/>
      <c r="C356" s="32" t="s">
        <v>86</v>
      </c>
      <c r="D356" s="32" t="s">
        <v>52</v>
      </c>
      <c r="F356" s="33">
        <v>4</v>
      </c>
      <c r="L356" s="34"/>
    </row>
    <row r="357" spans="1:76" ht="25.5" x14ac:dyDescent="0.25">
      <c r="A357" s="31"/>
      <c r="B357" s="35" t="s">
        <v>71</v>
      </c>
      <c r="C357" s="100" t="s">
        <v>624</v>
      </c>
      <c r="D357" s="101"/>
      <c r="E357" s="101"/>
      <c r="F357" s="101"/>
      <c r="G357" s="101"/>
      <c r="H357" s="101"/>
      <c r="I357" s="101"/>
      <c r="J357" s="101"/>
      <c r="K357" s="101"/>
      <c r="L357" s="102"/>
      <c r="BX357" s="36" t="s">
        <v>624</v>
      </c>
    </row>
    <row r="358" spans="1:76" x14ac:dyDescent="0.25">
      <c r="A358" s="2" t="s">
        <v>631</v>
      </c>
      <c r="B358" s="3" t="s">
        <v>632</v>
      </c>
      <c r="C358" s="84" t="s">
        <v>633</v>
      </c>
      <c r="D358" s="79"/>
      <c r="E358" s="3" t="s">
        <v>89</v>
      </c>
      <c r="F358" s="27">
        <v>6</v>
      </c>
      <c r="G358" s="27">
        <v>0</v>
      </c>
      <c r="H358" s="28">
        <v>12</v>
      </c>
      <c r="I358" s="27">
        <f>ROUND(F358*AO358,2)</f>
        <v>0</v>
      </c>
      <c r="J358" s="27">
        <f>ROUND(F358*AP358,2)</f>
        <v>0</v>
      </c>
      <c r="K358" s="27">
        <f>ROUND(F358*G358,2)</f>
        <v>0</v>
      </c>
      <c r="L358" s="29" t="s">
        <v>59</v>
      </c>
      <c r="Z358" s="27">
        <f>ROUND(IF(AQ358="5",BJ358,0),2)</f>
        <v>0</v>
      </c>
      <c r="AB358" s="27">
        <f>ROUND(IF(AQ358="1",BH358,0),2)</f>
        <v>0</v>
      </c>
      <c r="AC358" s="27">
        <f>ROUND(IF(AQ358="1",BI358,0),2)</f>
        <v>0</v>
      </c>
      <c r="AD358" s="27">
        <f>ROUND(IF(AQ358="7",BH358,0),2)</f>
        <v>0</v>
      </c>
      <c r="AE358" s="27">
        <f>ROUND(IF(AQ358="7",BI358,0),2)</f>
        <v>0</v>
      </c>
      <c r="AF358" s="27">
        <f>ROUND(IF(AQ358="2",BH358,0),2)</f>
        <v>0</v>
      </c>
      <c r="AG358" s="27">
        <f>ROUND(IF(AQ358="2",BI358,0),2)</f>
        <v>0</v>
      </c>
      <c r="AH358" s="27">
        <f>ROUND(IF(AQ358="0",BJ358,0),2)</f>
        <v>0</v>
      </c>
      <c r="AI358" s="12" t="s">
        <v>52</v>
      </c>
      <c r="AJ358" s="27">
        <f>IF(AN358=0,K358,0)</f>
        <v>0</v>
      </c>
      <c r="AK358" s="27">
        <f>IF(AN358=12,K358,0)</f>
        <v>0</v>
      </c>
      <c r="AL358" s="27">
        <f>IF(AN358=21,K358,0)</f>
        <v>0</v>
      </c>
      <c r="AN358" s="27">
        <v>12</v>
      </c>
      <c r="AO358" s="27">
        <f>G358*0.691940615</f>
        <v>0</v>
      </c>
      <c r="AP358" s="27">
        <f>G358*(1-0.691940615)</f>
        <v>0</v>
      </c>
      <c r="AQ358" s="30" t="s">
        <v>66</v>
      </c>
      <c r="AV358" s="27">
        <f>ROUND(AW358+AX358,2)</f>
        <v>0</v>
      </c>
      <c r="AW358" s="27">
        <f>ROUND(F358*AO358,2)</f>
        <v>0</v>
      </c>
      <c r="AX358" s="27">
        <f>ROUND(F358*AP358,2)</f>
        <v>0</v>
      </c>
      <c r="AY358" s="30" t="s">
        <v>570</v>
      </c>
      <c r="AZ358" s="30" t="s">
        <v>525</v>
      </c>
      <c r="BA358" s="12" t="s">
        <v>62</v>
      </c>
      <c r="BC358" s="27">
        <f>AW358+AX358</f>
        <v>0</v>
      </c>
      <c r="BD358" s="27">
        <f>G358/(100-BE358)*100</f>
        <v>0</v>
      </c>
      <c r="BE358" s="27">
        <v>0</v>
      </c>
      <c r="BF358" s="27">
        <f>358</f>
        <v>358</v>
      </c>
      <c r="BH358" s="27">
        <f>F358*AO358</f>
        <v>0</v>
      </c>
      <c r="BI358" s="27">
        <f>F358*AP358</f>
        <v>0</v>
      </c>
      <c r="BJ358" s="27">
        <f>F358*G358</f>
        <v>0</v>
      </c>
      <c r="BK358" s="30" t="s">
        <v>63</v>
      </c>
      <c r="BL358" s="27"/>
      <c r="BW358" s="27">
        <f>H358</f>
        <v>12</v>
      </c>
      <c r="BX358" s="5" t="s">
        <v>633</v>
      </c>
    </row>
    <row r="359" spans="1:76" x14ac:dyDescent="0.25">
      <c r="A359" s="31"/>
      <c r="C359" s="32" t="s">
        <v>99</v>
      </c>
      <c r="D359" s="32" t="s">
        <v>52</v>
      </c>
      <c r="F359" s="33">
        <v>6</v>
      </c>
      <c r="L359" s="34"/>
    </row>
    <row r="360" spans="1:76" x14ac:dyDescent="0.25">
      <c r="A360" s="2" t="s">
        <v>634</v>
      </c>
      <c r="B360" s="3" t="s">
        <v>635</v>
      </c>
      <c r="C360" s="84" t="s">
        <v>636</v>
      </c>
      <c r="D360" s="79"/>
      <c r="E360" s="3" t="s">
        <v>69</v>
      </c>
      <c r="F360" s="27">
        <v>2</v>
      </c>
      <c r="G360" s="27">
        <v>0</v>
      </c>
      <c r="H360" s="28">
        <v>12</v>
      </c>
      <c r="I360" s="27">
        <f>ROUND(F360*AO360,2)</f>
        <v>0</v>
      </c>
      <c r="J360" s="27">
        <f>ROUND(F360*AP360,2)</f>
        <v>0</v>
      </c>
      <c r="K360" s="27">
        <f>ROUND(F360*G360,2)</f>
        <v>0</v>
      </c>
      <c r="L360" s="29" t="s">
        <v>59</v>
      </c>
      <c r="Z360" s="27">
        <f>ROUND(IF(AQ360="5",BJ360,0),2)</f>
        <v>0</v>
      </c>
      <c r="AB360" s="27">
        <f>ROUND(IF(AQ360="1",BH360,0),2)</f>
        <v>0</v>
      </c>
      <c r="AC360" s="27">
        <f>ROUND(IF(AQ360="1",BI360,0),2)</f>
        <v>0</v>
      </c>
      <c r="AD360" s="27">
        <f>ROUND(IF(AQ360="7",BH360,0),2)</f>
        <v>0</v>
      </c>
      <c r="AE360" s="27">
        <f>ROUND(IF(AQ360="7",BI360,0),2)</f>
        <v>0</v>
      </c>
      <c r="AF360" s="27">
        <f>ROUND(IF(AQ360="2",BH360,0),2)</f>
        <v>0</v>
      </c>
      <c r="AG360" s="27">
        <f>ROUND(IF(AQ360="2",BI360,0),2)</f>
        <v>0</v>
      </c>
      <c r="AH360" s="27">
        <f>ROUND(IF(AQ360="0",BJ360,0),2)</f>
        <v>0</v>
      </c>
      <c r="AI360" s="12" t="s">
        <v>52</v>
      </c>
      <c r="AJ360" s="27">
        <f>IF(AN360=0,K360,0)</f>
        <v>0</v>
      </c>
      <c r="AK360" s="27">
        <f>IF(AN360=12,K360,0)</f>
        <v>0</v>
      </c>
      <c r="AL360" s="27">
        <f>IF(AN360=21,K360,0)</f>
        <v>0</v>
      </c>
      <c r="AN360" s="27">
        <v>12</v>
      </c>
      <c r="AO360" s="27">
        <f>G360*0.243439792</f>
        <v>0</v>
      </c>
      <c r="AP360" s="27">
        <f>G360*(1-0.243439792)</f>
        <v>0</v>
      </c>
      <c r="AQ360" s="30" t="s">
        <v>66</v>
      </c>
      <c r="AV360" s="27">
        <f>ROUND(AW360+AX360,2)</f>
        <v>0</v>
      </c>
      <c r="AW360" s="27">
        <f>ROUND(F360*AO360,2)</f>
        <v>0</v>
      </c>
      <c r="AX360" s="27">
        <f>ROUND(F360*AP360,2)</f>
        <v>0</v>
      </c>
      <c r="AY360" s="30" t="s">
        <v>570</v>
      </c>
      <c r="AZ360" s="30" t="s">
        <v>525</v>
      </c>
      <c r="BA360" s="12" t="s">
        <v>62</v>
      </c>
      <c r="BC360" s="27">
        <f>AW360+AX360</f>
        <v>0</v>
      </c>
      <c r="BD360" s="27">
        <f>G360/(100-BE360)*100</f>
        <v>0</v>
      </c>
      <c r="BE360" s="27">
        <v>0</v>
      </c>
      <c r="BF360" s="27">
        <f>360</f>
        <v>360</v>
      </c>
      <c r="BH360" s="27">
        <f>F360*AO360</f>
        <v>0</v>
      </c>
      <c r="BI360" s="27">
        <f>F360*AP360</f>
        <v>0</v>
      </c>
      <c r="BJ360" s="27">
        <f>F360*G360</f>
        <v>0</v>
      </c>
      <c r="BK360" s="30" t="s">
        <v>63</v>
      </c>
      <c r="BL360" s="27"/>
      <c r="BW360" s="27">
        <f>H360</f>
        <v>12</v>
      </c>
      <c r="BX360" s="5" t="s">
        <v>636</v>
      </c>
    </row>
    <row r="361" spans="1:76" x14ac:dyDescent="0.25">
      <c r="A361" s="31"/>
      <c r="C361" s="32" t="s">
        <v>66</v>
      </c>
      <c r="D361" s="32" t="s">
        <v>52</v>
      </c>
      <c r="F361" s="33">
        <v>2</v>
      </c>
      <c r="L361" s="34"/>
    </row>
    <row r="362" spans="1:76" ht="25.5" x14ac:dyDescent="0.25">
      <c r="A362" s="31"/>
      <c r="B362" s="35" t="s">
        <v>71</v>
      </c>
      <c r="C362" s="100" t="s">
        <v>637</v>
      </c>
      <c r="D362" s="101"/>
      <c r="E362" s="101"/>
      <c r="F362" s="101"/>
      <c r="G362" s="101"/>
      <c r="H362" s="101"/>
      <c r="I362" s="101"/>
      <c r="J362" s="101"/>
      <c r="K362" s="101"/>
      <c r="L362" s="102"/>
      <c r="BX362" s="36" t="s">
        <v>637</v>
      </c>
    </row>
    <row r="363" spans="1:76" x14ac:dyDescent="0.25">
      <c r="A363" s="2" t="s">
        <v>638</v>
      </c>
      <c r="B363" s="3" t="s">
        <v>639</v>
      </c>
      <c r="C363" s="84" t="s">
        <v>640</v>
      </c>
      <c r="D363" s="79"/>
      <c r="E363" s="3" t="s">
        <v>69</v>
      </c>
      <c r="F363" s="27">
        <v>1</v>
      </c>
      <c r="G363" s="27">
        <v>0</v>
      </c>
      <c r="H363" s="28">
        <v>12</v>
      </c>
      <c r="I363" s="27">
        <f>ROUND(F363*AO363,2)</f>
        <v>0</v>
      </c>
      <c r="J363" s="27">
        <f>ROUND(F363*AP363,2)</f>
        <v>0</v>
      </c>
      <c r="K363" s="27">
        <f>ROUND(F363*G363,2)</f>
        <v>0</v>
      </c>
      <c r="L363" s="29" t="s">
        <v>641</v>
      </c>
      <c r="Z363" s="27">
        <f>ROUND(IF(AQ363="5",BJ363,0),2)</f>
        <v>0</v>
      </c>
      <c r="AB363" s="27">
        <f>ROUND(IF(AQ363="1",BH363,0),2)</f>
        <v>0</v>
      </c>
      <c r="AC363" s="27">
        <f>ROUND(IF(AQ363="1",BI363,0),2)</f>
        <v>0</v>
      </c>
      <c r="AD363" s="27">
        <f>ROUND(IF(AQ363="7",BH363,0),2)</f>
        <v>0</v>
      </c>
      <c r="AE363" s="27">
        <f>ROUND(IF(AQ363="7",BI363,0),2)</f>
        <v>0</v>
      </c>
      <c r="AF363" s="27">
        <f>ROUND(IF(AQ363="2",BH363,0),2)</f>
        <v>0</v>
      </c>
      <c r="AG363" s="27">
        <f>ROUND(IF(AQ363="2",BI363,0),2)</f>
        <v>0</v>
      </c>
      <c r="AH363" s="27">
        <f>ROUND(IF(AQ363="0",BJ363,0),2)</f>
        <v>0</v>
      </c>
      <c r="AI363" s="12" t="s">
        <v>52</v>
      </c>
      <c r="AJ363" s="27">
        <f>IF(AN363=0,K363,0)</f>
        <v>0</v>
      </c>
      <c r="AK363" s="27">
        <f>IF(AN363=12,K363,0)</f>
        <v>0</v>
      </c>
      <c r="AL363" s="27">
        <f>IF(AN363=21,K363,0)</f>
        <v>0</v>
      </c>
      <c r="AN363" s="27">
        <v>12</v>
      </c>
      <c r="AO363" s="27">
        <f>G363*0.756351515</f>
        <v>0</v>
      </c>
      <c r="AP363" s="27">
        <f>G363*(1-0.756351515)</f>
        <v>0</v>
      </c>
      <c r="AQ363" s="30" t="s">
        <v>66</v>
      </c>
      <c r="AV363" s="27">
        <f>ROUND(AW363+AX363,2)</f>
        <v>0</v>
      </c>
      <c r="AW363" s="27">
        <f>ROUND(F363*AO363,2)</f>
        <v>0</v>
      </c>
      <c r="AX363" s="27">
        <f>ROUND(F363*AP363,2)</f>
        <v>0</v>
      </c>
      <c r="AY363" s="30" t="s">
        <v>570</v>
      </c>
      <c r="AZ363" s="30" t="s">
        <v>525</v>
      </c>
      <c r="BA363" s="12" t="s">
        <v>62</v>
      </c>
      <c r="BC363" s="27">
        <f>AW363+AX363</f>
        <v>0</v>
      </c>
      <c r="BD363" s="27">
        <f>G363/(100-BE363)*100</f>
        <v>0</v>
      </c>
      <c r="BE363" s="27">
        <v>0</v>
      </c>
      <c r="BF363" s="27">
        <f>363</f>
        <v>363</v>
      </c>
      <c r="BH363" s="27">
        <f>F363*AO363</f>
        <v>0</v>
      </c>
      <c r="BI363" s="27">
        <f>F363*AP363</f>
        <v>0</v>
      </c>
      <c r="BJ363" s="27">
        <f>F363*G363</f>
        <v>0</v>
      </c>
      <c r="BK363" s="30" t="s">
        <v>63</v>
      </c>
      <c r="BL363" s="27"/>
      <c r="BW363" s="27">
        <f>H363</f>
        <v>12</v>
      </c>
      <c r="BX363" s="5" t="s">
        <v>640</v>
      </c>
    </row>
    <row r="364" spans="1:76" x14ac:dyDescent="0.25">
      <c r="A364" s="31"/>
      <c r="C364" s="32" t="s">
        <v>55</v>
      </c>
      <c r="D364" s="32" t="s">
        <v>52</v>
      </c>
      <c r="F364" s="33">
        <v>1</v>
      </c>
      <c r="L364" s="34"/>
    </row>
    <row r="365" spans="1:76" x14ac:dyDescent="0.25">
      <c r="A365" s="2" t="s">
        <v>642</v>
      </c>
      <c r="B365" s="3" t="s">
        <v>643</v>
      </c>
      <c r="C365" s="84" t="s">
        <v>644</v>
      </c>
      <c r="D365" s="79"/>
      <c r="E365" s="3" t="s">
        <v>69</v>
      </c>
      <c r="F365" s="27">
        <v>6</v>
      </c>
      <c r="G365" s="27">
        <v>0</v>
      </c>
      <c r="H365" s="28">
        <v>12</v>
      </c>
      <c r="I365" s="27">
        <f>ROUND(F365*AO365,2)</f>
        <v>0</v>
      </c>
      <c r="J365" s="27">
        <f>ROUND(F365*AP365,2)</f>
        <v>0</v>
      </c>
      <c r="K365" s="27">
        <f>ROUND(F365*G365,2)</f>
        <v>0</v>
      </c>
      <c r="L365" s="29" t="s">
        <v>641</v>
      </c>
      <c r="Z365" s="27">
        <f>ROUND(IF(AQ365="5",BJ365,0),2)</f>
        <v>0</v>
      </c>
      <c r="AB365" s="27">
        <f>ROUND(IF(AQ365="1",BH365,0),2)</f>
        <v>0</v>
      </c>
      <c r="AC365" s="27">
        <f>ROUND(IF(AQ365="1",BI365,0),2)</f>
        <v>0</v>
      </c>
      <c r="AD365" s="27">
        <f>ROUND(IF(AQ365="7",BH365,0),2)</f>
        <v>0</v>
      </c>
      <c r="AE365" s="27">
        <f>ROUND(IF(AQ365="7",BI365,0),2)</f>
        <v>0</v>
      </c>
      <c r="AF365" s="27">
        <f>ROUND(IF(AQ365="2",BH365,0),2)</f>
        <v>0</v>
      </c>
      <c r="AG365" s="27">
        <f>ROUND(IF(AQ365="2",BI365,0),2)</f>
        <v>0</v>
      </c>
      <c r="AH365" s="27">
        <f>ROUND(IF(AQ365="0",BJ365,0),2)</f>
        <v>0</v>
      </c>
      <c r="AI365" s="12" t="s">
        <v>52</v>
      </c>
      <c r="AJ365" s="27">
        <f>IF(AN365=0,K365,0)</f>
        <v>0</v>
      </c>
      <c r="AK365" s="27">
        <f>IF(AN365=12,K365,0)</f>
        <v>0</v>
      </c>
      <c r="AL365" s="27">
        <f>IF(AN365=21,K365,0)</f>
        <v>0</v>
      </c>
      <c r="AN365" s="27">
        <v>12</v>
      </c>
      <c r="AO365" s="27">
        <f>G365*0.555770544</f>
        <v>0</v>
      </c>
      <c r="AP365" s="27">
        <f>G365*(1-0.555770544)</f>
        <v>0</v>
      </c>
      <c r="AQ365" s="30" t="s">
        <v>66</v>
      </c>
      <c r="AV365" s="27">
        <f>ROUND(AW365+AX365,2)</f>
        <v>0</v>
      </c>
      <c r="AW365" s="27">
        <f>ROUND(F365*AO365,2)</f>
        <v>0</v>
      </c>
      <c r="AX365" s="27">
        <f>ROUND(F365*AP365,2)</f>
        <v>0</v>
      </c>
      <c r="AY365" s="30" t="s">
        <v>570</v>
      </c>
      <c r="AZ365" s="30" t="s">
        <v>525</v>
      </c>
      <c r="BA365" s="12" t="s">
        <v>62</v>
      </c>
      <c r="BC365" s="27">
        <f>AW365+AX365</f>
        <v>0</v>
      </c>
      <c r="BD365" s="27">
        <f>G365/(100-BE365)*100</f>
        <v>0</v>
      </c>
      <c r="BE365" s="27">
        <v>0</v>
      </c>
      <c r="BF365" s="27">
        <f>365</f>
        <v>365</v>
      </c>
      <c r="BH365" s="27">
        <f>F365*AO365</f>
        <v>0</v>
      </c>
      <c r="BI365" s="27">
        <f>F365*AP365</f>
        <v>0</v>
      </c>
      <c r="BJ365" s="27">
        <f>F365*G365</f>
        <v>0</v>
      </c>
      <c r="BK365" s="30" t="s">
        <v>63</v>
      </c>
      <c r="BL365" s="27"/>
      <c r="BW365" s="27">
        <f>H365</f>
        <v>12</v>
      </c>
      <c r="BX365" s="5" t="s">
        <v>644</v>
      </c>
    </row>
    <row r="366" spans="1:76" x14ac:dyDescent="0.25">
      <c r="A366" s="31"/>
      <c r="C366" s="32" t="s">
        <v>99</v>
      </c>
      <c r="D366" s="32" t="s">
        <v>52</v>
      </c>
      <c r="F366" s="33">
        <v>6</v>
      </c>
      <c r="L366" s="34"/>
    </row>
    <row r="367" spans="1:76" x14ac:dyDescent="0.25">
      <c r="A367" s="2" t="s">
        <v>645</v>
      </c>
      <c r="B367" s="3" t="s">
        <v>646</v>
      </c>
      <c r="C367" s="84" t="s">
        <v>647</v>
      </c>
      <c r="D367" s="79"/>
      <c r="E367" s="3" t="s">
        <v>69</v>
      </c>
      <c r="F367" s="27">
        <v>4</v>
      </c>
      <c r="G367" s="27">
        <v>0</v>
      </c>
      <c r="H367" s="28">
        <v>12</v>
      </c>
      <c r="I367" s="27">
        <f>ROUND(F367*AO367,2)</f>
        <v>0</v>
      </c>
      <c r="J367" s="27">
        <f>ROUND(F367*AP367,2)</f>
        <v>0</v>
      </c>
      <c r="K367" s="27">
        <f>ROUND(F367*G367,2)</f>
        <v>0</v>
      </c>
      <c r="L367" s="29" t="s">
        <v>59</v>
      </c>
      <c r="Z367" s="27">
        <f>ROUND(IF(AQ367="5",BJ367,0),2)</f>
        <v>0</v>
      </c>
      <c r="AB367" s="27">
        <f>ROUND(IF(AQ367="1",BH367,0),2)</f>
        <v>0</v>
      </c>
      <c r="AC367" s="27">
        <f>ROUND(IF(AQ367="1",BI367,0),2)</f>
        <v>0</v>
      </c>
      <c r="AD367" s="27">
        <f>ROUND(IF(AQ367="7",BH367,0),2)</f>
        <v>0</v>
      </c>
      <c r="AE367" s="27">
        <f>ROUND(IF(AQ367="7",BI367,0),2)</f>
        <v>0</v>
      </c>
      <c r="AF367" s="27">
        <f>ROUND(IF(AQ367="2",BH367,0),2)</f>
        <v>0</v>
      </c>
      <c r="AG367" s="27">
        <f>ROUND(IF(AQ367="2",BI367,0),2)</f>
        <v>0</v>
      </c>
      <c r="AH367" s="27">
        <f>ROUND(IF(AQ367="0",BJ367,0),2)</f>
        <v>0</v>
      </c>
      <c r="AI367" s="12" t="s">
        <v>52</v>
      </c>
      <c r="AJ367" s="27">
        <f>IF(AN367=0,K367,0)</f>
        <v>0</v>
      </c>
      <c r="AK367" s="27">
        <f>IF(AN367=12,K367,0)</f>
        <v>0</v>
      </c>
      <c r="AL367" s="27">
        <f>IF(AN367=21,K367,0)</f>
        <v>0</v>
      </c>
      <c r="AN367" s="27">
        <v>12</v>
      </c>
      <c r="AO367" s="27">
        <f>G367*0.081396648</f>
        <v>0</v>
      </c>
      <c r="AP367" s="27">
        <f>G367*(1-0.081396648)</f>
        <v>0</v>
      </c>
      <c r="AQ367" s="30" t="s">
        <v>66</v>
      </c>
      <c r="AV367" s="27">
        <f>ROUND(AW367+AX367,2)</f>
        <v>0</v>
      </c>
      <c r="AW367" s="27">
        <f>ROUND(F367*AO367,2)</f>
        <v>0</v>
      </c>
      <c r="AX367" s="27">
        <f>ROUND(F367*AP367,2)</f>
        <v>0</v>
      </c>
      <c r="AY367" s="30" t="s">
        <v>570</v>
      </c>
      <c r="AZ367" s="30" t="s">
        <v>525</v>
      </c>
      <c r="BA367" s="12" t="s">
        <v>62</v>
      </c>
      <c r="BC367" s="27">
        <f>AW367+AX367</f>
        <v>0</v>
      </c>
      <c r="BD367" s="27">
        <f>G367/(100-BE367)*100</f>
        <v>0</v>
      </c>
      <c r="BE367" s="27">
        <v>0</v>
      </c>
      <c r="BF367" s="27">
        <f>367</f>
        <v>367</v>
      </c>
      <c r="BH367" s="27">
        <f>F367*AO367</f>
        <v>0</v>
      </c>
      <c r="BI367" s="27">
        <f>F367*AP367</f>
        <v>0</v>
      </c>
      <c r="BJ367" s="27">
        <f>F367*G367</f>
        <v>0</v>
      </c>
      <c r="BK367" s="30" t="s">
        <v>63</v>
      </c>
      <c r="BL367" s="27"/>
      <c r="BW367" s="27">
        <f>H367</f>
        <v>12</v>
      </c>
      <c r="BX367" s="5" t="s">
        <v>647</v>
      </c>
    </row>
    <row r="368" spans="1:76" x14ac:dyDescent="0.25">
      <c r="A368" s="31"/>
      <c r="C368" s="32" t="s">
        <v>86</v>
      </c>
      <c r="D368" s="32" t="s">
        <v>52</v>
      </c>
      <c r="F368" s="33">
        <v>4</v>
      </c>
      <c r="L368" s="34"/>
    </row>
    <row r="369" spans="1:76" x14ac:dyDescent="0.25">
      <c r="A369" s="2" t="s">
        <v>648</v>
      </c>
      <c r="B369" s="3" t="s">
        <v>649</v>
      </c>
      <c r="C369" s="84" t="s">
        <v>650</v>
      </c>
      <c r="D369" s="79"/>
      <c r="E369" s="3" t="s">
        <v>69</v>
      </c>
      <c r="F369" s="27">
        <v>1</v>
      </c>
      <c r="G369" s="27">
        <v>0</v>
      </c>
      <c r="H369" s="28">
        <v>12</v>
      </c>
      <c r="I369" s="27">
        <f>ROUND(F369*AO369,2)</f>
        <v>0</v>
      </c>
      <c r="J369" s="27">
        <f>ROUND(F369*AP369,2)</f>
        <v>0</v>
      </c>
      <c r="K369" s="27">
        <f>ROUND(F369*G369,2)</f>
        <v>0</v>
      </c>
      <c r="L369" s="29" t="s">
        <v>59</v>
      </c>
      <c r="Z369" s="27">
        <f>ROUND(IF(AQ369="5",BJ369,0),2)</f>
        <v>0</v>
      </c>
      <c r="AB369" s="27">
        <f>ROUND(IF(AQ369="1",BH369,0),2)</f>
        <v>0</v>
      </c>
      <c r="AC369" s="27">
        <f>ROUND(IF(AQ369="1",BI369,0),2)</f>
        <v>0</v>
      </c>
      <c r="AD369" s="27">
        <f>ROUND(IF(AQ369="7",BH369,0),2)</f>
        <v>0</v>
      </c>
      <c r="AE369" s="27">
        <f>ROUND(IF(AQ369="7",BI369,0),2)</f>
        <v>0</v>
      </c>
      <c r="AF369" s="27">
        <f>ROUND(IF(AQ369="2",BH369,0),2)</f>
        <v>0</v>
      </c>
      <c r="AG369" s="27">
        <f>ROUND(IF(AQ369="2",BI369,0),2)</f>
        <v>0</v>
      </c>
      <c r="AH369" s="27">
        <f>ROUND(IF(AQ369="0",BJ369,0),2)</f>
        <v>0</v>
      </c>
      <c r="AI369" s="12" t="s">
        <v>52</v>
      </c>
      <c r="AJ369" s="27">
        <f>IF(AN369=0,K369,0)</f>
        <v>0</v>
      </c>
      <c r="AK369" s="27">
        <f>IF(AN369=12,K369,0)</f>
        <v>0</v>
      </c>
      <c r="AL369" s="27">
        <f>IF(AN369=21,K369,0)</f>
        <v>0</v>
      </c>
      <c r="AN369" s="27">
        <v>12</v>
      </c>
      <c r="AO369" s="27">
        <f>G369*0</f>
        <v>0</v>
      </c>
      <c r="AP369" s="27">
        <f>G369*(1-0)</f>
        <v>0</v>
      </c>
      <c r="AQ369" s="30" t="s">
        <v>66</v>
      </c>
      <c r="AV369" s="27">
        <f>ROUND(AW369+AX369,2)</f>
        <v>0</v>
      </c>
      <c r="AW369" s="27">
        <f>ROUND(F369*AO369,2)</f>
        <v>0</v>
      </c>
      <c r="AX369" s="27">
        <f>ROUND(F369*AP369,2)</f>
        <v>0</v>
      </c>
      <c r="AY369" s="30" t="s">
        <v>570</v>
      </c>
      <c r="AZ369" s="30" t="s">
        <v>525</v>
      </c>
      <c r="BA369" s="12" t="s">
        <v>62</v>
      </c>
      <c r="BC369" s="27">
        <f>AW369+AX369</f>
        <v>0</v>
      </c>
      <c r="BD369" s="27">
        <f>G369/(100-BE369)*100</f>
        <v>0</v>
      </c>
      <c r="BE369" s="27">
        <v>0</v>
      </c>
      <c r="BF369" s="27">
        <f>369</f>
        <v>369</v>
      </c>
      <c r="BH369" s="27">
        <f>F369*AO369</f>
        <v>0</v>
      </c>
      <c r="BI369" s="27">
        <f>F369*AP369</f>
        <v>0</v>
      </c>
      <c r="BJ369" s="27">
        <f>F369*G369</f>
        <v>0</v>
      </c>
      <c r="BK369" s="30" t="s">
        <v>63</v>
      </c>
      <c r="BL369" s="27"/>
      <c r="BW369" s="27">
        <f>H369</f>
        <v>12</v>
      </c>
      <c r="BX369" s="5" t="s">
        <v>650</v>
      </c>
    </row>
    <row r="370" spans="1:76" x14ac:dyDescent="0.25">
      <c r="A370" s="31"/>
      <c r="C370" s="32" t="s">
        <v>55</v>
      </c>
      <c r="D370" s="32" t="s">
        <v>52</v>
      </c>
      <c r="F370" s="33">
        <v>1</v>
      </c>
      <c r="L370" s="34"/>
    </row>
    <row r="371" spans="1:76" x14ac:dyDescent="0.25">
      <c r="A371" s="2" t="s">
        <v>651</v>
      </c>
      <c r="B371" s="3" t="s">
        <v>652</v>
      </c>
      <c r="C371" s="84" t="s">
        <v>653</v>
      </c>
      <c r="D371" s="79"/>
      <c r="E371" s="3" t="s">
        <v>69</v>
      </c>
      <c r="F371" s="27">
        <v>1</v>
      </c>
      <c r="G371" s="27">
        <v>0</v>
      </c>
      <c r="H371" s="28">
        <v>12</v>
      </c>
      <c r="I371" s="27">
        <f>ROUND(F371*AO371,2)</f>
        <v>0</v>
      </c>
      <c r="J371" s="27">
        <f>ROUND(F371*AP371,2)</f>
        <v>0</v>
      </c>
      <c r="K371" s="27">
        <f>ROUND(F371*G371,2)</f>
        <v>0</v>
      </c>
      <c r="L371" s="29" t="s">
        <v>59</v>
      </c>
      <c r="Z371" s="27">
        <f>ROUND(IF(AQ371="5",BJ371,0),2)</f>
        <v>0</v>
      </c>
      <c r="AB371" s="27">
        <f>ROUND(IF(AQ371="1",BH371,0),2)</f>
        <v>0</v>
      </c>
      <c r="AC371" s="27">
        <f>ROUND(IF(AQ371="1",BI371,0),2)</f>
        <v>0</v>
      </c>
      <c r="AD371" s="27">
        <f>ROUND(IF(AQ371="7",BH371,0),2)</f>
        <v>0</v>
      </c>
      <c r="AE371" s="27">
        <f>ROUND(IF(AQ371="7",BI371,0),2)</f>
        <v>0</v>
      </c>
      <c r="AF371" s="27">
        <f>ROUND(IF(AQ371="2",BH371,0),2)</f>
        <v>0</v>
      </c>
      <c r="AG371" s="27">
        <f>ROUND(IF(AQ371="2",BI371,0),2)</f>
        <v>0</v>
      </c>
      <c r="AH371" s="27">
        <f>ROUND(IF(AQ371="0",BJ371,0),2)</f>
        <v>0</v>
      </c>
      <c r="AI371" s="12" t="s">
        <v>52</v>
      </c>
      <c r="AJ371" s="27">
        <f>IF(AN371=0,K371,0)</f>
        <v>0</v>
      </c>
      <c r="AK371" s="27">
        <f>IF(AN371=12,K371,0)</f>
        <v>0</v>
      </c>
      <c r="AL371" s="27">
        <f>IF(AN371=21,K371,0)</f>
        <v>0</v>
      </c>
      <c r="AN371" s="27">
        <v>12</v>
      </c>
      <c r="AO371" s="27">
        <f>G371*0</f>
        <v>0</v>
      </c>
      <c r="AP371" s="27">
        <f>G371*(1-0)</f>
        <v>0</v>
      </c>
      <c r="AQ371" s="30" t="s">
        <v>66</v>
      </c>
      <c r="AV371" s="27">
        <f>ROUND(AW371+AX371,2)</f>
        <v>0</v>
      </c>
      <c r="AW371" s="27">
        <f>ROUND(F371*AO371,2)</f>
        <v>0</v>
      </c>
      <c r="AX371" s="27">
        <f>ROUND(F371*AP371,2)</f>
        <v>0</v>
      </c>
      <c r="AY371" s="30" t="s">
        <v>570</v>
      </c>
      <c r="AZ371" s="30" t="s">
        <v>525</v>
      </c>
      <c r="BA371" s="12" t="s">
        <v>62</v>
      </c>
      <c r="BC371" s="27">
        <f>AW371+AX371</f>
        <v>0</v>
      </c>
      <c r="BD371" s="27">
        <f>G371/(100-BE371)*100</f>
        <v>0</v>
      </c>
      <c r="BE371" s="27">
        <v>0</v>
      </c>
      <c r="BF371" s="27">
        <f>371</f>
        <v>371</v>
      </c>
      <c r="BH371" s="27">
        <f>F371*AO371</f>
        <v>0</v>
      </c>
      <c r="BI371" s="27">
        <f>F371*AP371</f>
        <v>0</v>
      </c>
      <c r="BJ371" s="27">
        <f>F371*G371</f>
        <v>0</v>
      </c>
      <c r="BK371" s="30" t="s">
        <v>63</v>
      </c>
      <c r="BL371" s="27"/>
      <c r="BW371" s="27">
        <f>H371</f>
        <v>12</v>
      </c>
      <c r="BX371" s="5" t="s">
        <v>653</v>
      </c>
    </row>
    <row r="372" spans="1:76" x14ac:dyDescent="0.25">
      <c r="A372" s="31"/>
      <c r="C372" s="32" t="s">
        <v>55</v>
      </c>
      <c r="D372" s="32" t="s">
        <v>52</v>
      </c>
      <c r="F372" s="33">
        <v>1</v>
      </c>
      <c r="L372" s="34"/>
    </row>
    <row r="373" spans="1:76" x14ac:dyDescent="0.25">
      <c r="A373" s="2" t="s">
        <v>654</v>
      </c>
      <c r="B373" s="3" t="s">
        <v>655</v>
      </c>
      <c r="C373" s="84" t="s">
        <v>656</v>
      </c>
      <c r="D373" s="79"/>
      <c r="E373" s="3" t="s">
        <v>523</v>
      </c>
      <c r="F373" s="27">
        <v>8</v>
      </c>
      <c r="G373" s="27">
        <v>0</v>
      </c>
      <c r="H373" s="28">
        <v>12</v>
      </c>
      <c r="I373" s="27">
        <f>ROUND(F373*AO373,2)</f>
        <v>0</v>
      </c>
      <c r="J373" s="27">
        <f>ROUND(F373*AP373,2)</f>
        <v>0</v>
      </c>
      <c r="K373" s="27">
        <f>ROUND(F373*G373,2)</f>
        <v>0</v>
      </c>
      <c r="L373" s="29" t="s">
        <v>59</v>
      </c>
      <c r="Z373" s="27">
        <f>ROUND(IF(AQ373="5",BJ373,0),2)</f>
        <v>0</v>
      </c>
      <c r="AB373" s="27">
        <f>ROUND(IF(AQ373="1",BH373,0),2)</f>
        <v>0</v>
      </c>
      <c r="AC373" s="27">
        <f>ROUND(IF(AQ373="1",BI373,0),2)</f>
        <v>0</v>
      </c>
      <c r="AD373" s="27">
        <f>ROUND(IF(AQ373="7",BH373,0),2)</f>
        <v>0</v>
      </c>
      <c r="AE373" s="27">
        <f>ROUND(IF(AQ373="7",BI373,0),2)</f>
        <v>0</v>
      </c>
      <c r="AF373" s="27">
        <f>ROUND(IF(AQ373="2",BH373,0),2)</f>
        <v>0</v>
      </c>
      <c r="AG373" s="27">
        <f>ROUND(IF(AQ373="2",BI373,0),2)</f>
        <v>0</v>
      </c>
      <c r="AH373" s="27">
        <f>ROUND(IF(AQ373="0",BJ373,0),2)</f>
        <v>0</v>
      </c>
      <c r="AI373" s="12" t="s">
        <v>52</v>
      </c>
      <c r="AJ373" s="27">
        <f>IF(AN373=0,K373,0)</f>
        <v>0</v>
      </c>
      <c r="AK373" s="27">
        <f>IF(AN373=12,K373,0)</f>
        <v>0</v>
      </c>
      <c r="AL373" s="27">
        <f>IF(AN373=21,K373,0)</f>
        <v>0</v>
      </c>
      <c r="AN373" s="27">
        <v>12</v>
      </c>
      <c r="AO373" s="27">
        <f>G373*0</f>
        <v>0</v>
      </c>
      <c r="AP373" s="27">
        <f>G373*(1-0)</f>
        <v>0</v>
      </c>
      <c r="AQ373" s="30" t="s">
        <v>55</v>
      </c>
      <c r="AV373" s="27">
        <f>ROUND(AW373+AX373,2)</f>
        <v>0</v>
      </c>
      <c r="AW373" s="27">
        <f>ROUND(F373*AO373,2)</f>
        <v>0</v>
      </c>
      <c r="AX373" s="27">
        <f>ROUND(F373*AP373,2)</f>
        <v>0</v>
      </c>
      <c r="AY373" s="30" t="s">
        <v>570</v>
      </c>
      <c r="AZ373" s="30" t="s">
        <v>525</v>
      </c>
      <c r="BA373" s="12" t="s">
        <v>62</v>
      </c>
      <c r="BC373" s="27">
        <f>AW373+AX373</f>
        <v>0</v>
      </c>
      <c r="BD373" s="27">
        <f>G373/(100-BE373)*100</f>
        <v>0</v>
      </c>
      <c r="BE373" s="27">
        <v>0</v>
      </c>
      <c r="BF373" s="27">
        <f>373</f>
        <v>373</v>
      </c>
      <c r="BH373" s="27">
        <f>F373*AO373</f>
        <v>0</v>
      </c>
      <c r="BI373" s="27">
        <f>F373*AP373</f>
        <v>0</v>
      </c>
      <c r="BJ373" s="27">
        <f>F373*G373</f>
        <v>0</v>
      </c>
      <c r="BK373" s="30" t="s">
        <v>63</v>
      </c>
      <c r="BL373" s="27"/>
      <c r="BW373" s="27">
        <f>H373</f>
        <v>12</v>
      </c>
      <c r="BX373" s="5" t="s">
        <v>656</v>
      </c>
    </row>
    <row r="374" spans="1:76" x14ac:dyDescent="0.25">
      <c r="A374" s="31"/>
      <c r="C374" s="32" t="s">
        <v>108</v>
      </c>
      <c r="D374" s="32" t="s">
        <v>52</v>
      </c>
      <c r="F374" s="33">
        <v>8</v>
      </c>
      <c r="L374" s="34"/>
    </row>
    <row r="375" spans="1:76" ht="293.25" x14ac:dyDescent="0.25">
      <c r="A375" s="31"/>
      <c r="B375" s="35" t="s">
        <v>71</v>
      </c>
      <c r="C375" s="100" t="s">
        <v>526</v>
      </c>
      <c r="D375" s="101"/>
      <c r="E375" s="101"/>
      <c r="F375" s="101"/>
      <c r="G375" s="101"/>
      <c r="H375" s="101"/>
      <c r="I375" s="101"/>
      <c r="J375" s="101"/>
      <c r="K375" s="101"/>
      <c r="L375" s="102"/>
      <c r="BX375" s="36" t="s">
        <v>526</v>
      </c>
    </row>
    <row r="376" spans="1:76" x14ac:dyDescent="0.25">
      <c r="A376" s="2" t="s">
        <v>657</v>
      </c>
      <c r="B376" s="3" t="s">
        <v>658</v>
      </c>
      <c r="C376" s="84" t="s">
        <v>659</v>
      </c>
      <c r="D376" s="79"/>
      <c r="E376" s="3" t="s">
        <v>416</v>
      </c>
      <c r="F376" s="27">
        <v>1</v>
      </c>
      <c r="G376" s="27">
        <v>0</v>
      </c>
      <c r="H376" s="28">
        <v>12</v>
      </c>
      <c r="I376" s="27">
        <f>ROUND(F376*AO376,2)</f>
        <v>0</v>
      </c>
      <c r="J376" s="27">
        <f>ROUND(F376*AP376,2)</f>
        <v>0</v>
      </c>
      <c r="K376" s="27">
        <f>ROUND(F376*G376,2)</f>
        <v>0</v>
      </c>
      <c r="L376" s="29" t="s">
        <v>59</v>
      </c>
      <c r="Z376" s="27">
        <f>ROUND(IF(AQ376="5",BJ376,0),2)</f>
        <v>0</v>
      </c>
      <c r="AB376" s="27">
        <f>ROUND(IF(AQ376="1",BH376,0),2)</f>
        <v>0</v>
      </c>
      <c r="AC376" s="27">
        <f>ROUND(IF(AQ376="1",BI376,0),2)</f>
        <v>0</v>
      </c>
      <c r="AD376" s="27">
        <f>ROUND(IF(AQ376="7",BH376,0),2)</f>
        <v>0</v>
      </c>
      <c r="AE376" s="27">
        <f>ROUND(IF(AQ376="7",BI376,0),2)</f>
        <v>0</v>
      </c>
      <c r="AF376" s="27">
        <f>ROUND(IF(AQ376="2",BH376,0),2)</f>
        <v>0</v>
      </c>
      <c r="AG376" s="27">
        <f>ROUND(IF(AQ376="2",BI376,0),2)</f>
        <v>0</v>
      </c>
      <c r="AH376" s="27">
        <f>ROUND(IF(AQ376="0",BJ376,0),2)</f>
        <v>0</v>
      </c>
      <c r="AI376" s="12" t="s">
        <v>52</v>
      </c>
      <c r="AJ376" s="27">
        <f>IF(AN376=0,K376,0)</f>
        <v>0</v>
      </c>
      <c r="AK376" s="27">
        <f>IF(AN376=12,K376,0)</f>
        <v>0</v>
      </c>
      <c r="AL376" s="27">
        <f>IF(AN376=21,K376,0)</f>
        <v>0</v>
      </c>
      <c r="AN376" s="27">
        <v>12</v>
      </c>
      <c r="AO376" s="27">
        <f>G376*0</f>
        <v>0</v>
      </c>
      <c r="AP376" s="27">
        <f>G376*(1-0)</f>
        <v>0</v>
      </c>
      <c r="AQ376" s="30" t="s">
        <v>66</v>
      </c>
      <c r="AV376" s="27">
        <f>ROUND(AW376+AX376,2)</f>
        <v>0</v>
      </c>
      <c r="AW376" s="27">
        <f>ROUND(F376*AO376,2)</f>
        <v>0</v>
      </c>
      <c r="AX376" s="27">
        <f>ROUND(F376*AP376,2)</f>
        <v>0</v>
      </c>
      <c r="AY376" s="30" t="s">
        <v>570</v>
      </c>
      <c r="AZ376" s="30" t="s">
        <v>525</v>
      </c>
      <c r="BA376" s="12" t="s">
        <v>62</v>
      </c>
      <c r="BC376" s="27">
        <f>AW376+AX376</f>
        <v>0</v>
      </c>
      <c r="BD376" s="27">
        <f>G376/(100-BE376)*100</f>
        <v>0</v>
      </c>
      <c r="BE376" s="27">
        <v>0</v>
      </c>
      <c r="BF376" s="27">
        <f>376</f>
        <v>376</v>
      </c>
      <c r="BH376" s="27">
        <f>F376*AO376</f>
        <v>0</v>
      </c>
      <c r="BI376" s="27">
        <f>F376*AP376</f>
        <v>0</v>
      </c>
      <c r="BJ376" s="27">
        <f>F376*G376</f>
        <v>0</v>
      </c>
      <c r="BK376" s="30" t="s">
        <v>63</v>
      </c>
      <c r="BL376" s="27"/>
      <c r="BW376" s="27">
        <f>H376</f>
        <v>12</v>
      </c>
      <c r="BX376" s="5" t="s">
        <v>659</v>
      </c>
    </row>
    <row r="377" spans="1:76" x14ac:dyDescent="0.25">
      <c r="A377" s="31"/>
      <c r="C377" s="32" t="s">
        <v>55</v>
      </c>
      <c r="D377" s="32" t="s">
        <v>52</v>
      </c>
      <c r="F377" s="33">
        <v>1</v>
      </c>
      <c r="L377" s="34"/>
    </row>
    <row r="378" spans="1:76" x14ac:dyDescent="0.25">
      <c r="A378" s="31"/>
      <c r="B378" s="35" t="s">
        <v>71</v>
      </c>
      <c r="C378" s="100" t="s">
        <v>660</v>
      </c>
      <c r="D378" s="101"/>
      <c r="E378" s="101"/>
      <c r="F378" s="101"/>
      <c r="G378" s="101"/>
      <c r="H378" s="101"/>
      <c r="I378" s="101"/>
      <c r="J378" s="101"/>
      <c r="K378" s="101"/>
      <c r="L378" s="102"/>
      <c r="BX378" s="36" t="s">
        <v>660</v>
      </c>
    </row>
    <row r="379" spans="1:76" x14ac:dyDescent="0.25">
      <c r="A379" s="2" t="s">
        <v>661</v>
      </c>
      <c r="B379" s="3" t="s">
        <v>662</v>
      </c>
      <c r="C379" s="84" t="s">
        <v>663</v>
      </c>
      <c r="D379" s="79"/>
      <c r="E379" s="3" t="s">
        <v>416</v>
      </c>
      <c r="F379" s="27">
        <v>1</v>
      </c>
      <c r="G379" s="27">
        <v>0</v>
      </c>
      <c r="H379" s="28">
        <v>12</v>
      </c>
      <c r="I379" s="27">
        <f>ROUND(F379*AO379,2)</f>
        <v>0</v>
      </c>
      <c r="J379" s="27">
        <f>ROUND(F379*AP379,2)</f>
        <v>0</v>
      </c>
      <c r="K379" s="27">
        <f>ROUND(F379*G379,2)</f>
        <v>0</v>
      </c>
      <c r="L379" s="29" t="s">
        <v>59</v>
      </c>
      <c r="Z379" s="27">
        <f>ROUND(IF(AQ379="5",BJ379,0),2)</f>
        <v>0</v>
      </c>
      <c r="AB379" s="27">
        <f>ROUND(IF(AQ379="1",BH379,0),2)</f>
        <v>0</v>
      </c>
      <c r="AC379" s="27">
        <f>ROUND(IF(AQ379="1",BI379,0),2)</f>
        <v>0</v>
      </c>
      <c r="AD379" s="27">
        <f>ROUND(IF(AQ379="7",BH379,0),2)</f>
        <v>0</v>
      </c>
      <c r="AE379" s="27">
        <f>ROUND(IF(AQ379="7",BI379,0),2)</f>
        <v>0</v>
      </c>
      <c r="AF379" s="27">
        <f>ROUND(IF(AQ379="2",BH379,0),2)</f>
        <v>0</v>
      </c>
      <c r="AG379" s="27">
        <f>ROUND(IF(AQ379="2",BI379,0),2)</f>
        <v>0</v>
      </c>
      <c r="AH379" s="27">
        <f>ROUND(IF(AQ379="0",BJ379,0),2)</f>
        <v>0</v>
      </c>
      <c r="AI379" s="12" t="s">
        <v>52</v>
      </c>
      <c r="AJ379" s="27">
        <f>IF(AN379=0,K379,0)</f>
        <v>0</v>
      </c>
      <c r="AK379" s="27">
        <f>IF(AN379=12,K379,0)</f>
        <v>0</v>
      </c>
      <c r="AL379" s="27">
        <f>IF(AN379=21,K379,0)</f>
        <v>0</v>
      </c>
      <c r="AN379" s="27">
        <v>12</v>
      </c>
      <c r="AO379" s="27">
        <f>G379*0</f>
        <v>0</v>
      </c>
      <c r="AP379" s="27">
        <f>G379*(1-0)</f>
        <v>0</v>
      </c>
      <c r="AQ379" s="30" t="s">
        <v>66</v>
      </c>
      <c r="AV379" s="27">
        <f>ROUND(AW379+AX379,2)</f>
        <v>0</v>
      </c>
      <c r="AW379" s="27">
        <f>ROUND(F379*AO379,2)</f>
        <v>0</v>
      </c>
      <c r="AX379" s="27">
        <f>ROUND(F379*AP379,2)</f>
        <v>0</v>
      </c>
      <c r="AY379" s="30" t="s">
        <v>570</v>
      </c>
      <c r="AZ379" s="30" t="s">
        <v>525</v>
      </c>
      <c r="BA379" s="12" t="s">
        <v>62</v>
      </c>
      <c r="BC379" s="27">
        <f>AW379+AX379</f>
        <v>0</v>
      </c>
      <c r="BD379" s="27">
        <f>G379/(100-BE379)*100</f>
        <v>0</v>
      </c>
      <c r="BE379" s="27">
        <v>0</v>
      </c>
      <c r="BF379" s="27">
        <f>379</f>
        <v>379</v>
      </c>
      <c r="BH379" s="27">
        <f>F379*AO379</f>
        <v>0</v>
      </c>
      <c r="BI379" s="27">
        <f>F379*AP379</f>
        <v>0</v>
      </c>
      <c r="BJ379" s="27">
        <f>F379*G379</f>
        <v>0</v>
      </c>
      <c r="BK379" s="30" t="s">
        <v>63</v>
      </c>
      <c r="BL379" s="27"/>
      <c r="BW379" s="27">
        <f>H379</f>
        <v>12</v>
      </c>
      <c r="BX379" s="5" t="s">
        <v>663</v>
      </c>
    </row>
    <row r="380" spans="1:76" x14ac:dyDescent="0.25">
      <c r="A380" s="31"/>
      <c r="C380" s="32" t="s">
        <v>55</v>
      </c>
      <c r="D380" s="32" t="s">
        <v>52</v>
      </c>
      <c r="F380" s="33">
        <v>1</v>
      </c>
      <c r="L380" s="34"/>
    </row>
    <row r="381" spans="1:76" ht="280.5" x14ac:dyDescent="0.25">
      <c r="A381" s="31"/>
      <c r="B381" s="35" t="s">
        <v>71</v>
      </c>
      <c r="C381" s="100" t="s">
        <v>664</v>
      </c>
      <c r="D381" s="101"/>
      <c r="E381" s="101"/>
      <c r="F381" s="101"/>
      <c r="G381" s="101"/>
      <c r="H381" s="101"/>
      <c r="I381" s="101"/>
      <c r="J381" s="101"/>
      <c r="K381" s="101"/>
      <c r="L381" s="102"/>
      <c r="BX381" s="36" t="s">
        <v>664</v>
      </c>
    </row>
    <row r="382" spans="1:76" x14ac:dyDescent="0.25">
      <c r="A382" s="2" t="s">
        <v>665</v>
      </c>
      <c r="B382" s="3" t="s">
        <v>666</v>
      </c>
      <c r="C382" s="84" t="s">
        <v>667</v>
      </c>
      <c r="D382" s="79"/>
      <c r="E382" s="3" t="s">
        <v>69</v>
      </c>
      <c r="F382" s="27">
        <v>2</v>
      </c>
      <c r="G382" s="27">
        <v>0</v>
      </c>
      <c r="H382" s="28">
        <v>12</v>
      </c>
      <c r="I382" s="27">
        <f>ROUND(F382*AO382,2)</f>
        <v>0</v>
      </c>
      <c r="J382" s="27">
        <f>ROUND(F382*AP382,2)</f>
        <v>0</v>
      </c>
      <c r="K382" s="27">
        <f>ROUND(F382*G382,2)</f>
        <v>0</v>
      </c>
      <c r="L382" s="29" t="s">
        <v>59</v>
      </c>
      <c r="Z382" s="27">
        <f>ROUND(IF(AQ382="5",BJ382,0),2)</f>
        <v>0</v>
      </c>
      <c r="AB382" s="27">
        <f>ROUND(IF(AQ382="1",BH382,0),2)</f>
        <v>0</v>
      </c>
      <c r="AC382" s="27">
        <f>ROUND(IF(AQ382="1",BI382,0),2)</f>
        <v>0</v>
      </c>
      <c r="AD382" s="27">
        <f>ROUND(IF(AQ382="7",BH382,0),2)</f>
        <v>0</v>
      </c>
      <c r="AE382" s="27">
        <f>ROUND(IF(AQ382="7",BI382,0),2)</f>
        <v>0</v>
      </c>
      <c r="AF382" s="27">
        <f>ROUND(IF(AQ382="2",BH382,0),2)</f>
        <v>0</v>
      </c>
      <c r="AG382" s="27">
        <f>ROUND(IF(AQ382="2",BI382,0),2)</f>
        <v>0</v>
      </c>
      <c r="AH382" s="27">
        <f>ROUND(IF(AQ382="0",BJ382,0),2)</f>
        <v>0</v>
      </c>
      <c r="AI382" s="12" t="s">
        <v>52</v>
      </c>
      <c r="AJ382" s="27">
        <f>IF(AN382=0,K382,0)</f>
        <v>0</v>
      </c>
      <c r="AK382" s="27">
        <f>IF(AN382=12,K382,0)</f>
        <v>0</v>
      </c>
      <c r="AL382" s="27">
        <f>IF(AN382=21,K382,0)</f>
        <v>0</v>
      </c>
      <c r="AN382" s="27">
        <v>12</v>
      </c>
      <c r="AO382" s="27">
        <f>G382*0</f>
        <v>0</v>
      </c>
      <c r="AP382" s="27">
        <f>G382*(1-0)</f>
        <v>0</v>
      </c>
      <c r="AQ382" s="30" t="s">
        <v>66</v>
      </c>
      <c r="AV382" s="27">
        <f>ROUND(AW382+AX382,2)</f>
        <v>0</v>
      </c>
      <c r="AW382" s="27">
        <f>ROUND(F382*AO382,2)</f>
        <v>0</v>
      </c>
      <c r="AX382" s="27">
        <f>ROUND(F382*AP382,2)</f>
        <v>0</v>
      </c>
      <c r="AY382" s="30" t="s">
        <v>570</v>
      </c>
      <c r="AZ382" s="30" t="s">
        <v>525</v>
      </c>
      <c r="BA382" s="12" t="s">
        <v>62</v>
      </c>
      <c r="BC382" s="27">
        <f>AW382+AX382</f>
        <v>0</v>
      </c>
      <c r="BD382" s="27">
        <f>G382/(100-BE382)*100</f>
        <v>0</v>
      </c>
      <c r="BE382" s="27">
        <v>0</v>
      </c>
      <c r="BF382" s="27">
        <f>382</f>
        <v>382</v>
      </c>
      <c r="BH382" s="27">
        <f>F382*AO382</f>
        <v>0</v>
      </c>
      <c r="BI382" s="27">
        <f>F382*AP382</f>
        <v>0</v>
      </c>
      <c r="BJ382" s="27">
        <f>F382*G382</f>
        <v>0</v>
      </c>
      <c r="BK382" s="30" t="s">
        <v>63</v>
      </c>
      <c r="BL382" s="27"/>
      <c r="BW382" s="27">
        <f>H382</f>
        <v>12</v>
      </c>
      <c r="BX382" s="5" t="s">
        <v>667</v>
      </c>
    </row>
    <row r="383" spans="1:76" x14ac:dyDescent="0.25">
      <c r="A383" s="31"/>
      <c r="C383" s="32" t="s">
        <v>66</v>
      </c>
      <c r="D383" s="32" t="s">
        <v>52</v>
      </c>
      <c r="F383" s="33">
        <v>2</v>
      </c>
      <c r="L383" s="34"/>
    </row>
    <row r="384" spans="1:76" x14ac:dyDescent="0.25">
      <c r="A384" s="2" t="s">
        <v>668</v>
      </c>
      <c r="B384" s="3" t="s">
        <v>666</v>
      </c>
      <c r="C384" s="84" t="s">
        <v>669</v>
      </c>
      <c r="D384" s="79"/>
      <c r="E384" s="3" t="s">
        <v>69</v>
      </c>
      <c r="F384" s="27">
        <v>2</v>
      </c>
      <c r="G384" s="27">
        <v>0</v>
      </c>
      <c r="H384" s="28">
        <v>12</v>
      </c>
      <c r="I384" s="27">
        <f>ROUND(F384*AO384,2)</f>
        <v>0</v>
      </c>
      <c r="J384" s="27">
        <f>ROUND(F384*AP384,2)</f>
        <v>0</v>
      </c>
      <c r="K384" s="27">
        <f>ROUND(F384*G384,2)</f>
        <v>0</v>
      </c>
      <c r="L384" s="29" t="s">
        <v>59</v>
      </c>
      <c r="Z384" s="27">
        <f>ROUND(IF(AQ384="5",BJ384,0),2)</f>
        <v>0</v>
      </c>
      <c r="AB384" s="27">
        <f>ROUND(IF(AQ384="1",BH384,0),2)</f>
        <v>0</v>
      </c>
      <c r="AC384" s="27">
        <f>ROUND(IF(AQ384="1",BI384,0),2)</f>
        <v>0</v>
      </c>
      <c r="AD384" s="27">
        <f>ROUND(IF(AQ384="7",BH384,0),2)</f>
        <v>0</v>
      </c>
      <c r="AE384" s="27">
        <f>ROUND(IF(AQ384="7",BI384,0),2)</f>
        <v>0</v>
      </c>
      <c r="AF384" s="27">
        <f>ROUND(IF(AQ384="2",BH384,0),2)</f>
        <v>0</v>
      </c>
      <c r="AG384" s="27">
        <f>ROUND(IF(AQ384="2",BI384,0),2)</f>
        <v>0</v>
      </c>
      <c r="AH384" s="27">
        <f>ROUND(IF(AQ384="0",BJ384,0),2)</f>
        <v>0</v>
      </c>
      <c r="AI384" s="12" t="s">
        <v>52</v>
      </c>
      <c r="AJ384" s="27">
        <f>IF(AN384=0,K384,0)</f>
        <v>0</v>
      </c>
      <c r="AK384" s="27">
        <f>IF(AN384=12,K384,0)</f>
        <v>0</v>
      </c>
      <c r="AL384" s="27">
        <f>IF(AN384=21,K384,0)</f>
        <v>0</v>
      </c>
      <c r="AN384" s="27">
        <v>12</v>
      </c>
      <c r="AO384" s="27">
        <f>G384*0</f>
        <v>0</v>
      </c>
      <c r="AP384" s="27">
        <f>G384*(1-0)</f>
        <v>0</v>
      </c>
      <c r="AQ384" s="30" t="s">
        <v>66</v>
      </c>
      <c r="AV384" s="27">
        <f>ROUND(AW384+AX384,2)</f>
        <v>0</v>
      </c>
      <c r="AW384" s="27">
        <f>ROUND(F384*AO384,2)</f>
        <v>0</v>
      </c>
      <c r="AX384" s="27">
        <f>ROUND(F384*AP384,2)</f>
        <v>0</v>
      </c>
      <c r="AY384" s="30" t="s">
        <v>570</v>
      </c>
      <c r="AZ384" s="30" t="s">
        <v>525</v>
      </c>
      <c r="BA384" s="12" t="s">
        <v>62</v>
      </c>
      <c r="BC384" s="27">
        <f>AW384+AX384</f>
        <v>0</v>
      </c>
      <c r="BD384" s="27">
        <f>G384/(100-BE384)*100</f>
        <v>0</v>
      </c>
      <c r="BE384" s="27">
        <v>0</v>
      </c>
      <c r="BF384" s="27">
        <f>384</f>
        <v>384</v>
      </c>
      <c r="BH384" s="27">
        <f>F384*AO384</f>
        <v>0</v>
      </c>
      <c r="BI384" s="27">
        <f>F384*AP384</f>
        <v>0</v>
      </c>
      <c r="BJ384" s="27">
        <f>F384*G384</f>
        <v>0</v>
      </c>
      <c r="BK384" s="30" t="s">
        <v>63</v>
      </c>
      <c r="BL384" s="27"/>
      <c r="BW384" s="27">
        <f>H384</f>
        <v>12</v>
      </c>
      <c r="BX384" s="5" t="s">
        <v>669</v>
      </c>
    </row>
    <row r="385" spans="1:76" x14ac:dyDescent="0.25">
      <c r="A385" s="31"/>
      <c r="C385" s="32" t="s">
        <v>66</v>
      </c>
      <c r="D385" s="32" t="s">
        <v>52</v>
      </c>
      <c r="F385" s="33">
        <v>2</v>
      </c>
      <c r="L385" s="34"/>
    </row>
    <row r="386" spans="1:76" x14ac:dyDescent="0.25">
      <c r="A386" s="2" t="s">
        <v>670</v>
      </c>
      <c r="B386" s="3" t="s">
        <v>671</v>
      </c>
      <c r="C386" s="84" t="s">
        <v>672</v>
      </c>
      <c r="D386" s="79"/>
      <c r="E386" s="3" t="s">
        <v>69</v>
      </c>
      <c r="F386" s="27">
        <v>1</v>
      </c>
      <c r="G386" s="27">
        <v>0</v>
      </c>
      <c r="H386" s="28">
        <v>12</v>
      </c>
      <c r="I386" s="27">
        <f>ROUND(F386*AO386,2)</f>
        <v>0</v>
      </c>
      <c r="J386" s="27">
        <f>ROUND(F386*AP386,2)</f>
        <v>0</v>
      </c>
      <c r="K386" s="27">
        <f>ROUND(F386*G386,2)</f>
        <v>0</v>
      </c>
      <c r="L386" s="29" t="s">
        <v>59</v>
      </c>
      <c r="Z386" s="27">
        <f>ROUND(IF(AQ386="5",BJ386,0),2)</f>
        <v>0</v>
      </c>
      <c r="AB386" s="27">
        <f>ROUND(IF(AQ386="1",BH386,0),2)</f>
        <v>0</v>
      </c>
      <c r="AC386" s="27">
        <f>ROUND(IF(AQ386="1",BI386,0),2)</f>
        <v>0</v>
      </c>
      <c r="AD386" s="27">
        <f>ROUND(IF(AQ386="7",BH386,0),2)</f>
        <v>0</v>
      </c>
      <c r="AE386" s="27">
        <f>ROUND(IF(AQ386="7",BI386,0),2)</f>
        <v>0</v>
      </c>
      <c r="AF386" s="27">
        <f>ROUND(IF(AQ386="2",BH386,0),2)</f>
        <v>0</v>
      </c>
      <c r="AG386" s="27">
        <f>ROUND(IF(AQ386="2",BI386,0),2)</f>
        <v>0</v>
      </c>
      <c r="AH386" s="27">
        <f>ROUND(IF(AQ386="0",BJ386,0),2)</f>
        <v>0</v>
      </c>
      <c r="AI386" s="12" t="s">
        <v>52</v>
      </c>
      <c r="AJ386" s="27">
        <f>IF(AN386=0,K386,0)</f>
        <v>0</v>
      </c>
      <c r="AK386" s="27">
        <f>IF(AN386=12,K386,0)</f>
        <v>0</v>
      </c>
      <c r="AL386" s="27">
        <f>IF(AN386=21,K386,0)</f>
        <v>0</v>
      </c>
      <c r="AN386" s="27">
        <v>12</v>
      </c>
      <c r="AO386" s="27">
        <f>G386*0</f>
        <v>0</v>
      </c>
      <c r="AP386" s="27">
        <f>G386*(1-0)</f>
        <v>0</v>
      </c>
      <c r="AQ386" s="30" t="s">
        <v>66</v>
      </c>
      <c r="AV386" s="27">
        <f>ROUND(AW386+AX386,2)</f>
        <v>0</v>
      </c>
      <c r="AW386" s="27">
        <f>ROUND(F386*AO386,2)</f>
        <v>0</v>
      </c>
      <c r="AX386" s="27">
        <f>ROUND(F386*AP386,2)</f>
        <v>0</v>
      </c>
      <c r="AY386" s="30" t="s">
        <v>570</v>
      </c>
      <c r="AZ386" s="30" t="s">
        <v>525</v>
      </c>
      <c r="BA386" s="12" t="s">
        <v>62</v>
      </c>
      <c r="BC386" s="27">
        <f>AW386+AX386</f>
        <v>0</v>
      </c>
      <c r="BD386" s="27">
        <f>G386/(100-BE386)*100</f>
        <v>0</v>
      </c>
      <c r="BE386" s="27">
        <v>0</v>
      </c>
      <c r="BF386" s="27">
        <f>386</f>
        <v>386</v>
      </c>
      <c r="BH386" s="27">
        <f>F386*AO386</f>
        <v>0</v>
      </c>
      <c r="BI386" s="27">
        <f>F386*AP386</f>
        <v>0</v>
      </c>
      <c r="BJ386" s="27">
        <f>F386*G386</f>
        <v>0</v>
      </c>
      <c r="BK386" s="30" t="s">
        <v>63</v>
      </c>
      <c r="BL386" s="27"/>
      <c r="BW386" s="27">
        <f>H386</f>
        <v>12</v>
      </c>
      <c r="BX386" s="5" t="s">
        <v>672</v>
      </c>
    </row>
    <row r="387" spans="1:76" x14ac:dyDescent="0.25">
      <c r="A387" s="31"/>
      <c r="C387" s="32" t="s">
        <v>55</v>
      </c>
      <c r="D387" s="32" t="s">
        <v>52</v>
      </c>
      <c r="F387" s="33">
        <v>1</v>
      </c>
      <c r="L387" s="34"/>
    </row>
    <row r="388" spans="1:76" x14ac:dyDescent="0.25">
      <c r="A388" s="2" t="s">
        <v>673</v>
      </c>
      <c r="B388" s="3" t="s">
        <v>674</v>
      </c>
      <c r="C388" s="84" t="s">
        <v>675</v>
      </c>
      <c r="D388" s="79"/>
      <c r="E388" s="3" t="s">
        <v>69</v>
      </c>
      <c r="F388" s="27">
        <v>7</v>
      </c>
      <c r="G388" s="27">
        <v>0</v>
      </c>
      <c r="H388" s="28">
        <v>12</v>
      </c>
      <c r="I388" s="27">
        <f>ROUND(F388*AO388,2)</f>
        <v>0</v>
      </c>
      <c r="J388" s="27">
        <f>ROUND(F388*AP388,2)</f>
        <v>0</v>
      </c>
      <c r="K388" s="27">
        <f>ROUND(F388*G388,2)</f>
        <v>0</v>
      </c>
      <c r="L388" s="29" t="s">
        <v>59</v>
      </c>
      <c r="Z388" s="27">
        <f>ROUND(IF(AQ388="5",BJ388,0),2)</f>
        <v>0</v>
      </c>
      <c r="AB388" s="27">
        <f>ROUND(IF(AQ388="1",BH388,0),2)</f>
        <v>0</v>
      </c>
      <c r="AC388" s="27">
        <f>ROUND(IF(AQ388="1",BI388,0),2)</f>
        <v>0</v>
      </c>
      <c r="AD388" s="27">
        <f>ROUND(IF(AQ388="7",BH388,0),2)</f>
        <v>0</v>
      </c>
      <c r="AE388" s="27">
        <f>ROUND(IF(AQ388="7",BI388,0),2)</f>
        <v>0</v>
      </c>
      <c r="AF388" s="27">
        <f>ROUND(IF(AQ388="2",BH388,0),2)</f>
        <v>0</v>
      </c>
      <c r="AG388" s="27">
        <f>ROUND(IF(AQ388="2",BI388,0),2)</f>
        <v>0</v>
      </c>
      <c r="AH388" s="27">
        <f>ROUND(IF(AQ388="0",BJ388,0),2)</f>
        <v>0</v>
      </c>
      <c r="AI388" s="12" t="s">
        <v>52</v>
      </c>
      <c r="AJ388" s="27">
        <f>IF(AN388=0,K388,0)</f>
        <v>0</v>
      </c>
      <c r="AK388" s="27">
        <f>IF(AN388=12,K388,0)</f>
        <v>0</v>
      </c>
      <c r="AL388" s="27">
        <f>IF(AN388=21,K388,0)</f>
        <v>0</v>
      </c>
      <c r="AN388" s="27">
        <v>12</v>
      </c>
      <c r="AO388" s="27">
        <f>G388*0</f>
        <v>0</v>
      </c>
      <c r="AP388" s="27">
        <f>G388*(1-0)</f>
        <v>0</v>
      </c>
      <c r="AQ388" s="30" t="s">
        <v>66</v>
      </c>
      <c r="AV388" s="27">
        <f>ROUND(AW388+AX388,2)</f>
        <v>0</v>
      </c>
      <c r="AW388" s="27">
        <f>ROUND(F388*AO388,2)</f>
        <v>0</v>
      </c>
      <c r="AX388" s="27">
        <f>ROUND(F388*AP388,2)</f>
        <v>0</v>
      </c>
      <c r="AY388" s="30" t="s">
        <v>570</v>
      </c>
      <c r="AZ388" s="30" t="s">
        <v>525</v>
      </c>
      <c r="BA388" s="12" t="s">
        <v>62</v>
      </c>
      <c r="BC388" s="27">
        <f>AW388+AX388</f>
        <v>0</v>
      </c>
      <c r="BD388" s="27">
        <f>G388/(100-BE388)*100</f>
        <v>0</v>
      </c>
      <c r="BE388" s="27">
        <v>0</v>
      </c>
      <c r="BF388" s="27">
        <f>388</f>
        <v>388</v>
      </c>
      <c r="BH388" s="27">
        <f>F388*AO388</f>
        <v>0</v>
      </c>
      <c r="BI388" s="27">
        <f>F388*AP388</f>
        <v>0</v>
      </c>
      <c r="BJ388" s="27">
        <f>F388*G388</f>
        <v>0</v>
      </c>
      <c r="BK388" s="30" t="s">
        <v>63</v>
      </c>
      <c r="BL388" s="27"/>
      <c r="BW388" s="27">
        <f>H388</f>
        <v>12</v>
      </c>
      <c r="BX388" s="5" t="s">
        <v>675</v>
      </c>
    </row>
    <row r="389" spans="1:76" x14ac:dyDescent="0.25">
      <c r="A389" s="31"/>
      <c r="C389" s="32" t="s">
        <v>104</v>
      </c>
      <c r="D389" s="32" t="s">
        <v>52</v>
      </c>
      <c r="F389" s="33">
        <v>7</v>
      </c>
      <c r="L389" s="34"/>
    </row>
    <row r="390" spans="1:76" x14ac:dyDescent="0.25">
      <c r="A390" s="37" t="s">
        <v>52</v>
      </c>
      <c r="B390" s="38" t="s">
        <v>676</v>
      </c>
      <c r="C390" s="103" t="s">
        <v>677</v>
      </c>
      <c r="D390" s="104"/>
      <c r="E390" s="39" t="s">
        <v>4</v>
      </c>
      <c r="F390" s="39" t="s">
        <v>4</v>
      </c>
      <c r="G390" s="39" t="s">
        <v>4</v>
      </c>
      <c r="H390" s="39" t="s">
        <v>4</v>
      </c>
      <c r="I390" s="1">
        <f>SUM(I391:I402)</f>
        <v>0</v>
      </c>
      <c r="J390" s="1">
        <f>SUM(J391:J402)</f>
        <v>0</v>
      </c>
      <c r="K390" s="1">
        <f>SUM(K391:K402)</f>
        <v>0</v>
      </c>
      <c r="L390" s="40" t="s">
        <v>52</v>
      </c>
      <c r="AI390" s="12" t="s">
        <v>52</v>
      </c>
      <c r="AS390" s="1">
        <f>SUM(AJ391:AJ402)</f>
        <v>0</v>
      </c>
      <c r="AT390" s="1">
        <f>SUM(AK391:AK402)</f>
        <v>0</v>
      </c>
      <c r="AU390" s="1">
        <f>SUM(AL391:AL402)</f>
        <v>0</v>
      </c>
    </row>
    <row r="391" spans="1:76" x14ac:dyDescent="0.25">
      <c r="A391" s="2" t="s">
        <v>678</v>
      </c>
      <c r="B391" s="3" t="s">
        <v>679</v>
      </c>
      <c r="C391" s="84" t="s">
        <v>680</v>
      </c>
      <c r="D391" s="79"/>
      <c r="E391" s="3" t="s">
        <v>182</v>
      </c>
      <c r="F391" s="27">
        <v>6.157</v>
      </c>
      <c r="G391" s="27">
        <v>0</v>
      </c>
      <c r="H391" s="28">
        <v>12</v>
      </c>
      <c r="I391" s="27">
        <f>ROUND(F391*AO391,2)</f>
        <v>0</v>
      </c>
      <c r="J391" s="27">
        <f>ROUND(F391*AP391,2)</f>
        <v>0</v>
      </c>
      <c r="K391" s="27">
        <f>ROUND(F391*G391,2)</f>
        <v>0</v>
      </c>
      <c r="L391" s="29" t="s">
        <v>59</v>
      </c>
      <c r="Z391" s="27">
        <f>ROUND(IF(AQ391="5",BJ391,0),2)</f>
        <v>0</v>
      </c>
      <c r="AB391" s="27">
        <f>ROUND(IF(AQ391="1",BH391,0),2)</f>
        <v>0</v>
      </c>
      <c r="AC391" s="27">
        <f>ROUND(IF(AQ391="1",BI391,0),2)</f>
        <v>0</v>
      </c>
      <c r="AD391" s="27">
        <f>ROUND(IF(AQ391="7",BH391,0),2)</f>
        <v>0</v>
      </c>
      <c r="AE391" s="27">
        <f>ROUND(IF(AQ391="7",BI391,0),2)</f>
        <v>0</v>
      </c>
      <c r="AF391" s="27">
        <f>ROUND(IF(AQ391="2",BH391,0),2)</f>
        <v>0</v>
      </c>
      <c r="AG391" s="27">
        <f>ROUND(IF(AQ391="2",BI391,0),2)</f>
        <v>0</v>
      </c>
      <c r="AH391" s="27">
        <f>ROUND(IF(AQ391="0",BJ391,0),2)</f>
        <v>0</v>
      </c>
      <c r="AI391" s="12" t="s">
        <v>52</v>
      </c>
      <c r="AJ391" s="27">
        <f>IF(AN391=0,K391,0)</f>
        <v>0</v>
      </c>
      <c r="AK391" s="27">
        <f>IF(AN391=12,K391,0)</f>
        <v>0</v>
      </c>
      <c r="AL391" s="27">
        <f>IF(AN391=21,K391,0)</f>
        <v>0</v>
      </c>
      <c r="AN391" s="27">
        <v>12</v>
      </c>
      <c r="AO391" s="27">
        <f>G391*0</f>
        <v>0</v>
      </c>
      <c r="AP391" s="27">
        <f>G391*(1-0)</f>
        <v>0</v>
      </c>
      <c r="AQ391" s="30" t="s">
        <v>93</v>
      </c>
      <c r="AV391" s="27">
        <f>ROUND(AW391+AX391,2)</f>
        <v>0</v>
      </c>
      <c r="AW391" s="27">
        <f>ROUND(F391*AO391,2)</f>
        <v>0</v>
      </c>
      <c r="AX391" s="27">
        <f>ROUND(F391*AP391,2)</f>
        <v>0</v>
      </c>
      <c r="AY391" s="30" t="s">
        <v>681</v>
      </c>
      <c r="AZ391" s="30" t="s">
        <v>525</v>
      </c>
      <c r="BA391" s="12" t="s">
        <v>62</v>
      </c>
      <c r="BC391" s="27">
        <f>AW391+AX391</f>
        <v>0</v>
      </c>
      <c r="BD391" s="27">
        <f>G391/(100-BE391)*100</f>
        <v>0</v>
      </c>
      <c r="BE391" s="27">
        <v>0</v>
      </c>
      <c r="BF391" s="27">
        <f>391</f>
        <v>391</v>
      </c>
      <c r="BH391" s="27">
        <f>F391*AO391</f>
        <v>0</v>
      </c>
      <c r="BI391" s="27">
        <f>F391*AP391</f>
        <v>0</v>
      </c>
      <c r="BJ391" s="27">
        <f>F391*G391</f>
        <v>0</v>
      </c>
      <c r="BK391" s="30" t="s">
        <v>63</v>
      </c>
      <c r="BL391" s="27"/>
      <c r="BW391" s="27">
        <f>H391</f>
        <v>12</v>
      </c>
      <c r="BX391" s="5" t="s">
        <v>680</v>
      </c>
    </row>
    <row r="392" spans="1:76" x14ac:dyDescent="0.25">
      <c r="A392" s="31"/>
      <c r="C392" s="32" t="s">
        <v>682</v>
      </c>
      <c r="D392" s="32" t="s">
        <v>52</v>
      </c>
      <c r="F392" s="33">
        <v>6.157</v>
      </c>
      <c r="L392" s="34"/>
    </row>
    <row r="393" spans="1:76" x14ac:dyDescent="0.25">
      <c r="A393" s="31"/>
      <c r="B393" s="35" t="s">
        <v>71</v>
      </c>
      <c r="C393" s="100" t="s">
        <v>683</v>
      </c>
      <c r="D393" s="101"/>
      <c r="E393" s="101"/>
      <c r="F393" s="101"/>
      <c r="G393" s="101"/>
      <c r="H393" s="101"/>
      <c r="I393" s="101"/>
      <c r="J393" s="101"/>
      <c r="K393" s="101"/>
      <c r="L393" s="102"/>
      <c r="BX393" s="36" t="s">
        <v>683</v>
      </c>
    </row>
    <row r="394" spans="1:76" x14ac:dyDescent="0.25">
      <c r="A394" s="2" t="s">
        <v>684</v>
      </c>
      <c r="B394" s="3" t="s">
        <v>685</v>
      </c>
      <c r="C394" s="84" t="s">
        <v>686</v>
      </c>
      <c r="D394" s="79"/>
      <c r="E394" s="3" t="s">
        <v>182</v>
      </c>
      <c r="F394" s="27">
        <v>6.157</v>
      </c>
      <c r="G394" s="27">
        <v>0</v>
      </c>
      <c r="H394" s="28">
        <v>12</v>
      </c>
      <c r="I394" s="27">
        <f>ROUND(F394*AO394,2)</f>
        <v>0</v>
      </c>
      <c r="J394" s="27">
        <f>ROUND(F394*AP394,2)</f>
        <v>0</v>
      </c>
      <c r="K394" s="27">
        <f>ROUND(F394*G394,2)</f>
        <v>0</v>
      </c>
      <c r="L394" s="29" t="s">
        <v>59</v>
      </c>
      <c r="Z394" s="27">
        <f>ROUND(IF(AQ394="5",BJ394,0),2)</f>
        <v>0</v>
      </c>
      <c r="AB394" s="27">
        <f>ROUND(IF(AQ394="1",BH394,0),2)</f>
        <v>0</v>
      </c>
      <c r="AC394" s="27">
        <f>ROUND(IF(AQ394="1",BI394,0),2)</f>
        <v>0</v>
      </c>
      <c r="AD394" s="27">
        <f>ROUND(IF(AQ394="7",BH394,0),2)</f>
        <v>0</v>
      </c>
      <c r="AE394" s="27">
        <f>ROUND(IF(AQ394="7",BI394,0),2)</f>
        <v>0</v>
      </c>
      <c r="AF394" s="27">
        <f>ROUND(IF(AQ394="2",BH394,0),2)</f>
        <v>0</v>
      </c>
      <c r="AG394" s="27">
        <f>ROUND(IF(AQ394="2",BI394,0),2)</f>
        <v>0</v>
      </c>
      <c r="AH394" s="27">
        <f>ROUND(IF(AQ394="0",BJ394,0),2)</f>
        <v>0</v>
      </c>
      <c r="AI394" s="12" t="s">
        <v>52</v>
      </c>
      <c r="AJ394" s="27">
        <f>IF(AN394=0,K394,0)</f>
        <v>0</v>
      </c>
      <c r="AK394" s="27">
        <f>IF(AN394=12,K394,0)</f>
        <v>0</v>
      </c>
      <c r="AL394" s="27">
        <f>IF(AN394=21,K394,0)</f>
        <v>0</v>
      </c>
      <c r="AN394" s="27">
        <v>12</v>
      </c>
      <c r="AO394" s="27">
        <f>G394*0.010897119</f>
        <v>0</v>
      </c>
      <c r="AP394" s="27">
        <f>G394*(1-0.010897119)</f>
        <v>0</v>
      </c>
      <c r="AQ394" s="30" t="s">
        <v>93</v>
      </c>
      <c r="AV394" s="27">
        <f>ROUND(AW394+AX394,2)</f>
        <v>0</v>
      </c>
      <c r="AW394" s="27">
        <f>ROUND(F394*AO394,2)</f>
        <v>0</v>
      </c>
      <c r="AX394" s="27">
        <f>ROUND(F394*AP394,2)</f>
        <v>0</v>
      </c>
      <c r="AY394" s="30" t="s">
        <v>681</v>
      </c>
      <c r="AZ394" s="30" t="s">
        <v>525</v>
      </c>
      <c r="BA394" s="12" t="s">
        <v>62</v>
      </c>
      <c r="BC394" s="27">
        <f>AW394+AX394</f>
        <v>0</v>
      </c>
      <c r="BD394" s="27">
        <f>G394/(100-BE394)*100</f>
        <v>0</v>
      </c>
      <c r="BE394" s="27">
        <v>0</v>
      </c>
      <c r="BF394" s="27">
        <f>394</f>
        <v>394</v>
      </c>
      <c r="BH394" s="27">
        <f>F394*AO394</f>
        <v>0</v>
      </c>
      <c r="BI394" s="27">
        <f>F394*AP394</f>
        <v>0</v>
      </c>
      <c r="BJ394" s="27">
        <f>F394*G394</f>
        <v>0</v>
      </c>
      <c r="BK394" s="30" t="s">
        <v>63</v>
      </c>
      <c r="BL394" s="27"/>
      <c r="BW394" s="27">
        <f>H394</f>
        <v>12</v>
      </c>
      <c r="BX394" s="5" t="s">
        <v>686</v>
      </c>
    </row>
    <row r="395" spans="1:76" x14ac:dyDescent="0.25">
      <c r="A395" s="31"/>
      <c r="C395" s="32" t="s">
        <v>687</v>
      </c>
      <c r="D395" s="32" t="s">
        <v>52</v>
      </c>
      <c r="F395" s="33">
        <v>6.157</v>
      </c>
      <c r="L395" s="34"/>
    </row>
    <row r="396" spans="1:76" ht="38.25" x14ac:dyDescent="0.25">
      <c r="A396" s="31"/>
      <c r="B396" s="35" t="s">
        <v>71</v>
      </c>
      <c r="C396" s="100" t="s">
        <v>688</v>
      </c>
      <c r="D396" s="101"/>
      <c r="E396" s="101"/>
      <c r="F396" s="101"/>
      <c r="G396" s="101"/>
      <c r="H396" s="101"/>
      <c r="I396" s="101"/>
      <c r="J396" s="101"/>
      <c r="K396" s="101"/>
      <c r="L396" s="102"/>
      <c r="BX396" s="36" t="s">
        <v>688</v>
      </c>
    </row>
    <row r="397" spans="1:76" x14ac:dyDescent="0.25">
      <c r="A397" s="2" t="s">
        <v>689</v>
      </c>
      <c r="B397" s="3" t="s">
        <v>690</v>
      </c>
      <c r="C397" s="84" t="s">
        <v>691</v>
      </c>
      <c r="D397" s="79"/>
      <c r="E397" s="3" t="s">
        <v>182</v>
      </c>
      <c r="F397" s="27">
        <v>6.157</v>
      </c>
      <c r="G397" s="27">
        <v>0</v>
      </c>
      <c r="H397" s="28">
        <v>12</v>
      </c>
      <c r="I397" s="27">
        <f>ROUND(F397*AO397,2)</f>
        <v>0</v>
      </c>
      <c r="J397" s="27">
        <f>ROUND(F397*AP397,2)</f>
        <v>0</v>
      </c>
      <c r="K397" s="27">
        <f>ROUND(F397*G397,2)</f>
        <v>0</v>
      </c>
      <c r="L397" s="29" t="s">
        <v>59</v>
      </c>
      <c r="Z397" s="27">
        <f>ROUND(IF(AQ397="5",BJ397,0),2)</f>
        <v>0</v>
      </c>
      <c r="AB397" s="27">
        <f>ROUND(IF(AQ397="1",BH397,0),2)</f>
        <v>0</v>
      </c>
      <c r="AC397" s="27">
        <f>ROUND(IF(AQ397="1",BI397,0),2)</f>
        <v>0</v>
      </c>
      <c r="AD397" s="27">
        <f>ROUND(IF(AQ397="7",BH397,0),2)</f>
        <v>0</v>
      </c>
      <c r="AE397" s="27">
        <f>ROUND(IF(AQ397="7",BI397,0),2)</f>
        <v>0</v>
      </c>
      <c r="AF397" s="27">
        <f>ROUND(IF(AQ397="2",BH397,0),2)</f>
        <v>0</v>
      </c>
      <c r="AG397" s="27">
        <f>ROUND(IF(AQ397="2",BI397,0),2)</f>
        <v>0</v>
      </c>
      <c r="AH397" s="27">
        <f>ROUND(IF(AQ397="0",BJ397,0),2)</f>
        <v>0</v>
      </c>
      <c r="AI397" s="12" t="s">
        <v>52</v>
      </c>
      <c r="AJ397" s="27">
        <f>IF(AN397=0,K397,0)</f>
        <v>0</v>
      </c>
      <c r="AK397" s="27">
        <f>IF(AN397=12,K397,0)</f>
        <v>0</v>
      </c>
      <c r="AL397" s="27">
        <f>IF(AN397=21,K397,0)</f>
        <v>0</v>
      </c>
      <c r="AN397" s="27">
        <v>12</v>
      </c>
      <c r="AO397" s="27">
        <f>G397*0</f>
        <v>0</v>
      </c>
      <c r="AP397" s="27">
        <f>G397*(1-0)</f>
        <v>0</v>
      </c>
      <c r="AQ397" s="30" t="s">
        <v>93</v>
      </c>
      <c r="AV397" s="27">
        <f>ROUND(AW397+AX397,2)</f>
        <v>0</v>
      </c>
      <c r="AW397" s="27">
        <f>ROUND(F397*AO397,2)</f>
        <v>0</v>
      </c>
      <c r="AX397" s="27">
        <f>ROUND(F397*AP397,2)</f>
        <v>0</v>
      </c>
      <c r="AY397" s="30" t="s">
        <v>681</v>
      </c>
      <c r="AZ397" s="30" t="s">
        <v>525</v>
      </c>
      <c r="BA397" s="12" t="s">
        <v>62</v>
      </c>
      <c r="BC397" s="27">
        <f>AW397+AX397</f>
        <v>0</v>
      </c>
      <c r="BD397" s="27">
        <f>G397/(100-BE397)*100</f>
        <v>0</v>
      </c>
      <c r="BE397" s="27">
        <v>0</v>
      </c>
      <c r="BF397" s="27">
        <f>397</f>
        <v>397</v>
      </c>
      <c r="BH397" s="27">
        <f>F397*AO397</f>
        <v>0</v>
      </c>
      <c r="BI397" s="27">
        <f>F397*AP397</f>
        <v>0</v>
      </c>
      <c r="BJ397" s="27">
        <f>F397*G397</f>
        <v>0</v>
      </c>
      <c r="BK397" s="30" t="s">
        <v>63</v>
      </c>
      <c r="BL397" s="27"/>
      <c r="BW397" s="27">
        <f>H397</f>
        <v>12</v>
      </c>
      <c r="BX397" s="5" t="s">
        <v>691</v>
      </c>
    </row>
    <row r="398" spans="1:76" x14ac:dyDescent="0.25">
      <c r="A398" s="31"/>
      <c r="C398" s="32" t="s">
        <v>687</v>
      </c>
      <c r="D398" s="32" t="s">
        <v>52</v>
      </c>
      <c r="F398" s="33">
        <v>6.157</v>
      </c>
      <c r="L398" s="34"/>
    </row>
    <row r="399" spans="1:76" x14ac:dyDescent="0.25">
      <c r="A399" s="2" t="s">
        <v>692</v>
      </c>
      <c r="B399" s="3" t="s">
        <v>693</v>
      </c>
      <c r="C399" s="84" t="s">
        <v>694</v>
      </c>
      <c r="D399" s="79"/>
      <c r="E399" s="3" t="s">
        <v>182</v>
      </c>
      <c r="F399" s="27">
        <v>4.5410000000000004</v>
      </c>
      <c r="G399" s="27">
        <v>0</v>
      </c>
      <c r="H399" s="28">
        <v>12</v>
      </c>
      <c r="I399" s="27">
        <f>ROUND(F399*AO399,2)</f>
        <v>0</v>
      </c>
      <c r="J399" s="27">
        <f>ROUND(F399*AP399,2)</f>
        <v>0</v>
      </c>
      <c r="K399" s="27">
        <f>ROUND(F399*G399,2)</f>
        <v>0</v>
      </c>
      <c r="L399" s="29" t="s">
        <v>116</v>
      </c>
      <c r="Z399" s="27">
        <f>ROUND(IF(AQ399="5",BJ399,0),2)</f>
        <v>0</v>
      </c>
      <c r="AB399" s="27">
        <f>ROUND(IF(AQ399="1",BH399,0),2)</f>
        <v>0</v>
      </c>
      <c r="AC399" s="27">
        <f>ROUND(IF(AQ399="1",BI399,0),2)</f>
        <v>0</v>
      </c>
      <c r="AD399" s="27">
        <f>ROUND(IF(AQ399="7",BH399,0),2)</f>
        <v>0</v>
      </c>
      <c r="AE399" s="27">
        <f>ROUND(IF(AQ399="7",BI399,0),2)</f>
        <v>0</v>
      </c>
      <c r="AF399" s="27">
        <f>ROUND(IF(AQ399="2",BH399,0),2)</f>
        <v>0</v>
      </c>
      <c r="AG399" s="27">
        <f>ROUND(IF(AQ399="2",BI399,0),2)</f>
        <v>0</v>
      </c>
      <c r="AH399" s="27">
        <f>ROUND(IF(AQ399="0",BJ399,0),2)</f>
        <v>0</v>
      </c>
      <c r="AI399" s="12" t="s">
        <v>52</v>
      </c>
      <c r="AJ399" s="27">
        <f>IF(AN399=0,K399,0)</f>
        <v>0</v>
      </c>
      <c r="AK399" s="27">
        <f>IF(AN399=12,K399,0)</f>
        <v>0</v>
      </c>
      <c r="AL399" s="27">
        <f>IF(AN399=21,K399,0)</f>
        <v>0</v>
      </c>
      <c r="AN399" s="27">
        <v>12</v>
      </c>
      <c r="AO399" s="27">
        <f>G399*0</f>
        <v>0</v>
      </c>
      <c r="AP399" s="27">
        <f>G399*(1-0)</f>
        <v>0</v>
      </c>
      <c r="AQ399" s="30" t="s">
        <v>93</v>
      </c>
      <c r="AV399" s="27">
        <f>ROUND(AW399+AX399,2)</f>
        <v>0</v>
      </c>
      <c r="AW399" s="27">
        <f>ROUND(F399*AO399,2)</f>
        <v>0</v>
      </c>
      <c r="AX399" s="27">
        <f>ROUND(F399*AP399,2)</f>
        <v>0</v>
      </c>
      <c r="AY399" s="30" t="s">
        <v>681</v>
      </c>
      <c r="AZ399" s="30" t="s">
        <v>525</v>
      </c>
      <c r="BA399" s="12" t="s">
        <v>62</v>
      </c>
      <c r="BC399" s="27">
        <f>AW399+AX399</f>
        <v>0</v>
      </c>
      <c r="BD399" s="27">
        <f>G399/(100-BE399)*100</f>
        <v>0</v>
      </c>
      <c r="BE399" s="27">
        <v>0</v>
      </c>
      <c r="BF399" s="27">
        <f>399</f>
        <v>399</v>
      </c>
      <c r="BH399" s="27">
        <f>F399*AO399</f>
        <v>0</v>
      </c>
      <c r="BI399" s="27">
        <f>F399*AP399</f>
        <v>0</v>
      </c>
      <c r="BJ399" s="27">
        <f>F399*G399</f>
        <v>0</v>
      </c>
      <c r="BK399" s="30" t="s">
        <v>63</v>
      </c>
      <c r="BL399" s="27"/>
      <c r="BW399" s="27">
        <f>H399</f>
        <v>12</v>
      </c>
      <c r="BX399" s="5" t="s">
        <v>694</v>
      </c>
    </row>
    <row r="400" spans="1:76" x14ac:dyDescent="0.25">
      <c r="A400" s="31"/>
      <c r="C400" s="32" t="s">
        <v>695</v>
      </c>
      <c r="D400" s="32" t="s">
        <v>52</v>
      </c>
      <c r="F400" s="33">
        <v>4.5410000000000004</v>
      </c>
      <c r="L400" s="34"/>
    </row>
    <row r="401" spans="1:76" x14ac:dyDescent="0.25">
      <c r="A401" s="31"/>
      <c r="B401" s="35" t="s">
        <v>71</v>
      </c>
      <c r="C401" s="100" t="s">
        <v>696</v>
      </c>
      <c r="D401" s="101"/>
      <c r="E401" s="101"/>
      <c r="F401" s="101"/>
      <c r="G401" s="101"/>
      <c r="H401" s="101"/>
      <c r="I401" s="101"/>
      <c r="J401" s="101"/>
      <c r="K401" s="101"/>
      <c r="L401" s="102"/>
      <c r="BX401" s="36" t="s">
        <v>696</v>
      </c>
    </row>
    <row r="402" spans="1:76" x14ac:dyDescent="0.25">
      <c r="A402" s="2" t="s">
        <v>697</v>
      </c>
      <c r="B402" s="3" t="s">
        <v>698</v>
      </c>
      <c r="C402" s="84" t="s">
        <v>699</v>
      </c>
      <c r="D402" s="79"/>
      <c r="E402" s="3" t="s">
        <v>182</v>
      </c>
      <c r="F402" s="27">
        <v>1.6160000000000001</v>
      </c>
      <c r="G402" s="27">
        <v>0</v>
      </c>
      <c r="H402" s="28">
        <v>12</v>
      </c>
      <c r="I402" s="27">
        <f>ROUND(F402*AO402,2)</f>
        <v>0</v>
      </c>
      <c r="J402" s="27">
        <f>ROUND(F402*AP402,2)</f>
        <v>0</v>
      </c>
      <c r="K402" s="27">
        <f>ROUND(F402*G402,2)</f>
        <v>0</v>
      </c>
      <c r="L402" s="29" t="s">
        <v>59</v>
      </c>
      <c r="Z402" s="27">
        <f>ROUND(IF(AQ402="5",BJ402,0),2)</f>
        <v>0</v>
      </c>
      <c r="AB402" s="27">
        <f>ROUND(IF(AQ402="1",BH402,0),2)</f>
        <v>0</v>
      </c>
      <c r="AC402" s="27">
        <f>ROUND(IF(AQ402="1",BI402,0),2)</f>
        <v>0</v>
      </c>
      <c r="AD402" s="27">
        <f>ROUND(IF(AQ402="7",BH402,0),2)</f>
        <v>0</v>
      </c>
      <c r="AE402" s="27">
        <f>ROUND(IF(AQ402="7",BI402,0),2)</f>
        <v>0</v>
      </c>
      <c r="AF402" s="27">
        <f>ROUND(IF(AQ402="2",BH402,0),2)</f>
        <v>0</v>
      </c>
      <c r="AG402" s="27">
        <f>ROUND(IF(AQ402="2",BI402,0),2)</f>
        <v>0</v>
      </c>
      <c r="AH402" s="27">
        <f>ROUND(IF(AQ402="0",BJ402,0),2)</f>
        <v>0</v>
      </c>
      <c r="AI402" s="12" t="s">
        <v>52</v>
      </c>
      <c r="AJ402" s="27">
        <f>IF(AN402=0,K402,0)</f>
        <v>0</v>
      </c>
      <c r="AK402" s="27">
        <f>IF(AN402=12,K402,0)</f>
        <v>0</v>
      </c>
      <c r="AL402" s="27">
        <f>IF(AN402=21,K402,0)</f>
        <v>0</v>
      </c>
      <c r="AN402" s="27">
        <v>12</v>
      </c>
      <c r="AO402" s="27">
        <f>G402*0</f>
        <v>0</v>
      </c>
      <c r="AP402" s="27">
        <f>G402*(1-0)</f>
        <v>0</v>
      </c>
      <c r="AQ402" s="30" t="s">
        <v>93</v>
      </c>
      <c r="AV402" s="27">
        <f>ROUND(AW402+AX402,2)</f>
        <v>0</v>
      </c>
      <c r="AW402" s="27">
        <f>ROUND(F402*AO402,2)</f>
        <v>0</v>
      </c>
      <c r="AX402" s="27">
        <f>ROUND(F402*AP402,2)</f>
        <v>0</v>
      </c>
      <c r="AY402" s="30" t="s">
        <v>681</v>
      </c>
      <c r="AZ402" s="30" t="s">
        <v>525</v>
      </c>
      <c r="BA402" s="12" t="s">
        <v>62</v>
      </c>
      <c r="BC402" s="27">
        <f>AW402+AX402</f>
        <v>0</v>
      </c>
      <c r="BD402" s="27">
        <f>G402/(100-BE402)*100</f>
        <v>0</v>
      </c>
      <c r="BE402" s="27">
        <v>0</v>
      </c>
      <c r="BF402" s="27">
        <f>402</f>
        <v>402</v>
      </c>
      <c r="BH402" s="27">
        <f>F402*AO402</f>
        <v>0</v>
      </c>
      <c r="BI402" s="27">
        <f>F402*AP402</f>
        <v>0</v>
      </c>
      <c r="BJ402" s="27">
        <f>F402*G402</f>
        <v>0</v>
      </c>
      <c r="BK402" s="30" t="s">
        <v>63</v>
      </c>
      <c r="BL402" s="27"/>
      <c r="BW402" s="27">
        <f>H402</f>
        <v>12</v>
      </c>
      <c r="BX402" s="5" t="s">
        <v>699</v>
      </c>
    </row>
    <row r="403" spans="1:76" x14ac:dyDescent="0.25">
      <c r="A403" s="31"/>
      <c r="C403" s="32" t="s">
        <v>700</v>
      </c>
      <c r="D403" s="32" t="s">
        <v>52</v>
      </c>
      <c r="F403" s="33">
        <v>1.6160000000000001</v>
      </c>
      <c r="L403" s="34"/>
    </row>
    <row r="404" spans="1:76" x14ac:dyDescent="0.25">
      <c r="A404" s="37" t="s">
        <v>52</v>
      </c>
      <c r="B404" s="38" t="s">
        <v>701</v>
      </c>
      <c r="C404" s="103" t="s">
        <v>702</v>
      </c>
      <c r="D404" s="104"/>
      <c r="E404" s="39" t="s">
        <v>4</v>
      </c>
      <c r="F404" s="39" t="s">
        <v>4</v>
      </c>
      <c r="G404" s="39" t="s">
        <v>4</v>
      </c>
      <c r="H404" s="39" t="s">
        <v>4</v>
      </c>
      <c r="I404" s="1">
        <f>I405+I408+I411</f>
        <v>0</v>
      </c>
      <c r="J404" s="1">
        <f>J405+J408+J411</f>
        <v>0</v>
      </c>
      <c r="K404" s="1">
        <f>K405+K408+K411</f>
        <v>0</v>
      </c>
      <c r="L404" s="40" t="s">
        <v>52</v>
      </c>
      <c r="AI404" s="12" t="s">
        <v>52</v>
      </c>
    </row>
    <row r="405" spans="1:76" x14ac:dyDescent="0.25">
      <c r="A405" s="37" t="s">
        <v>52</v>
      </c>
      <c r="B405" s="38" t="s">
        <v>703</v>
      </c>
      <c r="C405" s="103" t="s">
        <v>704</v>
      </c>
      <c r="D405" s="104"/>
      <c r="E405" s="39" t="s">
        <v>4</v>
      </c>
      <c r="F405" s="39" t="s">
        <v>4</v>
      </c>
      <c r="G405" s="39" t="s">
        <v>4</v>
      </c>
      <c r="H405" s="39" t="s">
        <v>4</v>
      </c>
      <c r="I405" s="1">
        <f>SUM(I406:I406)</f>
        <v>0</v>
      </c>
      <c r="J405" s="1">
        <f>SUM(J406:J406)</f>
        <v>0</v>
      </c>
      <c r="K405" s="1">
        <f>SUM(K406:K406)</f>
        <v>0</v>
      </c>
      <c r="L405" s="40" t="s">
        <v>52</v>
      </c>
      <c r="AI405" s="12" t="s">
        <v>52</v>
      </c>
      <c r="AS405" s="1">
        <f>SUM(AJ406:AJ406)</f>
        <v>0</v>
      </c>
      <c r="AT405" s="1">
        <f>SUM(AK406:AK406)</f>
        <v>0</v>
      </c>
      <c r="AU405" s="1">
        <f>SUM(AL406:AL406)</f>
        <v>0</v>
      </c>
    </row>
    <row r="406" spans="1:76" x14ac:dyDescent="0.25">
      <c r="A406" s="2" t="s">
        <v>705</v>
      </c>
      <c r="B406" s="3" t="s">
        <v>706</v>
      </c>
      <c r="C406" s="84" t="s">
        <v>704</v>
      </c>
      <c r="D406" s="79"/>
      <c r="E406" s="3" t="s">
        <v>707</v>
      </c>
      <c r="F406" s="27">
        <v>2</v>
      </c>
      <c r="G406" s="27">
        <v>0</v>
      </c>
      <c r="H406" s="28">
        <v>12</v>
      </c>
      <c r="I406" s="27">
        <f>ROUND(F406*AO406,2)</f>
        <v>0</v>
      </c>
      <c r="J406" s="27">
        <f>ROUND(F406*AP406,2)</f>
        <v>0</v>
      </c>
      <c r="K406" s="27">
        <f>ROUND(F406*G406,2)</f>
        <v>0</v>
      </c>
      <c r="L406" s="29" t="s">
        <v>52</v>
      </c>
      <c r="Z406" s="27">
        <f>ROUND(IF(AQ406="5",BJ406,0),2)</f>
        <v>0</v>
      </c>
      <c r="AB406" s="27">
        <f>ROUND(IF(AQ406="1",BH406,0),2)</f>
        <v>0</v>
      </c>
      <c r="AC406" s="27">
        <f>ROUND(IF(AQ406="1",BI406,0),2)</f>
        <v>0</v>
      </c>
      <c r="AD406" s="27">
        <f>ROUND(IF(AQ406="7",BH406,0),2)</f>
        <v>0</v>
      </c>
      <c r="AE406" s="27">
        <f>ROUND(IF(AQ406="7",BI406,0),2)</f>
        <v>0</v>
      </c>
      <c r="AF406" s="27">
        <f>ROUND(IF(AQ406="2",BH406,0),2)</f>
        <v>0</v>
      </c>
      <c r="AG406" s="27">
        <f>ROUND(IF(AQ406="2",BI406,0),2)</f>
        <v>0</v>
      </c>
      <c r="AH406" s="27">
        <f>ROUND(IF(AQ406="0",BJ406,0),2)</f>
        <v>0</v>
      </c>
      <c r="AI406" s="12" t="s">
        <v>52</v>
      </c>
      <c r="AJ406" s="27">
        <f>IF(AN406=0,K406,0)</f>
        <v>0</v>
      </c>
      <c r="AK406" s="27">
        <f>IF(AN406=12,K406,0)</f>
        <v>0</v>
      </c>
      <c r="AL406" s="27">
        <f>IF(AN406=21,K406,0)</f>
        <v>0</v>
      </c>
      <c r="AN406" s="27">
        <v>12</v>
      </c>
      <c r="AO406" s="27">
        <f>G406*0</f>
        <v>0</v>
      </c>
      <c r="AP406" s="27">
        <f>G406*(1-0)</f>
        <v>0</v>
      </c>
      <c r="AQ406" s="30" t="s">
        <v>528</v>
      </c>
      <c r="AV406" s="27">
        <f>ROUND(AW406+AX406,2)</f>
        <v>0</v>
      </c>
      <c r="AW406" s="27">
        <f>ROUND(F406*AO406,2)</f>
        <v>0</v>
      </c>
      <c r="AX406" s="27">
        <f>ROUND(F406*AP406,2)</f>
        <v>0</v>
      </c>
      <c r="AY406" s="30" t="s">
        <v>708</v>
      </c>
      <c r="AZ406" s="30" t="s">
        <v>709</v>
      </c>
      <c r="BA406" s="12" t="s">
        <v>62</v>
      </c>
      <c r="BC406" s="27">
        <f>AW406+AX406</f>
        <v>0</v>
      </c>
      <c r="BD406" s="27">
        <f>G406/(100-BE406)*100</f>
        <v>0</v>
      </c>
      <c r="BE406" s="27">
        <v>0</v>
      </c>
      <c r="BF406" s="27">
        <f>406</f>
        <v>406</v>
      </c>
      <c r="BH406" s="27">
        <f>F406*AO406</f>
        <v>0</v>
      </c>
      <c r="BI406" s="27">
        <f>F406*AP406</f>
        <v>0</v>
      </c>
      <c r="BJ406" s="27">
        <f>F406*G406</f>
        <v>0</v>
      </c>
      <c r="BK406" s="30" t="s">
        <v>63</v>
      </c>
      <c r="BL406" s="27"/>
      <c r="BO406" s="27">
        <f>F406*G406</f>
        <v>0</v>
      </c>
      <c r="BW406" s="27">
        <f>H406</f>
        <v>12</v>
      </c>
      <c r="BX406" s="5" t="s">
        <v>704</v>
      </c>
    </row>
    <row r="407" spans="1:76" x14ac:dyDescent="0.25">
      <c r="A407" s="31"/>
      <c r="C407" s="32" t="s">
        <v>66</v>
      </c>
      <c r="D407" s="32" t="s">
        <v>710</v>
      </c>
      <c r="F407" s="33">
        <v>2</v>
      </c>
      <c r="L407" s="34"/>
    </row>
    <row r="408" spans="1:76" x14ac:dyDescent="0.25">
      <c r="A408" s="37" t="s">
        <v>52</v>
      </c>
      <c r="B408" s="38" t="s">
        <v>711</v>
      </c>
      <c r="C408" s="103" t="s">
        <v>712</v>
      </c>
      <c r="D408" s="104"/>
      <c r="E408" s="39" t="s">
        <v>4</v>
      </c>
      <c r="F408" s="39" t="s">
        <v>4</v>
      </c>
      <c r="G408" s="39" t="s">
        <v>4</v>
      </c>
      <c r="H408" s="39" t="s">
        <v>4</v>
      </c>
      <c r="I408" s="1">
        <f>SUM(I409:I409)</f>
        <v>0</v>
      </c>
      <c r="J408" s="1">
        <f>SUM(J409:J409)</f>
        <v>0</v>
      </c>
      <c r="K408" s="1">
        <f>SUM(K409:K409)</f>
        <v>0</v>
      </c>
      <c r="L408" s="40" t="s">
        <v>52</v>
      </c>
      <c r="AI408" s="12" t="s">
        <v>52</v>
      </c>
      <c r="AS408" s="1">
        <f>SUM(AJ409:AJ409)</f>
        <v>0</v>
      </c>
      <c r="AT408" s="1">
        <f>SUM(AK409:AK409)</f>
        <v>0</v>
      </c>
      <c r="AU408" s="1">
        <f>SUM(AL409:AL409)</f>
        <v>0</v>
      </c>
    </row>
    <row r="409" spans="1:76" x14ac:dyDescent="0.25">
      <c r="A409" s="2" t="s">
        <v>713</v>
      </c>
      <c r="B409" s="3" t="s">
        <v>714</v>
      </c>
      <c r="C409" s="84" t="s">
        <v>715</v>
      </c>
      <c r="D409" s="79"/>
      <c r="E409" s="3" t="s">
        <v>716</v>
      </c>
      <c r="F409" s="27">
        <v>1</v>
      </c>
      <c r="G409" s="27">
        <v>0</v>
      </c>
      <c r="H409" s="28">
        <v>12</v>
      </c>
      <c r="I409" s="27">
        <f>ROUND(F409*AO409,2)</f>
        <v>0</v>
      </c>
      <c r="J409" s="27">
        <f>ROUND(F409*AP409,2)</f>
        <v>0</v>
      </c>
      <c r="K409" s="27">
        <f>ROUND(F409*G409,2)</f>
        <v>0</v>
      </c>
      <c r="L409" s="29" t="s">
        <v>52</v>
      </c>
      <c r="Z409" s="27">
        <f>ROUND(IF(AQ409="5",BJ409,0),2)</f>
        <v>0</v>
      </c>
      <c r="AB409" s="27">
        <f>ROUND(IF(AQ409="1",BH409,0),2)</f>
        <v>0</v>
      </c>
      <c r="AC409" s="27">
        <f>ROUND(IF(AQ409="1",BI409,0),2)</f>
        <v>0</v>
      </c>
      <c r="AD409" s="27">
        <f>ROUND(IF(AQ409="7",BH409,0),2)</f>
        <v>0</v>
      </c>
      <c r="AE409" s="27">
        <f>ROUND(IF(AQ409="7",BI409,0),2)</f>
        <v>0</v>
      </c>
      <c r="AF409" s="27">
        <f>ROUND(IF(AQ409="2",BH409,0),2)</f>
        <v>0</v>
      </c>
      <c r="AG409" s="27">
        <f>ROUND(IF(AQ409="2",BI409,0),2)</f>
        <v>0</v>
      </c>
      <c r="AH409" s="27">
        <f>ROUND(IF(AQ409="0",BJ409,0),2)</f>
        <v>0</v>
      </c>
      <c r="AI409" s="12" t="s">
        <v>52</v>
      </c>
      <c r="AJ409" s="27">
        <f>IF(AN409=0,K409,0)</f>
        <v>0</v>
      </c>
      <c r="AK409" s="27">
        <f>IF(AN409=12,K409,0)</f>
        <v>0</v>
      </c>
      <c r="AL409" s="27">
        <f>IF(AN409=21,K409,0)</f>
        <v>0</v>
      </c>
      <c r="AN409" s="27">
        <v>12</v>
      </c>
      <c r="AO409" s="27">
        <f>G409*0</f>
        <v>0</v>
      </c>
      <c r="AP409" s="27">
        <f>G409*(1-0)</f>
        <v>0</v>
      </c>
      <c r="AQ409" s="30" t="s">
        <v>528</v>
      </c>
      <c r="AV409" s="27">
        <f>ROUND(AW409+AX409,2)</f>
        <v>0</v>
      </c>
      <c r="AW409" s="27">
        <f>ROUND(F409*AO409,2)</f>
        <v>0</v>
      </c>
      <c r="AX409" s="27">
        <f>ROUND(F409*AP409,2)</f>
        <v>0</v>
      </c>
      <c r="AY409" s="30" t="s">
        <v>717</v>
      </c>
      <c r="AZ409" s="30" t="s">
        <v>709</v>
      </c>
      <c r="BA409" s="12" t="s">
        <v>62</v>
      </c>
      <c r="BC409" s="27">
        <f>AW409+AX409</f>
        <v>0</v>
      </c>
      <c r="BD409" s="27">
        <f>G409/(100-BE409)*100</f>
        <v>0</v>
      </c>
      <c r="BE409" s="27">
        <v>0</v>
      </c>
      <c r="BF409" s="27">
        <f>409</f>
        <v>409</v>
      </c>
      <c r="BH409" s="27">
        <f>F409*AO409</f>
        <v>0</v>
      </c>
      <c r="BI409" s="27">
        <f>F409*AP409</f>
        <v>0</v>
      </c>
      <c r="BJ409" s="27">
        <f>F409*G409</f>
        <v>0</v>
      </c>
      <c r="BK409" s="30" t="s">
        <v>63</v>
      </c>
      <c r="BL409" s="27"/>
      <c r="BP409" s="27">
        <f>F409*G409</f>
        <v>0</v>
      </c>
      <c r="BW409" s="27">
        <f>H409</f>
        <v>12</v>
      </c>
      <c r="BX409" s="5" t="s">
        <v>715</v>
      </c>
    </row>
    <row r="410" spans="1:76" x14ac:dyDescent="0.25">
      <c r="A410" s="31"/>
      <c r="C410" s="32" t="s">
        <v>55</v>
      </c>
      <c r="D410" s="32" t="s">
        <v>52</v>
      </c>
      <c r="F410" s="33">
        <v>1</v>
      </c>
      <c r="L410" s="34"/>
    </row>
    <row r="411" spans="1:76" x14ac:dyDescent="0.25">
      <c r="A411" s="37" t="s">
        <v>52</v>
      </c>
      <c r="B411" s="38" t="s">
        <v>718</v>
      </c>
      <c r="C411" s="103" t="s">
        <v>719</v>
      </c>
      <c r="D411" s="104"/>
      <c r="E411" s="39" t="s">
        <v>4</v>
      </c>
      <c r="F411" s="39" t="s">
        <v>4</v>
      </c>
      <c r="G411" s="39" t="s">
        <v>4</v>
      </c>
      <c r="H411" s="39" t="s">
        <v>4</v>
      </c>
      <c r="I411" s="1">
        <f>SUM(I412:I412)</f>
        <v>0</v>
      </c>
      <c r="J411" s="1">
        <f>SUM(J412:J412)</f>
        <v>0</v>
      </c>
      <c r="K411" s="1">
        <f>SUM(K412:K412)</f>
        <v>0</v>
      </c>
      <c r="L411" s="40" t="s">
        <v>52</v>
      </c>
      <c r="AI411" s="12" t="s">
        <v>52</v>
      </c>
      <c r="AS411" s="1">
        <f>SUM(AJ412:AJ412)</f>
        <v>0</v>
      </c>
      <c r="AT411" s="1">
        <f>SUM(AK412:AK412)</f>
        <v>0</v>
      </c>
      <c r="AU411" s="1">
        <f>SUM(AL412:AL412)</f>
        <v>0</v>
      </c>
    </row>
    <row r="412" spans="1:76" x14ac:dyDescent="0.25">
      <c r="A412" s="2" t="s">
        <v>720</v>
      </c>
      <c r="B412" s="3" t="s">
        <v>721</v>
      </c>
      <c r="C412" s="84" t="s">
        <v>722</v>
      </c>
      <c r="D412" s="79"/>
      <c r="E412" s="3" t="s">
        <v>716</v>
      </c>
      <c r="F412" s="27">
        <v>1</v>
      </c>
      <c r="G412" s="27">
        <v>0</v>
      </c>
      <c r="H412" s="28">
        <v>12</v>
      </c>
      <c r="I412" s="27">
        <f>ROUND(F412*AO412,2)</f>
        <v>0</v>
      </c>
      <c r="J412" s="27">
        <f>ROUND(F412*AP412,2)</f>
        <v>0</v>
      </c>
      <c r="K412" s="27">
        <f>ROUND(F412*G412,2)</f>
        <v>0</v>
      </c>
      <c r="L412" s="29" t="s">
        <v>52</v>
      </c>
      <c r="Z412" s="27">
        <f>ROUND(IF(AQ412="5",BJ412,0),2)</f>
        <v>0</v>
      </c>
      <c r="AB412" s="27">
        <f>ROUND(IF(AQ412="1",BH412,0),2)</f>
        <v>0</v>
      </c>
      <c r="AC412" s="27">
        <f>ROUND(IF(AQ412="1",BI412,0),2)</f>
        <v>0</v>
      </c>
      <c r="AD412" s="27">
        <f>ROUND(IF(AQ412="7",BH412,0),2)</f>
        <v>0</v>
      </c>
      <c r="AE412" s="27">
        <f>ROUND(IF(AQ412="7",BI412,0),2)</f>
        <v>0</v>
      </c>
      <c r="AF412" s="27">
        <f>ROUND(IF(AQ412="2",BH412,0),2)</f>
        <v>0</v>
      </c>
      <c r="AG412" s="27">
        <f>ROUND(IF(AQ412="2",BI412,0),2)</f>
        <v>0</v>
      </c>
      <c r="AH412" s="27">
        <f>ROUND(IF(AQ412="0",BJ412,0),2)</f>
        <v>0</v>
      </c>
      <c r="AI412" s="12" t="s">
        <v>52</v>
      </c>
      <c r="AJ412" s="27">
        <f>IF(AN412=0,K412,0)</f>
        <v>0</v>
      </c>
      <c r="AK412" s="27">
        <f>IF(AN412=12,K412,0)</f>
        <v>0</v>
      </c>
      <c r="AL412" s="27">
        <f>IF(AN412=21,K412,0)</f>
        <v>0</v>
      </c>
      <c r="AN412" s="27">
        <v>12</v>
      </c>
      <c r="AO412" s="27">
        <f>G412*0</f>
        <v>0</v>
      </c>
      <c r="AP412" s="27">
        <f>G412*(1-0)</f>
        <v>0</v>
      </c>
      <c r="AQ412" s="30" t="s">
        <v>528</v>
      </c>
      <c r="AV412" s="27">
        <f>ROUND(AW412+AX412,2)</f>
        <v>0</v>
      </c>
      <c r="AW412" s="27">
        <f>ROUND(F412*AO412,2)</f>
        <v>0</v>
      </c>
      <c r="AX412" s="27">
        <f>ROUND(F412*AP412,2)</f>
        <v>0</v>
      </c>
      <c r="AY412" s="30" t="s">
        <v>723</v>
      </c>
      <c r="AZ412" s="30" t="s">
        <v>709</v>
      </c>
      <c r="BA412" s="12" t="s">
        <v>62</v>
      </c>
      <c r="BC412" s="27">
        <f>AW412+AX412</f>
        <v>0</v>
      </c>
      <c r="BD412" s="27">
        <f>G412/(100-BE412)*100</f>
        <v>0</v>
      </c>
      <c r="BE412" s="27">
        <v>0</v>
      </c>
      <c r="BF412" s="27">
        <f>412</f>
        <v>412</v>
      </c>
      <c r="BH412" s="27">
        <f>F412*AO412</f>
        <v>0</v>
      </c>
      <c r="BI412" s="27">
        <f>F412*AP412</f>
        <v>0</v>
      </c>
      <c r="BJ412" s="27">
        <f>F412*G412</f>
        <v>0</v>
      </c>
      <c r="BK412" s="30" t="s">
        <v>63</v>
      </c>
      <c r="BL412" s="27"/>
      <c r="BQ412" s="27">
        <f>F412*G412</f>
        <v>0</v>
      </c>
      <c r="BW412" s="27">
        <f>H412</f>
        <v>12</v>
      </c>
      <c r="BX412" s="5" t="s">
        <v>722</v>
      </c>
    </row>
    <row r="413" spans="1:76" x14ac:dyDescent="0.25">
      <c r="A413" s="41"/>
      <c r="B413" s="42"/>
      <c r="C413" s="43" t="s">
        <v>55</v>
      </c>
      <c r="D413" s="43" t="s">
        <v>52</v>
      </c>
      <c r="E413" s="42"/>
      <c r="F413" s="44">
        <v>1</v>
      </c>
      <c r="G413" s="42"/>
      <c r="H413" s="42"/>
      <c r="I413" s="42"/>
      <c r="J413" s="42"/>
      <c r="K413" s="42"/>
      <c r="L413" s="45"/>
    </row>
    <row r="414" spans="1:76" x14ac:dyDescent="0.25">
      <c r="I414" s="105" t="s">
        <v>724</v>
      </c>
      <c r="J414" s="105"/>
      <c r="K414" s="46">
        <f>ROUND(K12+K18+K22+K37+K43+K61+K65+K78+K93+K96+K136+K145+K158+K161+K174+K183+K198+K214+K230+K241+K252+K263+K273+K277+K284+K305+K308+K390+K405+K408+K411,2)</f>
        <v>0</v>
      </c>
    </row>
    <row r="415" spans="1:76" x14ac:dyDescent="0.25">
      <c r="A415" s="47" t="s">
        <v>725</v>
      </c>
    </row>
    <row r="416" spans="1:76" ht="12.75" customHeight="1" x14ac:dyDescent="0.25">
      <c r="A416" s="84" t="s">
        <v>52</v>
      </c>
      <c r="B416" s="79"/>
      <c r="C416" s="79"/>
      <c r="D416" s="79"/>
      <c r="E416" s="79"/>
      <c r="F416" s="79"/>
      <c r="G416" s="79"/>
      <c r="H416" s="79"/>
      <c r="I416" s="79"/>
      <c r="J416" s="79"/>
      <c r="K416" s="79"/>
      <c r="L416" s="79"/>
    </row>
  </sheetData>
  <mergeCells count="259">
    <mergeCell ref="C412:D412"/>
    <mergeCell ref="I414:J414"/>
    <mergeCell ref="A416:L416"/>
    <mergeCell ref="C405:D405"/>
    <mergeCell ref="C406:D406"/>
    <mergeCell ref="C408:D408"/>
    <mergeCell ref="C409:D409"/>
    <mergeCell ref="C411:D411"/>
    <mergeCell ref="C397:D397"/>
    <mergeCell ref="C399:D399"/>
    <mergeCell ref="C401:L401"/>
    <mergeCell ref="C402:D402"/>
    <mergeCell ref="C404:D404"/>
    <mergeCell ref="C390:D390"/>
    <mergeCell ref="C391:D391"/>
    <mergeCell ref="C393:L393"/>
    <mergeCell ref="C394:D394"/>
    <mergeCell ref="C396:L396"/>
    <mergeCell ref="C381:L381"/>
    <mergeCell ref="C382:D382"/>
    <mergeCell ref="C384:D384"/>
    <mergeCell ref="C386:D386"/>
    <mergeCell ref="C388:D388"/>
    <mergeCell ref="C373:D373"/>
    <mergeCell ref="C375:L375"/>
    <mergeCell ref="C376:D376"/>
    <mergeCell ref="C378:L378"/>
    <mergeCell ref="C379:D379"/>
    <mergeCell ref="C363:D363"/>
    <mergeCell ref="C365:D365"/>
    <mergeCell ref="C367:D367"/>
    <mergeCell ref="C369:D369"/>
    <mergeCell ref="C371:D371"/>
    <mergeCell ref="C355:D355"/>
    <mergeCell ref="C357:L357"/>
    <mergeCell ref="C358:D358"/>
    <mergeCell ref="C360:D360"/>
    <mergeCell ref="C362:L362"/>
    <mergeCell ref="C347:D347"/>
    <mergeCell ref="C349:D349"/>
    <mergeCell ref="C351:L351"/>
    <mergeCell ref="C352:D352"/>
    <mergeCell ref="C354:L354"/>
    <mergeCell ref="C337:D337"/>
    <mergeCell ref="C339:D339"/>
    <mergeCell ref="C341:D341"/>
    <mergeCell ref="C343:D343"/>
    <mergeCell ref="C345:D345"/>
    <mergeCell ref="C327:D327"/>
    <mergeCell ref="C329:D329"/>
    <mergeCell ref="C331:D331"/>
    <mergeCell ref="C333:D333"/>
    <mergeCell ref="C335:D335"/>
    <mergeCell ref="C320:L320"/>
    <mergeCell ref="C321:D321"/>
    <mergeCell ref="C323:L323"/>
    <mergeCell ref="C324:D324"/>
    <mergeCell ref="C326:L326"/>
    <mergeCell ref="C312:D312"/>
    <mergeCell ref="C314:L314"/>
    <mergeCell ref="C315:D315"/>
    <mergeCell ref="C317:L317"/>
    <mergeCell ref="C318:D318"/>
    <mergeCell ref="C305:D305"/>
    <mergeCell ref="C306:D306"/>
    <mergeCell ref="C308:D308"/>
    <mergeCell ref="C309:D309"/>
    <mergeCell ref="C311:L311"/>
    <mergeCell ref="C298:L298"/>
    <mergeCell ref="C299:D299"/>
    <mergeCell ref="C301:L301"/>
    <mergeCell ref="C302:D302"/>
    <mergeCell ref="C304:L304"/>
    <mergeCell ref="C280:L280"/>
    <mergeCell ref="C281:D281"/>
    <mergeCell ref="C283:L283"/>
    <mergeCell ref="C284:D284"/>
    <mergeCell ref="C285:D285"/>
    <mergeCell ref="C273:D273"/>
    <mergeCell ref="C274:D274"/>
    <mergeCell ref="C276:L276"/>
    <mergeCell ref="C277:D277"/>
    <mergeCell ref="C278:D278"/>
    <mergeCell ref="C263:D263"/>
    <mergeCell ref="C264:D264"/>
    <mergeCell ref="C267:L267"/>
    <mergeCell ref="C268:D268"/>
    <mergeCell ref="C271:D271"/>
    <mergeCell ref="C253:D253"/>
    <mergeCell ref="C256:L256"/>
    <mergeCell ref="C257:D257"/>
    <mergeCell ref="C260:L260"/>
    <mergeCell ref="C261:D261"/>
    <mergeCell ref="C241:D241"/>
    <mergeCell ref="C242:D242"/>
    <mergeCell ref="C244:D244"/>
    <mergeCell ref="C250:D250"/>
    <mergeCell ref="C252:D252"/>
    <mergeCell ref="C231:D231"/>
    <mergeCell ref="C233:D233"/>
    <mergeCell ref="C236:L236"/>
    <mergeCell ref="C237:D237"/>
    <mergeCell ref="C239:D239"/>
    <mergeCell ref="C223:D223"/>
    <mergeCell ref="C225:D225"/>
    <mergeCell ref="C227:L227"/>
    <mergeCell ref="C228:D228"/>
    <mergeCell ref="C230:D230"/>
    <mergeCell ref="C215:D215"/>
    <mergeCell ref="C217:L217"/>
    <mergeCell ref="C218:D218"/>
    <mergeCell ref="C220:L220"/>
    <mergeCell ref="C221:D221"/>
    <mergeCell ref="C207:L207"/>
    <mergeCell ref="C208:D208"/>
    <mergeCell ref="C211:L211"/>
    <mergeCell ref="C212:D212"/>
    <mergeCell ref="C214:D214"/>
    <mergeCell ref="C194:D194"/>
    <mergeCell ref="C196:D196"/>
    <mergeCell ref="C198:D198"/>
    <mergeCell ref="C199:D199"/>
    <mergeCell ref="C205:D205"/>
    <mergeCell ref="C184:D184"/>
    <mergeCell ref="C186:D186"/>
    <mergeCell ref="C188:D188"/>
    <mergeCell ref="C190:D190"/>
    <mergeCell ref="C192:D192"/>
    <mergeCell ref="C175:D175"/>
    <mergeCell ref="C177:D177"/>
    <mergeCell ref="C179:D179"/>
    <mergeCell ref="C181:D181"/>
    <mergeCell ref="C183:D183"/>
    <mergeCell ref="C167:D167"/>
    <mergeCell ref="C169:L169"/>
    <mergeCell ref="C170:D170"/>
    <mergeCell ref="C172:D172"/>
    <mergeCell ref="C174:D174"/>
    <mergeCell ref="C158:D158"/>
    <mergeCell ref="C159:D159"/>
    <mergeCell ref="C161:D161"/>
    <mergeCell ref="C162:D162"/>
    <mergeCell ref="C166:L166"/>
    <mergeCell ref="C150:D150"/>
    <mergeCell ref="C152:L152"/>
    <mergeCell ref="C153:D153"/>
    <mergeCell ref="C155:L155"/>
    <mergeCell ref="C156:D156"/>
    <mergeCell ref="C141:D141"/>
    <mergeCell ref="C143:D143"/>
    <mergeCell ref="C145:D145"/>
    <mergeCell ref="C146:D146"/>
    <mergeCell ref="C148:D148"/>
    <mergeCell ref="C132:D132"/>
    <mergeCell ref="C134:D134"/>
    <mergeCell ref="C136:D136"/>
    <mergeCell ref="C137:D137"/>
    <mergeCell ref="C139:D139"/>
    <mergeCell ref="C122:D122"/>
    <mergeCell ref="C124:D124"/>
    <mergeCell ref="C126:D126"/>
    <mergeCell ref="C128:D128"/>
    <mergeCell ref="C130:D130"/>
    <mergeCell ref="C113:L113"/>
    <mergeCell ref="C114:D114"/>
    <mergeCell ref="C116:D116"/>
    <mergeCell ref="C118:D118"/>
    <mergeCell ref="C120:D120"/>
    <mergeCell ref="C104:D104"/>
    <mergeCell ref="C106:D106"/>
    <mergeCell ref="C108:L108"/>
    <mergeCell ref="C109:D109"/>
    <mergeCell ref="C111:D111"/>
    <mergeCell ref="C96:D96"/>
    <mergeCell ref="C97:D97"/>
    <mergeCell ref="C99:D99"/>
    <mergeCell ref="C101:L101"/>
    <mergeCell ref="C102:D102"/>
    <mergeCell ref="C87:D87"/>
    <mergeCell ref="C89:D89"/>
    <mergeCell ref="C91:D91"/>
    <mergeCell ref="C93:D93"/>
    <mergeCell ref="C94:D94"/>
    <mergeCell ref="C78:D78"/>
    <mergeCell ref="C79:D79"/>
    <mergeCell ref="C81:D81"/>
    <mergeCell ref="C83:D83"/>
    <mergeCell ref="C85:D85"/>
    <mergeCell ref="C68:D68"/>
    <mergeCell ref="C70:D70"/>
    <mergeCell ref="C72:D72"/>
    <mergeCell ref="C74:D74"/>
    <mergeCell ref="C76:D76"/>
    <mergeCell ref="C61:D61"/>
    <mergeCell ref="C62:D62"/>
    <mergeCell ref="C64:L64"/>
    <mergeCell ref="C65:D65"/>
    <mergeCell ref="C66:D66"/>
    <mergeCell ref="C54:L54"/>
    <mergeCell ref="C55:D55"/>
    <mergeCell ref="C57:L57"/>
    <mergeCell ref="C58:D58"/>
    <mergeCell ref="C60:L60"/>
    <mergeCell ref="C46:L46"/>
    <mergeCell ref="C47:D47"/>
    <mergeCell ref="C49:D49"/>
    <mergeCell ref="C51:L51"/>
    <mergeCell ref="C52:D52"/>
    <mergeCell ref="C38:D38"/>
    <mergeCell ref="C40:D40"/>
    <mergeCell ref="C42:L42"/>
    <mergeCell ref="C43:D43"/>
    <mergeCell ref="C44:D44"/>
    <mergeCell ref="C31:D31"/>
    <mergeCell ref="C33:L33"/>
    <mergeCell ref="C34:D34"/>
    <mergeCell ref="C36:L36"/>
    <mergeCell ref="C37:D37"/>
    <mergeCell ref="C23:D23"/>
    <mergeCell ref="C25:D25"/>
    <mergeCell ref="C27:L27"/>
    <mergeCell ref="C28:D28"/>
    <mergeCell ref="C30:L30"/>
    <mergeCell ref="C17:L17"/>
    <mergeCell ref="C18:D18"/>
    <mergeCell ref="C19:D19"/>
    <mergeCell ref="C21:L21"/>
    <mergeCell ref="C22:D22"/>
    <mergeCell ref="C11:D11"/>
    <mergeCell ref="I10:K10"/>
    <mergeCell ref="C12:D12"/>
    <mergeCell ref="C13:D13"/>
    <mergeCell ref="C15:D15"/>
    <mergeCell ref="I2:L3"/>
    <mergeCell ref="I4:L5"/>
    <mergeCell ref="I6:L7"/>
    <mergeCell ref="I8:L9"/>
    <mergeCell ref="C10:D10"/>
    <mergeCell ref="C8:D9"/>
    <mergeCell ref="G2:G3"/>
    <mergeCell ref="G4:G5"/>
    <mergeCell ref="G6:G7"/>
    <mergeCell ref="G8:G9"/>
    <mergeCell ref="A1:L1"/>
    <mergeCell ref="A2:B3"/>
    <mergeCell ref="A4:B5"/>
    <mergeCell ref="A6:B7"/>
    <mergeCell ref="A8:B9"/>
    <mergeCell ref="E2:F3"/>
    <mergeCell ref="E4:F5"/>
    <mergeCell ref="E6:F7"/>
    <mergeCell ref="E8:F9"/>
    <mergeCell ref="H2:H3"/>
    <mergeCell ref="H4:H5"/>
    <mergeCell ref="H6:H7"/>
    <mergeCell ref="H8:H9"/>
    <mergeCell ref="C2:D3"/>
    <mergeCell ref="C4:D5"/>
    <mergeCell ref="C6:D7"/>
  </mergeCells>
  <pageMargins left="0.393999993801117" right="0.393999993801117" top="0.59100002050399802" bottom="0.59100002050399802"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ySplit="11" topLeftCell="A12" activePane="bottomLeft" state="frozen"/>
      <selection pane="bottomLeft" activeCell="C42" sqref="C42:D42"/>
    </sheetView>
  </sheetViews>
  <sheetFormatPr defaultColWidth="12.140625" defaultRowHeight="15" customHeight="1" x14ac:dyDescent="0.25"/>
  <cols>
    <col min="1" max="2" width="4.28515625" customWidth="1"/>
    <col min="3" max="3" width="71.42578125" customWidth="1"/>
    <col min="4" max="4" width="12.140625" customWidth="1"/>
    <col min="5" max="7" width="27.85546875" customWidth="1"/>
    <col min="8" max="9" width="0" hidden="1" customWidth="1"/>
  </cols>
  <sheetData>
    <row r="1" spans="1:9" ht="54.75" customHeight="1" x14ac:dyDescent="0.25">
      <c r="A1" s="75" t="s">
        <v>726</v>
      </c>
      <c r="B1" s="75"/>
      <c r="C1" s="75"/>
      <c r="D1" s="75"/>
      <c r="E1" s="75"/>
      <c r="F1" s="75"/>
      <c r="G1" s="75"/>
    </row>
    <row r="2" spans="1:9" x14ac:dyDescent="0.25">
      <c r="A2" s="76" t="s">
        <v>1</v>
      </c>
      <c r="B2" s="77"/>
      <c r="C2" s="85" t="str">
        <f>'Stavební rozpočet'!C2</f>
        <v>UDRŽOVACÍ PRÁCE</v>
      </c>
      <c r="D2" s="77" t="s">
        <v>3</v>
      </c>
      <c r="E2" s="77" t="s">
        <v>4</v>
      </c>
      <c r="F2" s="83" t="s">
        <v>5</v>
      </c>
      <c r="G2" s="107" t="str">
        <f>'Stavební rozpočet'!I2</f>
        <v>MĚSTO ČESKÁ LÍPA</v>
      </c>
    </row>
    <row r="3" spans="1:9" ht="15" customHeight="1" x14ac:dyDescent="0.25">
      <c r="A3" s="78"/>
      <c r="B3" s="79"/>
      <c r="C3" s="87"/>
      <c r="D3" s="79"/>
      <c r="E3" s="79"/>
      <c r="F3" s="79"/>
      <c r="G3" s="89"/>
    </row>
    <row r="4" spans="1:9" x14ac:dyDescent="0.25">
      <c r="A4" s="80" t="s">
        <v>7</v>
      </c>
      <c r="B4" s="79"/>
      <c r="C4" s="84" t="str">
        <f>'Stavební rozpočet'!C4</f>
        <v>NA BYTU 1.N.P.</v>
      </c>
      <c r="D4" s="79" t="s">
        <v>9</v>
      </c>
      <c r="E4" s="79" t="s">
        <v>4</v>
      </c>
      <c r="F4" s="84" t="s">
        <v>10</v>
      </c>
      <c r="G4" s="108" t="str">
        <f>'Stavební rozpočet'!I4</f>
        <v>ING.MARTIN PLESCHINGER</v>
      </c>
    </row>
    <row r="5" spans="1:9" ht="15" customHeight="1" x14ac:dyDescent="0.25">
      <c r="A5" s="78"/>
      <c r="B5" s="79"/>
      <c r="C5" s="79"/>
      <c r="D5" s="79"/>
      <c r="E5" s="79"/>
      <c r="F5" s="79"/>
      <c r="G5" s="89"/>
    </row>
    <row r="6" spans="1:9" x14ac:dyDescent="0.25">
      <c r="A6" s="80" t="s">
        <v>12</v>
      </c>
      <c r="B6" s="79"/>
      <c r="C6" s="84" t="str">
        <f>'Stavební rozpočet'!C6</f>
        <v>ČESKÁ LÍPA,UL.5.KVĚTNA 1582</v>
      </c>
      <c r="D6" s="79" t="s">
        <v>14</v>
      </c>
      <c r="E6" s="79" t="s">
        <v>4</v>
      </c>
      <c r="F6" s="84" t="s">
        <v>15</v>
      </c>
      <c r="G6" s="108" t="str">
        <f>'Stavební rozpočet'!I6</f>
        <v>BUDE VYBRÁN</v>
      </c>
    </row>
    <row r="7" spans="1:9" ht="15" customHeight="1" x14ac:dyDescent="0.25">
      <c r="A7" s="78"/>
      <c r="B7" s="79"/>
      <c r="C7" s="79"/>
      <c r="D7" s="79"/>
      <c r="E7" s="79"/>
      <c r="F7" s="79"/>
      <c r="G7" s="89"/>
    </row>
    <row r="8" spans="1:9" x14ac:dyDescent="0.25">
      <c r="A8" s="80" t="s">
        <v>20</v>
      </c>
      <c r="B8" s="79"/>
      <c r="C8" s="84" t="str">
        <f>'Stavební rozpočet'!I8</f>
        <v>IIČVDF</v>
      </c>
      <c r="D8" s="79" t="s">
        <v>18</v>
      </c>
      <c r="E8" s="79" t="s">
        <v>19</v>
      </c>
      <c r="F8" s="79" t="s">
        <v>18</v>
      </c>
      <c r="G8" s="108" t="str">
        <f>'Stavební rozpočet'!G8</f>
        <v>03.02.2025</v>
      </c>
    </row>
    <row r="9" spans="1:9" x14ac:dyDescent="0.25">
      <c r="A9" s="81"/>
      <c r="B9" s="82"/>
      <c r="C9" s="82"/>
      <c r="D9" s="106"/>
      <c r="E9" s="82"/>
      <c r="F9" s="82"/>
      <c r="G9" s="90"/>
    </row>
    <row r="10" spans="1:9" x14ac:dyDescent="0.25">
      <c r="A10" s="109" t="s">
        <v>23</v>
      </c>
      <c r="B10" s="110"/>
      <c r="C10" s="48" t="s">
        <v>24</v>
      </c>
      <c r="E10" s="49" t="s">
        <v>727</v>
      </c>
      <c r="F10" s="50" t="s">
        <v>728</v>
      </c>
      <c r="G10" s="50" t="s">
        <v>729</v>
      </c>
    </row>
    <row r="11" spans="1:9" x14ac:dyDescent="0.25">
      <c r="A11" s="111" t="s">
        <v>53</v>
      </c>
      <c r="B11" s="112"/>
      <c r="C11" s="79" t="s">
        <v>54</v>
      </c>
      <c r="D11" s="79"/>
      <c r="E11" s="51">
        <f>ROUND('Stavební rozpočet'!I12,2)</f>
        <v>0</v>
      </c>
      <c r="F11" s="51">
        <f>ROUND('Stavební rozpočet'!J12,2)</f>
        <v>0</v>
      </c>
      <c r="G11" s="51">
        <f>ROUND('Stavební rozpočet'!K12,2)</f>
        <v>0</v>
      </c>
      <c r="H11" s="30" t="s">
        <v>730</v>
      </c>
      <c r="I11" s="27">
        <f t="shared" ref="I11:I42" si="0">IF(H11="F",0,G11)</f>
        <v>0</v>
      </c>
    </row>
    <row r="12" spans="1:9" x14ac:dyDescent="0.25">
      <c r="A12" s="78" t="s">
        <v>73</v>
      </c>
      <c r="B12" s="79"/>
      <c r="C12" s="79" t="s">
        <v>74</v>
      </c>
      <c r="D12" s="79"/>
      <c r="E12" s="27">
        <f>ROUND('Stavební rozpočet'!I18,2)</f>
        <v>0</v>
      </c>
      <c r="F12" s="27">
        <f>ROUND('Stavební rozpočet'!J18,2)</f>
        <v>0</v>
      </c>
      <c r="G12" s="27">
        <f>ROUND('Stavební rozpočet'!K18,2)</f>
        <v>0</v>
      </c>
      <c r="H12" s="30" t="s">
        <v>730</v>
      </c>
      <c r="I12" s="27">
        <f t="shared" si="0"/>
        <v>0</v>
      </c>
    </row>
    <row r="13" spans="1:9" x14ac:dyDescent="0.25">
      <c r="A13" s="78" t="s">
        <v>84</v>
      </c>
      <c r="B13" s="79"/>
      <c r="C13" s="79" t="s">
        <v>85</v>
      </c>
      <c r="D13" s="79"/>
      <c r="E13" s="27">
        <f>ROUND('Stavební rozpočet'!I22,2)</f>
        <v>0</v>
      </c>
      <c r="F13" s="27">
        <f>ROUND('Stavební rozpočet'!J22,2)</f>
        <v>0</v>
      </c>
      <c r="G13" s="27">
        <f>ROUND('Stavební rozpočet'!K22,2)</f>
        <v>0</v>
      </c>
      <c r="H13" s="30" t="s">
        <v>730</v>
      </c>
      <c r="I13" s="27">
        <f t="shared" si="0"/>
        <v>0</v>
      </c>
    </row>
    <row r="14" spans="1:9" x14ac:dyDescent="0.25">
      <c r="A14" s="78" t="s">
        <v>111</v>
      </c>
      <c r="B14" s="79"/>
      <c r="C14" s="79" t="s">
        <v>112</v>
      </c>
      <c r="D14" s="79"/>
      <c r="E14" s="27">
        <f>ROUND('Stavební rozpočet'!I37,2)</f>
        <v>0</v>
      </c>
      <c r="F14" s="27">
        <f>ROUND('Stavební rozpočet'!J37,2)</f>
        <v>0</v>
      </c>
      <c r="G14" s="27">
        <f>ROUND('Stavební rozpočet'!K37,2)</f>
        <v>0</v>
      </c>
      <c r="H14" s="30" t="s">
        <v>730</v>
      </c>
      <c r="I14" s="27">
        <f t="shared" si="0"/>
        <v>0</v>
      </c>
    </row>
    <row r="15" spans="1:9" x14ac:dyDescent="0.25">
      <c r="A15" s="78" t="s">
        <v>124</v>
      </c>
      <c r="B15" s="79"/>
      <c r="C15" s="79" t="s">
        <v>125</v>
      </c>
      <c r="D15" s="79"/>
      <c r="E15" s="27">
        <f>ROUND('Stavební rozpočet'!I43,2)</f>
        <v>0</v>
      </c>
      <c r="F15" s="27">
        <f>ROUND('Stavební rozpočet'!J43,2)</f>
        <v>0</v>
      </c>
      <c r="G15" s="27">
        <f>ROUND('Stavební rozpočet'!K43,2)</f>
        <v>0</v>
      </c>
      <c r="H15" s="30" t="s">
        <v>730</v>
      </c>
      <c r="I15" s="27">
        <f t="shared" si="0"/>
        <v>0</v>
      </c>
    </row>
    <row r="16" spans="1:9" x14ac:dyDescent="0.25">
      <c r="A16" s="78" t="s">
        <v>149</v>
      </c>
      <c r="B16" s="79"/>
      <c r="C16" s="79" t="s">
        <v>150</v>
      </c>
      <c r="D16" s="79"/>
      <c r="E16" s="27">
        <f>ROUND('Stavební rozpočet'!I61,2)</f>
        <v>0</v>
      </c>
      <c r="F16" s="27">
        <f>ROUND('Stavební rozpočet'!J61,2)</f>
        <v>0</v>
      </c>
      <c r="G16" s="27">
        <f>ROUND('Stavební rozpočet'!K61,2)</f>
        <v>0</v>
      </c>
      <c r="H16" s="30" t="s">
        <v>730</v>
      </c>
      <c r="I16" s="27">
        <f t="shared" si="0"/>
        <v>0</v>
      </c>
    </row>
    <row r="17" spans="1:9" x14ac:dyDescent="0.25">
      <c r="A17" s="78" t="s">
        <v>158</v>
      </c>
      <c r="B17" s="79"/>
      <c r="C17" s="79" t="s">
        <v>159</v>
      </c>
      <c r="D17" s="79"/>
      <c r="E17" s="27">
        <f>ROUND('Stavební rozpočet'!I65,2)</f>
        <v>0</v>
      </c>
      <c r="F17" s="27">
        <f>ROUND('Stavební rozpočet'!J65,2)</f>
        <v>0</v>
      </c>
      <c r="G17" s="27">
        <f>ROUND('Stavební rozpočet'!K65,2)</f>
        <v>0</v>
      </c>
      <c r="H17" s="30" t="s">
        <v>730</v>
      </c>
      <c r="I17" s="27">
        <f t="shared" si="0"/>
        <v>0</v>
      </c>
    </row>
    <row r="18" spans="1:9" x14ac:dyDescent="0.25">
      <c r="A18" s="78" t="s">
        <v>184</v>
      </c>
      <c r="B18" s="79"/>
      <c r="C18" s="79" t="s">
        <v>185</v>
      </c>
      <c r="D18" s="79"/>
      <c r="E18" s="27">
        <f>ROUND('Stavební rozpočet'!I78,2)</f>
        <v>0</v>
      </c>
      <c r="F18" s="27">
        <f>ROUND('Stavební rozpočet'!J78,2)</f>
        <v>0</v>
      </c>
      <c r="G18" s="27">
        <f>ROUND('Stavební rozpočet'!K78,2)</f>
        <v>0</v>
      </c>
      <c r="H18" s="30" t="s">
        <v>730</v>
      </c>
      <c r="I18" s="27">
        <f t="shared" si="0"/>
        <v>0</v>
      </c>
    </row>
    <row r="19" spans="1:9" x14ac:dyDescent="0.25">
      <c r="A19" s="78" t="s">
        <v>211</v>
      </c>
      <c r="B19" s="79"/>
      <c r="C19" s="79" t="s">
        <v>212</v>
      </c>
      <c r="D19" s="79"/>
      <c r="E19" s="27">
        <f>ROUND('Stavební rozpočet'!I93,2)</f>
        <v>0</v>
      </c>
      <c r="F19" s="27">
        <f>ROUND('Stavební rozpočet'!J93,2)</f>
        <v>0</v>
      </c>
      <c r="G19" s="27">
        <f>ROUND('Stavební rozpočet'!K93,2)</f>
        <v>0</v>
      </c>
      <c r="H19" s="30" t="s">
        <v>730</v>
      </c>
      <c r="I19" s="27">
        <f t="shared" si="0"/>
        <v>0</v>
      </c>
    </row>
    <row r="20" spans="1:9" x14ac:dyDescent="0.25">
      <c r="A20" s="78" t="s">
        <v>216</v>
      </c>
      <c r="B20" s="79"/>
      <c r="C20" s="79" t="s">
        <v>217</v>
      </c>
      <c r="D20" s="79"/>
      <c r="E20" s="27">
        <f>ROUND('Stavební rozpočet'!I96,2)</f>
        <v>0</v>
      </c>
      <c r="F20" s="27">
        <f>ROUND('Stavební rozpočet'!J96,2)</f>
        <v>0</v>
      </c>
      <c r="G20" s="27">
        <f>ROUND('Stavební rozpočet'!K96,2)</f>
        <v>0</v>
      </c>
      <c r="H20" s="30" t="s">
        <v>730</v>
      </c>
      <c r="I20" s="27">
        <f t="shared" si="0"/>
        <v>0</v>
      </c>
    </row>
    <row r="21" spans="1:9" x14ac:dyDescent="0.25">
      <c r="A21" s="78" t="s">
        <v>277</v>
      </c>
      <c r="B21" s="79"/>
      <c r="C21" s="79" t="s">
        <v>278</v>
      </c>
      <c r="D21" s="79"/>
      <c r="E21" s="27">
        <f>ROUND('Stavební rozpočet'!I136,2)</f>
        <v>0</v>
      </c>
      <c r="F21" s="27">
        <f>ROUND('Stavební rozpočet'!J136,2)</f>
        <v>0</v>
      </c>
      <c r="G21" s="27">
        <f>ROUND('Stavební rozpočet'!K136,2)</f>
        <v>0</v>
      </c>
      <c r="H21" s="30" t="s">
        <v>730</v>
      </c>
      <c r="I21" s="27">
        <f t="shared" si="0"/>
        <v>0</v>
      </c>
    </row>
    <row r="22" spans="1:9" x14ac:dyDescent="0.25">
      <c r="A22" s="78" t="s">
        <v>292</v>
      </c>
      <c r="B22" s="79"/>
      <c r="C22" s="79" t="s">
        <v>293</v>
      </c>
      <c r="D22" s="79"/>
      <c r="E22" s="27">
        <f>ROUND('Stavební rozpočet'!I145,2)</f>
        <v>0</v>
      </c>
      <c r="F22" s="27">
        <f>ROUND('Stavební rozpočet'!J145,2)</f>
        <v>0</v>
      </c>
      <c r="G22" s="27">
        <f>ROUND('Stavební rozpočet'!K145,2)</f>
        <v>0</v>
      </c>
      <c r="H22" s="30" t="s">
        <v>730</v>
      </c>
      <c r="I22" s="27">
        <f t="shared" si="0"/>
        <v>0</v>
      </c>
    </row>
    <row r="23" spans="1:9" x14ac:dyDescent="0.25">
      <c r="A23" s="78" t="s">
        <v>315</v>
      </c>
      <c r="B23" s="79"/>
      <c r="C23" s="79" t="s">
        <v>316</v>
      </c>
      <c r="D23" s="79"/>
      <c r="E23" s="27">
        <f>ROUND('Stavební rozpočet'!I158,2)</f>
        <v>0</v>
      </c>
      <c r="F23" s="27">
        <f>ROUND('Stavební rozpočet'!J158,2)</f>
        <v>0</v>
      </c>
      <c r="G23" s="27">
        <f>ROUND('Stavební rozpočet'!K158,2)</f>
        <v>0</v>
      </c>
      <c r="H23" s="30" t="s">
        <v>730</v>
      </c>
      <c r="I23" s="27">
        <f t="shared" si="0"/>
        <v>0</v>
      </c>
    </row>
    <row r="24" spans="1:9" x14ac:dyDescent="0.25">
      <c r="A24" s="78" t="s">
        <v>321</v>
      </c>
      <c r="B24" s="79"/>
      <c r="C24" s="79" t="s">
        <v>322</v>
      </c>
      <c r="D24" s="79"/>
      <c r="E24" s="27">
        <f>ROUND('Stavební rozpočet'!I161,2)</f>
        <v>0</v>
      </c>
      <c r="F24" s="27">
        <f>ROUND('Stavební rozpočet'!J161,2)</f>
        <v>0</v>
      </c>
      <c r="G24" s="27">
        <f>ROUND('Stavební rozpočet'!K161,2)</f>
        <v>0</v>
      </c>
      <c r="H24" s="30" t="s">
        <v>730</v>
      </c>
      <c r="I24" s="27">
        <f t="shared" si="0"/>
        <v>0</v>
      </c>
    </row>
    <row r="25" spans="1:9" x14ac:dyDescent="0.25">
      <c r="A25" s="78" t="s">
        <v>339</v>
      </c>
      <c r="B25" s="79"/>
      <c r="C25" s="79" t="s">
        <v>340</v>
      </c>
      <c r="D25" s="79"/>
      <c r="E25" s="27">
        <f>ROUND('Stavební rozpočet'!I174,2)</f>
        <v>0</v>
      </c>
      <c r="F25" s="27">
        <f>ROUND('Stavební rozpočet'!J174,2)</f>
        <v>0</v>
      </c>
      <c r="G25" s="27">
        <f>ROUND('Stavební rozpočet'!K174,2)</f>
        <v>0</v>
      </c>
      <c r="H25" s="30" t="s">
        <v>730</v>
      </c>
      <c r="I25" s="27">
        <f t="shared" si="0"/>
        <v>0</v>
      </c>
    </row>
    <row r="26" spans="1:9" x14ac:dyDescent="0.25">
      <c r="A26" s="78" t="s">
        <v>354</v>
      </c>
      <c r="B26" s="79"/>
      <c r="C26" s="79" t="s">
        <v>355</v>
      </c>
      <c r="D26" s="79"/>
      <c r="E26" s="27">
        <f>ROUND('Stavební rozpočet'!I183,2)</f>
        <v>0</v>
      </c>
      <c r="F26" s="27">
        <f>ROUND('Stavební rozpočet'!J183,2)</f>
        <v>0</v>
      </c>
      <c r="G26" s="27">
        <f>ROUND('Stavební rozpočet'!K183,2)</f>
        <v>0</v>
      </c>
      <c r="H26" s="30" t="s">
        <v>730</v>
      </c>
      <c r="I26" s="27">
        <f t="shared" si="0"/>
        <v>0</v>
      </c>
    </row>
    <row r="27" spans="1:9" x14ac:dyDescent="0.25">
      <c r="A27" s="78" t="s">
        <v>379</v>
      </c>
      <c r="B27" s="79"/>
      <c r="C27" s="79" t="s">
        <v>380</v>
      </c>
      <c r="D27" s="79"/>
      <c r="E27" s="27">
        <f>ROUND('Stavební rozpočet'!I198,2)</f>
        <v>0</v>
      </c>
      <c r="F27" s="27">
        <f>ROUND('Stavební rozpočet'!J198,2)</f>
        <v>0</v>
      </c>
      <c r="G27" s="27">
        <f>ROUND('Stavební rozpočet'!K198,2)</f>
        <v>0</v>
      </c>
      <c r="H27" s="30" t="s">
        <v>730</v>
      </c>
      <c r="I27" s="27">
        <f t="shared" si="0"/>
        <v>0</v>
      </c>
    </row>
    <row r="28" spans="1:9" x14ac:dyDescent="0.25">
      <c r="A28" s="78" t="s">
        <v>411</v>
      </c>
      <c r="B28" s="79"/>
      <c r="C28" s="79" t="s">
        <v>412</v>
      </c>
      <c r="D28" s="79"/>
      <c r="E28" s="27">
        <f>ROUND('Stavební rozpočet'!I214,2)</f>
        <v>0</v>
      </c>
      <c r="F28" s="27">
        <f>ROUND('Stavební rozpočet'!J214,2)</f>
        <v>0</v>
      </c>
      <c r="G28" s="27">
        <f>ROUND('Stavební rozpočet'!K214,2)</f>
        <v>0</v>
      </c>
      <c r="H28" s="30" t="s">
        <v>730</v>
      </c>
      <c r="I28" s="27">
        <f t="shared" si="0"/>
        <v>0</v>
      </c>
    </row>
    <row r="29" spans="1:9" x14ac:dyDescent="0.25">
      <c r="A29" s="78" t="s">
        <v>438</v>
      </c>
      <c r="B29" s="79"/>
      <c r="C29" s="79" t="s">
        <v>439</v>
      </c>
      <c r="D29" s="79"/>
      <c r="E29" s="27">
        <f>ROUND('Stavební rozpočet'!I230,2)</f>
        <v>0</v>
      </c>
      <c r="F29" s="27">
        <f>ROUND('Stavební rozpočet'!J230,2)</f>
        <v>0</v>
      </c>
      <c r="G29" s="27">
        <f>ROUND('Stavební rozpočet'!K230,2)</f>
        <v>0</v>
      </c>
      <c r="H29" s="30" t="s">
        <v>730</v>
      </c>
      <c r="I29" s="27">
        <f t="shared" si="0"/>
        <v>0</v>
      </c>
    </row>
    <row r="30" spans="1:9" x14ac:dyDescent="0.25">
      <c r="A30" s="78" t="s">
        <v>459</v>
      </c>
      <c r="B30" s="79"/>
      <c r="C30" s="79" t="s">
        <v>460</v>
      </c>
      <c r="D30" s="79"/>
      <c r="E30" s="27">
        <f>ROUND('Stavební rozpočet'!I241,2)</f>
        <v>0</v>
      </c>
      <c r="F30" s="27">
        <f>ROUND('Stavební rozpočet'!J241,2)</f>
        <v>0</v>
      </c>
      <c r="G30" s="27">
        <f>ROUND('Stavební rozpočet'!K241,2)</f>
        <v>0</v>
      </c>
      <c r="H30" s="30" t="s">
        <v>730</v>
      </c>
      <c r="I30" s="27">
        <f t="shared" si="0"/>
        <v>0</v>
      </c>
    </row>
    <row r="31" spans="1:9" x14ac:dyDescent="0.25">
      <c r="A31" s="78" t="s">
        <v>478</v>
      </c>
      <c r="B31" s="79"/>
      <c r="C31" s="79" t="s">
        <v>479</v>
      </c>
      <c r="D31" s="79"/>
      <c r="E31" s="27">
        <f>ROUND('Stavební rozpočet'!I252,2)</f>
        <v>0</v>
      </c>
      <c r="F31" s="27">
        <f>ROUND('Stavební rozpočet'!J252,2)</f>
        <v>0</v>
      </c>
      <c r="G31" s="27">
        <f>ROUND('Stavební rozpočet'!K252,2)</f>
        <v>0</v>
      </c>
      <c r="H31" s="30" t="s">
        <v>730</v>
      </c>
      <c r="I31" s="27">
        <f t="shared" si="0"/>
        <v>0</v>
      </c>
    </row>
    <row r="32" spans="1:9" x14ac:dyDescent="0.25">
      <c r="A32" s="78" t="s">
        <v>499</v>
      </c>
      <c r="B32" s="79"/>
      <c r="C32" s="79" t="s">
        <v>500</v>
      </c>
      <c r="D32" s="79"/>
      <c r="E32" s="27">
        <f>ROUND('Stavební rozpočet'!I263,2)</f>
        <v>0</v>
      </c>
      <c r="F32" s="27">
        <f>ROUND('Stavební rozpočet'!J263,2)</f>
        <v>0</v>
      </c>
      <c r="G32" s="27">
        <f>ROUND('Stavební rozpočet'!K263,2)</f>
        <v>0</v>
      </c>
      <c r="H32" s="30" t="s">
        <v>730</v>
      </c>
      <c r="I32" s="27">
        <f t="shared" si="0"/>
        <v>0</v>
      </c>
    </row>
    <row r="33" spans="1:9" x14ac:dyDescent="0.25">
      <c r="A33" s="78" t="s">
        <v>466</v>
      </c>
      <c r="B33" s="79"/>
      <c r="C33" s="79" t="s">
        <v>519</v>
      </c>
      <c r="D33" s="79"/>
      <c r="E33" s="27">
        <f>ROUND('Stavební rozpočet'!I273,2)</f>
        <v>0</v>
      </c>
      <c r="F33" s="27">
        <f>ROUND('Stavební rozpočet'!J273,2)</f>
        <v>0</v>
      </c>
      <c r="G33" s="27">
        <f>ROUND('Stavební rozpočet'!K273,2)</f>
        <v>0</v>
      </c>
      <c r="H33" s="30" t="s">
        <v>730</v>
      </c>
      <c r="I33" s="27">
        <f t="shared" si="0"/>
        <v>0</v>
      </c>
    </row>
    <row r="34" spans="1:9" x14ac:dyDescent="0.25">
      <c r="A34" s="78" t="s">
        <v>508</v>
      </c>
      <c r="B34" s="79"/>
      <c r="C34" s="79" t="s">
        <v>527</v>
      </c>
      <c r="D34" s="79"/>
      <c r="E34" s="27">
        <f>ROUND('Stavební rozpočet'!I277,2)</f>
        <v>0</v>
      </c>
      <c r="F34" s="27">
        <f>ROUND('Stavební rozpočet'!J277,2)</f>
        <v>0</v>
      </c>
      <c r="G34" s="27">
        <f>ROUND('Stavební rozpočet'!K277,2)</f>
        <v>0</v>
      </c>
      <c r="H34" s="30" t="s">
        <v>730</v>
      </c>
      <c r="I34" s="27">
        <f t="shared" si="0"/>
        <v>0</v>
      </c>
    </row>
    <row r="35" spans="1:9" x14ac:dyDescent="0.25">
      <c r="A35" s="78" t="s">
        <v>515</v>
      </c>
      <c r="B35" s="79"/>
      <c r="C35" s="79" t="s">
        <v>538</v>
      </c>
      <c r="D35" s="79"/>
      <c r="E35" s="27">
        <f>ROUND('Stavební rozpočet'!I284,2)</f>
        <v>0</v>
      </c>
      <c r="F35" s="27">
        <f>ROUND('Stavební rozpočet'!J284,2)</f>
        <v>0</v>
      </c>
      <c r="G35" s="27">
        <f>ROUND('Stavební rozpočet'!K284,2)</f>
        <v>0</v>
      </c>
      <c r="H35" s="30" t="s">
        <v>730</v>
      </c>
      <c r="I35" s="27">
        <f t="shared" si="0"/>
        <v>0</v>
      </c>
    </row>
    <row r="36" spans="1:9" x14ac:dyDescent="0.25">
      <c r="A36" s="78" t="s">
        <v>560</v>
      </c>
      <c r="B36" s="79"/>
      <c r="C36" s="79" t="s">
        <v>561</v>
      </c>
      <c r="D36" s="79"/>
      <c r="E36" s="27">
        <f>ROUND('Stavební rozpočet'!I305,2)</f>
        <v>0</v>
      </c>
      <c r="F36" s="27">
        <f>ROUND('Stavební rozpočet'!J305,2)</f>
        <v>0</v>
      </c>
      <c r="G36" s="27">
        <f>ROUND('Stavební rozpočet'!K305,2)</f>
        <v>0</v>
      </c>
      <c r="H36" s="30" t="s">
        <v>730</v>
      </c>
      <c r="I36" s="27">
        <f t="shared" si="0"/>
        <v>0</v>
      </c>
    </row>
    <row r="37" spans="1:9" x14ac:dyDescent="0.25">
      <c r="A37" s="78" t="s">
        <v>566</v>
      </c>
      <c r="B37" s="79"/>
      <c r="C37" s="79" t="s">
        <v>567</v>
      </c>
      <c r="D37" s="79"/>
      <c r="E37" s="27">
        <f>ROUND('Stavební rozpočet'!I308,2)</f>
        <v>0</v>
      </c>
      <c r="F37" s="27">
        <f>ROUND('Stavební rozpočet'!J308,2)</f>
        <v>0</v>
      </c>
      <c r="G37" s="27">
        <f>ROUND('Stavební rozpočet'!K308,2)</f>
        <v>0</v>
      </c>
      <c r="H37" s="30" t="s">
        <v>730</v>
      </c>
      <c r="I37" s="27">
        <f t="shared" si="0"/>
        <v>0</v>
      </c>
    </row>
    <row r="38" spans="1:9" x14ac:dyDescent="0.25">
      <c r="A38" s="78" t="s">
        <v>676</v>
      </c>
      <c r="B38" s="79"/>
      <c r="C38" s="79" t="s">
        <v>677</v>
      </c>
      <c r="D38" s="79"/>
      <c r="E38" s="27">
        <f>ROUND('Stavební rozpočet'!I390,2)</f>
        <v>0</v>
      </c>
      <c r="F38" s="27">
        <f>ROUND('Stavební rozpočet'!J390,2)</f>
        <v>0</v>
      </c>
      <c r="G38" s="27">
        <f>ROUND('Stavební rozpočet'!K390,2)</f>
        <v>0</v>
      </c>
      <c r="H38" s="30" t="s">
        <v>730</v>
      </c>
      <c r="I38" s="27">
        <f t="shared" si="0"/>
        <v>0</v>
      </c>
    </row>
    <row r="39" spans="1:9" x14ac:dyDescent="0.25">
      <c r="A39" s="78" t="s">
        <v>701</v>
      </c>
      <c r="B39" s="79"/>
      <c r="C39" s="79" t="s">
        <v>702</v>
      </c>
      <c r="D39" s="79"/>
      <c r="E39" s="27">
        <f>ROUND('Stavební rozpočet'!I404,2)</f>
        <v>0</v>
      </c>
      <c r="F39" s="27">
        <f>ROUND('Stavební rozpočet'!J404,2)</f>
        <v>0</v>
      </c>
      <c r="G39" s="27">
        <f>ROUND('Stavební rozpočet'!K404,2)</f>
        <v>0</v>
      </c>
      <c r="H39" s="30" t="s">
        <v>731</v>
      </c>
      <c r="I39" s="27">
        <f t="shared" si="0"/>
        <v>0</v>
      </c>
    </row>
    <row r="40" spans="1:9" x14ac:dyDescent="0.25">
      <c r="A40" s="78" t="s">
        <v>703</v>
      </c>
      <c r="B40" s="79"/>
      <c r="C40" s="79" t="s">
        <v>704</v>
      </c>
      <c r="D40" s="79"/>
      <c r="E40" s="27">
        <f>ROUND('Stavební rozpočet'!I405,2)</f>
        <v>0</v>
      </c>
      <c r="F40" s="27">
        <f>ROUND('Stavební rozpočet'!J405,2)</f>
        <v>0</v>
      </c>
      <c r="G40" s="27">
        <f>ROUND('Stavební rozpočet'!K405,2)</f>
        <v>0</v>
      </c>
      <c r="H40" s="30" t="s">
        <v>730</v>
      </c>
      <c r="I40" s="27">
        <f t="shared" si="0"/>
        <v>0</v>
      </c>
    </row>
    <row r="41" spans="1:9" x14ac:dyDescent="0.25">
      <c r="A41" s="78" t="s">
        <v>711</v>
      </c>
      <c r="B41" s="79"/>
      <c r="C41" s="79" t="s">
        <v>712</v>
      </c>
      <c r="D41" s="79"/>
      <c r="E41" s="27">
        <f>ROUND('Stavební rozpočet'!I408,2)</f>
        <v>0</v>
      </c>
      <c r="F41" s="27">
        <f>ROUND('Stavební rozpočet'!J408,2)</f>
        <v>0</v>
      </c>
      <c r="G41" s="27">
        <f>ROUND('Stavební rozpočet'!K408,2)</f>
        <v>0</v>
      </c>
      <c r="H41" s="30" t="s">
        <v>730</v>
      </c>
      <c r="I41" s="27">
        <f t="shared" si="0"/>
        <v>0</v>
      </c>
    </row>
    <row r="42" spans="1:9" x14ac:dyDescent="0.25">
      <c r="A42" s="78" t="s">
        <v>718</v>
      </c>
      <c r="B42" s="79"/>
      <c r="C42" s="79" t="s">
        <v>719</v>
      </c>
      <c r="D42" s="79"/>
      <c r="E42" s="27">
        <f>ROUND('Stavební rozpočet'!I411,2)</f>
        <v>0</v>
      </c>
      <c r="F42" s="27">
        <f>ROUND('Stavební rozpočet'!J411,2)</f>
        <v>0</v>
      </c>
      <c r="G42" s="27">
        <f>ROUND('Stavební rozpočet'!K411,2)</f>
        <v>0</v>
      </c>
      <c r="H42" s="30" t="s">
        <v>730</v>
      </c>
      <c r="I42" s="27">
        <f t="shared" si="0"/>
        <v>0</v>
      </c>
    </row>
    <row r="43" spans="1:9" x14ac:dyDescent="0.25">
      <c r="F43" s="4" t="s">
        <v>724</v>
      </c>
      <c r="G43" s="52">
        <f>ROUND(SUM(I11:I42),2)</f>
        <v>0</v>
      </c>
    </row>
  </sheetData>
  <mergeCells count="90">
    <mergeCell ref="A41:B41"/>
    <mergeCell ref="C41:D41"/>
    <mergeCell ref="A42:B42"/>
    <mergeCell ref="C42:D42"/>
    <mergeCell ref="A38:B38"/>
    <mergeCell ref="C38:D38"/>
    <mergeCell ref="A39:B39"/>
    <mergeCell ref="C39:D39"/>
    <mergeCell ref="A40:B40"/>
    <mergeCell ref="C40:D40"/>
    <mergeCell ref="A35:B35"/>
    <mergeCell ref="C35:D35"/>
    <mergeCell ref="A36:B36"/>
    <mergeCell ref="C36:D36"/>
    <mergeCell ref="A37:B37"/>
    <mergeCell ref="C37:D37"/>
    <mergeCell ref="A32:B32"/>
    <mergeCell ref="C32:D32"/>
    <mergeCell ref="A33:B33"/>
    <mergeCell ref="C33:D33"/>
    <mergeCell ref="A34:B34"/>
    <mergeCell ref="C34:D34"/>
    <mergeCell ref="A29:B29"/>
    <mergeCell ref="C29:D29"/>
    <mergeCell ref="A30:B30"/>
    <mergeCell ref="C30:D30"/>
    <mergeCell ref="A31:B31"/>
    <mergeCell ref="C31:D31"/>
    <mergeCell ref="A26:B26"/>
    <mergeCell ref="C26:D26"/>
    <mergeCell ref="A27:B27"/>
    <mergeCell ref="C27:D27"/>
    <mergeCell ref="A28:B28"/>
    <mergeCell ref="C28:D28"/>
    <mergeCell ref="A23:B23"/>
    <mergeCell ref="C23:D23"/>
    <mergeCell ref="A24:B24"/>
    <mergeCell ref="C24:D24"/>
    <mergeCell ref="A25:B25"/>
    <mergeCell ref="C25:D25"/>
    <mergeCell ref="A20:B20"/>
    <mergeCell ref="C20:D20"/>
    <mergeCell ref="A21:B21"/>
    <mergeCell ref="C21:D21"/>
    <mergeCell ref="A22:B22"/>
    <mergeCell ref="C22:D22"/>
    <mergeCell ref="A17:B17"/>
    <mergeCell ref="C17:D17"/>
    <mergeCell ref="A18:B18"/>
    <mergeCell ref="C18:D18"/>
    <mergeCell ref="A19:B19"/>
    <mergeCell ref="C19:D19"/>
    <mergeCell ref="A14:B14"/>
    <mergeCell ref="C14:D14"/>
    <mergeCell ref="A15:B15"/>
    <mergeCell ref="C15:D15"/>
    <mergeCell ref="A16:B16"/>
    <mergeCell ref="C16:D16"/>
    <mergeCell ref="A11:B11"/>
    <mergeCell ref="C11:D11"/>
    <mergeCell ref="A12:B12"/>
    <mergeCell ref="C12:D12"/>
    <mergeCell ref="A13:B13"/>
    <mergeCell ref="C13:D13"/>
    <mergeCell ref="G2:G3"/>
    <mergeCell ref="G4:G5"/>
    <mergeCell ref="G6:G7"/>
    <mergeCell ref="G8:G9"/>
    <mergeCell ref="A10:B10"/>
    <mergeCell ref="C8:C9"/>
    <mergeCell ref="E2:E3"/>
    <mergeCell ref="E4:E5"/>
    <mergeCell ref="E6:E7"/>
    <mergeCell ref="E8:E9"/>
    <mergeCell ref="A1:G1"/>
    <mergeCell ref="A2:B3"/>
    <mergeCell ref="A4:B5"/>
    <mergeCell ref="A6:B7"/>
    <mergeCell ref="A8:B9"/>
    <mergeCell ref="D2:D3"/>
    <mergeCell ref="D4:D5"/>
    <mergeCell ref="D6:D7"/>
    <mergeCell ref="D8:D9"/>
    <mergeCell ref="F2:F3"/>
    <mergeCell ref="F4:F5"/>
    <mergeCell ref="F6:F7"/>
    <mergeCell ref="F8:F9"/>
    <mergeCell ref="C2:C3"/>
    <mergeCell ref="C4:C5"/>
    <mergeCell ref="C6:C7"/>
  </mergeCells>
  <pageMargins left="0.393999993801117" right="0.393999993801117" top="0.59100002050399802" bottom="0.59100002050399802"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selection activeCell="A37" sqref="A37:I37"/>
    </sheetView>
  </sheetViews>
  <sheetFormatPr defaultColWidth="12.140625" defaultRowHeight="15" customHeight="1" x14ac:dyDescent="0.25"/>
  <cols>
    <col min="1" max="1" width="9.140625" customWidth="1"/>
    <col min="2" max="2" width="12.85546875" customWidth="1"/>
    <col min="3" max="3" width="27.140625" customWidth="1"/>
    <col min="4" max="4" width="10" customWidth="1"/>
    <col min="5" max="5" width="14" customWidth="1"/>
    <col min="6" max="6" width="27.140625" customWidth="1"/>
    <col min="7" max="7" width="9.140625" customWidth="1"/>
    <col min="8" max="8" width="12.85546875" customWidth="1"/>
    <col min="9" max="9" width="27.140625" customWidth="1"/>
  </cols>
  <sheetData>
    <row r="1" spans="1:9" ht="54.75" customHeight="1" x14ac:dyDescent="0.25">
      <c r="A1" s="113" t="s">
        <v>732</v>
      </c>
      <c r="B1" s="75"/>
      <c r="C1" s="75"/>
      <c r="D1" s="75"/>
      <c r="E1" s="75"/>
      <c r="F1" s="75"/>
      <c r="G1" s="75"/>
      <c r="H1" s="75"/>
      <c r="I1" s="75"/>
    </row>
    <row r="2" spans="1:9" x14ac:dyDescent="0.25">
      <c r="A2" s="76" t="s">
        <v>1</v>
      </c>
      <c r="B2" s="77"/>
      <c r="C2" s="85" t="str">
        <f>'Stavební rozpočet'!C2</f>
        <v>UDRŽOVACÍ PRÁCE</v>
      </c>
      <c r="D2" s="86"/>
      <c r="E2" s="83" t="s">
        <v>5</v>
      </c>
      <c r="F2" s="83" t="str">
        <f>'Stavební rozpočet'!I2</f>
        <v>MĚSTO ČESKÁ LÍPA</v>
      </c>
      <c r="G2" s="77"/>
      <c r="H2" s="83" t="s">
        <v>733</v>
      </c>
      <c r="I2" s="88" t="s">
        <v>52</v>
      </c>
    </row>
    <row r="3" spans="1:9" ht="15" customHeight="1" x14ac:dyDescent="0.25">
      <c r="A3" s="78"/>
      <c r="B3" s="79"/>
      <c r="C3" s="87"/>
      <c r="D3" s="87"/>
      <c r="E3" s="79"/>
      <c r="F3" s="79"/>
      <c r="G3" s="79"/>
      <c r="H3" s="79"/>
      <c r="I3" s="89"/>
    </row>
    <row r="4" spans="1:9" x14ac:dyDescent="0.25">
      <c r="A4" s="80" t="s">
        <v>7</v>
      </c>
      <c r="B4" s="79"/>
      <c r="C4" s="84" t="str">
        <f>'Stavební rozpočet'!C4</f>
        <v>NA BYTU 1.N.P.</v>
      </c>
      <c r="D4" s="79"/>
      <c r="E4" s="84" t="s">
        <v>10</v>
      </c>
      <c r="F4" s="84" t="str">
        <f>'Stavební rozpočet'!I4</f>
        <v>ING.MARTIN PLESCHINGER</v>
      </c>
      <c r="G4" s="79"/>
      <c r="H4" s="84" t="s">
        <v>733</v>
      </c>
      <c r="I4" s="89" t="s">
        <v>52</v>
      </c>
    </row>
    <row r="5" spans="1:9" ht="15" customHeight="1" x14ac:dyDescent="0.25">
      <c r="A5" s="78"/>
      <c r="B5" s="79"/>
      <c r="C5" s="79"/>
      <c r="D5" s="79"/>
      <c r="E5" s="79"/>
      <c r="F5" s="79"/>
      <c r="G5" s="79"/>
      <c r="H5" s="79"/>
      <c r="I5" s="89"/>
    </row>
    <row r="6" spans="1:9" x14ac:dyDescent="0.25">
      <c r="A6" s="80" t="s">
        <v>12</v>
      </c>
      <c r="B6" s="79"/>
      <c r="C6" s="84" t="str">
        <f>'Stavební rozpočet'!C6</f>
        <v>ČESKÁ LÍPA,UL.5.KVĚTNA 1582</v>
      </c>
      <c r="D6" s="79"/>
      <c r="E6" s="84" t="s">
        <v>15</v>
      </c>
      <c r="F6" s="84" t="str">
        <f>'Stavební rozpočet'!I6</f>
        <v>BUDE VYBRÁN</v>
      </c>
      <c r="G6" s="79"/>
      <c r="H6" s="84" t="s">
        <v>733</v>
      </c>
      <c r="I6" s="89" t="s">
        <v>52</v>
      </c>
    </row>
    <row r="7" spans="1:9" ht="15" customHeight="1" x14ac:dyDescent="0.25">
      <c r="A7" s="78"/>
      <c r="B7" s="79"/>
      <c r="C7" s="79"/>
      <c r="D7" s="79"/>
      <c r="E7" s="79"/>
      <c r="F7" s="79"/>
      <c r="G7" s="79"/>
      <c r="H7" s="79"/>
      <c r="I7" s="89"/>
    </row>
    <row r="8" spans="1:9" x14ac:dyDescent="0.25">
      <c r="A8" s="80" t="s">
        <v>9</v>
      </c>
      <c r="B8" s="79"/>
      <c r="C8" s="84" t="str">
        <f>'Stavební rozpočet'!G4</f>
        <v xml:space="preserve"> </v>
      </c>
      <c r="D8" s="79"/>
      <c r="E8" s="84" t="s">
        <v>14</v>
      </c>
      <c r="F8" s="84" t="str">
        <f>'Stavební rozpočet'!G6</f>
        <v xml:space="preserve"> </v>
      </c>
      <c r="G8" s="79"/>
      <c r="H8" s="79" t="s">
        <v>734</v>
      </c>
      <c r="I8" s="115">
        <v>146</v>
      </c>
    </row>
    <row r="9" spans="1:9" x14ac:dyDescent="0.25">
      <c r="A9" s="78"/>
      <c r="B9" s="79"/>
      <c r="C9" s="79"/>
      <c r="D9" s="79"/>
      <c r="E9" s="79"/>
      <c r="F9" s="79"/>
      <c r="G9" s="79"/>
      <c r="H9" s="79"/>
      <c r="I9" s="89"/>
    </row>
    <row r="10" spans="1:9" x14ac:dyDescent="0.25">
      <c r="A10" s="80" t="s">
        <v>17</v>
      </c>
      <c r="B10" s="79"/>
      <c r="C10" s="84" t="str">
        <f>'Stavební rozpočet'!C8</f>
        <v xml:space="preserve"> </v>
      </c>
      <c r="D10" s="79"/>
      <c r="E10" s="84" t="s">
        <v>20</v>
      </c>
      <c r="F10" s="84" t="str">
        <f>'Stavební rozpočet'!I8</f>
        <v>IIČVDF</v>
      </c>
      <c r="G10" s="79"/>
      <c r="H10" s="79" t="s">
        <v>735</v>
      </c>
      <c r="I10" s="108" t="str">
        <f>'Stavební rozpočet'!G8</f>
        <v>03.02.2025</v>
      </c>
    </row>
    <row r="11" spans="1:9" x14ac:dyDescent="0.25">
      <c r="A11" s="114"/>
      <c r="B11" s="106"/>
      <c r="C11" s="106"/>
      <c r="D11" s="106"/>
      <c r="E11" s="106"/>
      <c r="F11" s="106"/>
      <c r="G11" s="106"/>
      <c r="H11" s="106"/>
      <c r="I11" s="116"/>
    </row>
    <row r="12" spans="1:9" ht="23.25" x14ac:dyDescent="0.25">
      <c r="A12" s="117" t="s">
        <v>736</v>
      </c>
      <c r="B12" s="117"/>
      <c r="C12" s="117"/>
      <c r="D12" s="117"/>
      <c r="E12" s="117"/>
      <c r="F12" s="117"/>
      <c r="G12" s="117"/>
      <c r="H12" s="117"/>
      <c r="I12" s="117"/>
    </row>
    <row r="13" spans="1:9" ht="26.25" customHeight="1" x14ac:dyDescent="0.25">
      <c r="A13" s="53" t="s">
        <v>737</v>
      </c>
      <c r="B13" s="118" t="s">
        <v>738</v>
      </c>
      <c r="C13" s="119"/>
      <c r="D13" s="54" t="s">
        <v>739</v>
      </c>
      <c r="E13" s="118" t="s">
        <v>740</v>
      </c>
      <c r="F13" s="119"/>
      <c r="G13" s="54" t="s">
        <v>741</v>
      </c>
      <c r="H13" s="118" t="s">
        <v>742</v>
      </c>
      <c r="I13" s="119"/>
    </row>
    <row r="14" spans="1:9" ht="15.75" x14ac:dyDescent="0.25">
      <c r="A14" s="55" t="s">
        <v>743</v>
      </c>
      <c r="B14" s="56" t="s">
        <v>744</v>
      </c>
      <c r="C14" s="57">
        <f>SUM('Stavební rozpočet'!AB12:AB826)</f>
        <v>0</v>
      </c>
      <c r="D14" s="126" t="s">
        <v>745</v>
      </c>
      <c r="E14" s="127"/>
      <c r="F14" s="57">
        <f>VORN!I15</f>
        <v>0</v>
      </c>
      <c r="G14" s="126" t="s">
        <v>704</v>
      </c>
      <c r="H14" s="127"/>
      <c r="I14" s="58">
        <f>VORN!I21</f>
        <v>0</v>
      </c>
    </row>
    <row r="15" spans="1:9" ht="15.75" x14ac:dyDescent="0.25">
      <c r="A15" s="59" t="s">
        <v>52</v>
      </c>
      <c r="B15" s="56" t="s">
        <v>37</v>
      </c>
      <c r="C15" s="57">
        <f>SUM('Stavební rozpočet'!AC12:AC826)</f>
        <v>0</v>
      </c>
      <c r="D15" s="126" t="s">
        <v>746</v>
      </c>
      <c r="E15" s="127"/>
      <c r="F15" s="57">
        <f>VORN!I16</f>
        <v>0</v>
      </c>
      <c r="G15" s="126" t="s">
        <v>747</v>
      </c>
      <c r="H15" s="127"/>
      <c r="I15" s="58">
        <f>VORN!I22</f>
        <v>0</v>
      </c>
    </row>
    <row r="16" spans="1:9" ht="15.75" x14ac:dyDescent="0.25">
      <c r="A16" s="55" t="s">
        <v>748</v>
      </c>
      <c r="B16" s="56" t="s">
        <v>744</v>
      </c>
      <c r="C16" s="57">
        <f>SUM('Stavební rozpočet'!AD12:AD826)</f>
        <v>0</v>
      </c>
      <c r="D16" s="126" t="s">
        <v>749</v>
      </c>
      <c r="E16" s="127"/>
      <c r="F16" s="57">
        <f>VORN!I17</f>
        <v>0</v>
      </c>
      <c r="G16" s="126" t="s">
        <v>750</v>
      </c>
      <c r="H16" s="127"/>
      <c r="I16" s="58">
        <f>VORN!I23</f>
        <v>0</v>
      </c>
    </row>
    <row r="17" spans="1:9" ht="15.75" x14ac:dyDescent="0.25">
      <c r="A17" s="59" t="s">
        <v>52</v>
      </c>
      <c r="B17" s="56" t="s">
        <v>37</v>
      </c>
      <c r="C17" s="57">
        <f>SUM('Stavební rozpočet'!AE12:AE826)</f>
        <v>0</v>
      </c>
      <c r="D17" s="126" t="s">
        <v>52</v>
      </c>
      <c r="E17" s="127"/>
      <c r="F17" s="58" t="s">
        <v>52</v>
      </c>
      <c r="G17" s="126" t="s">
        <v>751</v>
      </c>
      <c r="H17" s="127"/>
      <c r="I17" s="58">
        <f>VORN!I24</f>
        <v>0</v>
      </c>
    </row>
    <row r="18" spans="1:9" ht="15.75" x14ac:dyDescent="0.25">
      <c r="A18" s="55" t="s">
        <v>752</v>
      </c>
      <c r="B18" s="56" t="s">
        <v>744</v>
      </c>
      <c r="C18" s="57">
        <f>SUM('Stavební rozpočet'!AF12:AF826)</f>
        <v>0</v>
      </c>
      <c r="D18" s="126" t="s">
        <v>52</v>
      </c>
      <c r="E18" s="127"/>
      <c r="F18" s="58" t="s">
        <v>52</v>
      </c>
      <c r="G18" s="126" t="s">
        <v>753</v>
      </c>
      <c r="H18" s="127"/>
      <c r="I18" s="58">
        <f>VORN!I25</f>
        <v>0</v>
      </c>
    </row>
    <row r="19" spans="1:9" ht="15.75" x14ac:dyDescent="0.25">
      <c r="A19" s="59" t="s">
        <v>52</v>
      </c>
      <c r="B19" s="56" t="s">
        <v>37</v>
      </c>
      <c r="C19" s="57">
        <f>SUM('Stavební rozpočet'!AG12:AG826)</f>
        <v>0</v>
      </c>
      <c r="D19" s="126" t="s">
        <v>52</v>
      </c>
      <c r="E19" s="127"/>
      <c r="F19" s="58" t="s">
        <v>52</v>
      </c>
      <c r="G19" s="126" t="s">
        <v>754</v>
      </c>
      <c r="H19" s="127"/>
      <c r="I19" s="58">
        <f>VORN!I26</f>
        <v>0</v>
      </c>
    </row>
    <row r="20" spans="1:9" ht="15.75" x14ac:dyDescent="0.25">
      <c r="A20" s="120" t="s">
        <v>755</v>
      </c>
      <c r="B20" s="121"/>
      <c r="C20" s="57">
        <f>SUM('Stavební rozpočet'!AH12:AH826)</f>
        <v>0</v>
      </c>
      <c r="D20" s="126" t="s">
        <v>52</v>
      </c>
      <c r="E20" s="127"/>
      <c r="F20" s="58" t="s">
        <v>52</v>
      </c>
      <c r="G20" s="126" t="s">
        <v>52</v>
      </c>
      <c r="H20" s="127"/>
      <c r="I20" s="58" t="s">
        <v>52</v>
      </c>
    </row>
    <row r="21" spans="1:9" ht="15.75" x14ac:dyDescent="0.25">
      <c r="A21" s="122" t="s">
        <v>756</v>
      </c>
      <c r="B21" s="123"/>
      <c r="C21" s="60">
        <f>SUM('Stavební rozpočet'!Z12:Z826)</f>
        <v>0</v>
      </c>
      <c r="D21" s="128" t="s">
        <v>52</v>
      </c>
      <c r="E21" s="129"/>
      <c r="F21" s="61" t="s">
        <v>52</v>
      </c>
      <c r="G21" s="128" t="s">
        <v>52</v>
      </c>
      <c r="H21" s="129"/>
      <c r="I21" s="61" t="s">
        <v>52</v>
      </c>
    </row>
    <row r="22" spans="1:9" ht="16.5" customHeight="1" x14ac:dyDescent="0.25">
      <c r="A22" s="124" t="s">
        <v>757</v>
      </c>
      <c r="B22" s="125"/>
      <c r="C22" s="62">
        <f>ROUND(SUM(C14:C21),2)</f>
        <v>0</v>
      </c>
      <c r="D22" s="130" t="s">
        <v>758</v>
      </c>
      <c r="E22" s="125"/>
      <c r="F22" s="62">
        <f>SUM(F14:F21)</f>
        <v>0</v>
      </c>
      <c r="G22" s="130" t="s">
        <v>759</v>
      </c>
      <c r="H22" s="125"/>
      <c r="I22" s="62">
        <f>SUM(I14:I21)</f>
        <v>0</v>
      </c>
    </row>
    <row r="23" spans="1:9" ht="15.75" x14ac:dyDescent="0.25">
      <c r="D23" s="120" t="s">
        <v>760</v>
      </c>
      <c r="E23" s="121"/>
      <c r="F23" s="63">
        <v>0</v>
      </c>
      <c r="G23" s="131" t="s">
        <v>761</v>
      </c>
      <c r="H23" s="121"/>
      <c r="I23" s="57">
        <v>0</v>
      </c>
    </row>
    <row r="24" spans="1:9" ht="15.75" x14ac:dyDescent="0.25">
      <c r="G24" s="120" t="s">
        <v>762</v>
      </c>
      <c r="H24" s="121"/>
      <c r="I24" s="60">
        <f>vorn_sum</f>
        <v>0</v>
      </c>
    </row>
    <row r="25" spans="1:9" ht="15.75" x14ac:dyDescent="0.25">
      <c r="G25" s="120" t="s">
        <v>763</v>
      </c>
      <c r="H25" s="121"/>
      <c r="I25" s="62">
        <v>0</v>
      </c>
    </row>
    <row r="27" spans="1:9" ht="15.75" x14ac:dyDescent="0.25">
      <c r="A27" s="132" t="s">
        <v>764</v>
      </c>
      <c r="B27" s="133"/>
      <c r="C27" s="64">
        <f>ROUND(SUM('Stavební rozpočet'!AJ12:AJ826),2)</f>
        <v>0</v>
      </c>
    </row>
    <row r="28" spans="1:9" ht="15.75" x14ac:dyDescent="0.25">
      <c r="A28" s="134" t="s">
        <v>765</v>
      </c>
      <c r="B28" s="135"/>
      <c r="C28" s="65">
        <f>ROUND(SUM('Stavební rozpočet'!AK12:AK826),2)</f>
        <v>0</v>
      </c>
      <c r="D28" s="136" t="s">
        <v>766</v>
      </c>
      <c r="E28" s="133"/>
      <c r="F28" s="64">
        <f>ROUND(C28*(12/100),2)</f>
        <v>0</v>
      </c>
      <c r="G28" s="136" t="s">
        <v>767</v>
      </c>
      <c r="H28" s="133"/>
      <c r="I28" s="64">
        <f>ROUND(SUM(C27:C29),2)</f>
        <v>0</v>
      </c>
    </row>
    <row r="29" spans="1:9" ht="15.75" x14ac:dyDescent="0.25">
      <c r="A29" s="134" t="s">
        <v>768</v>
      </c>
      <c r="B29" s="135"/>
      <c r="C29" s="65">
        <f>ROUND(SUM('Stavební rozpočet'!AL12:AL826),2)</f>
        <v>0</v>
      </c>
      <c r="D29" s="137" t="s">
        <v>769</v>
      </c>
      <c r="E29" s="135"/>
      <c r="F29" s="65">
        <f>ROUND(C29*(21/100),2)</f>
        <v>0</v>
      </c>
      <c r="G29" s="137" t="s">
        <v>770</v>
      </c>
      <c r="H29" s="135"/>
      <c r="I29" s="65">
        <f>ROUND(SUM(F28:F29)+I28,2)</f>
        <v>0</v>
      </c>
    </row>
    <row r="31" spans="1:9" x14ac:dyDescent="0.25">
      <c r="A31" s="138" t="s">
        <v>771</v>
      </c>
      <c r="B31" s="139"/>
      <c r="C31" s="140"/>
      <c r="D31" s="147" t="s">
        <v>772</v>
      </c>
      <c r="E31" s="139"/>
      <c r="F31" s="140"/>
      <c r="G31" s="147" t="s">
        <v>773</v>
      </c>
      <c r="H31" s="139"/>
      <c r="I31" s="140"/>
    </row>
    <row r="32" spans="1:9" x14ac:dyDescent="0.25">
      <c r="A32" s="141" t="s">
        <v>52</v>
      </c>
      <c r="B32" s="142"/>
      <c r="C32" s="143"/>
      <c r="D32" s="148" t="s">
        <v>52</v>
      </c>
      <c r="E32" s="142"/>
      <c r="F32" s="143"/>
      <c r="G32" s="148" t="s">
        <v>52</v>
      </c>
      <c r="H32" s="142"/>
      <c r="I32" s="143"/>
    </row>
    <row r="33" spans="1:9" x14ac:dyDescent="0.25">
      <c r="A33" s="141" t="s">
        <v>52</v>
      </c>
      <c r="B33" s="142"/>
      <c r="C33" s="143"/>
      <c r="D33" s="148" t="s">
        <v>52</v>
      </c>
      <c r="E33" s="142"/>
      <c r="F33" s="143"/>
      <c r="G33" s="148" t="s">
        <v>52</v>
      </c>
      <c r="H33" s="142"/>
      <c r="I33" s="143"/>
    </row>
    <row r="34" spans="1:9" x14ac:dyDescent="0.25">
      <c r="A34" s="141" t="s">
        <v>52</v>
      </c>
      <c r="B34" s="142"/>
      <c r="C34" s="143"/>
      <c r="D34" s="148" t="s">
        <v>52</v>
      </c>
      <c r="E34" s="142"/>
      <c r="F34" s="143"/>
      <c r="G34" s="148" t="s">
        <v>52</v>
      </c>
      <c r="H34" s="142"/>
      <c r="I34" s="143"/>
    </row>
    <row r="35" spans="1:9" x14ac:dyDescent="0.25">
      <c r="A35" s="144" t="s">
        <v>774</v>
      </c>
      <c r="B35" s="145"/>
      <c r="C35" s="146"/>
      <c r="D35" s="149" t="s">
        <v>774</v>
      </c>
      <c r="E35" s="145"/>
      <c r="F35" s="146"/>
      <c r="G35" s="149" t="s">
        <v>774</v>
      </c>
      <c r="H35" s="145"/>
      <c r="I35" s="146"/>
    </row>
    <row r="36" spans="1:9" x14ac:dyDescent="0.25">
      <c r="A36" s="66" t="s">
        <v>725</v>
      </c>
    </row>
    <row r="37" spans="1:9" ht="12.75" customHeight="1" x14ac:dyDescent="0.25">
      <c r="A37" s="84" t="s">
        <v>52</v>
      </c>
      <c r="B37" s="79"/>
      <c r="C37" s="79"/>
      <c r="D37" s="79"/>
      <c r="E37" s="79"/>
      <c r="F37" s="79"/>
      <c r="G37" s="79"/>
      <c r="H37" s="79"/>
      <c r="I37" s="79"/>
    </row>
  </sheetData>
  <mergeCells count="83">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H2:H3"/>
    <mergeCell ref="H4:H5"/>
    <mergeCell ref="H6:H7"/>
    <mergeCell ref="H8:H9"/>
    <mergeCell ref="H10:H11"/>
    <mergeCell ref="A10:B11"/>
    <mergeCell ref="E2:E3"/>
    <mergeCell ref="E4:E5"/>
    <mergeCell ref="E6:E7"/>
    <mergeCell ref="E8:E9"/>
    <mergeCell ref="E10:E11"/>
    <mergeCell ref="C2:D3"/>
    <mergeCell ref="C4:D5"/>
    <mergeCell ref="C6:D7"/>
    <mergeCell ref="C8:D9"/>
    <mergeCell ref="C10:D11"/>
    <mergeCell ref="A1:I1"/>
    <mergeCell ref="A2:B3"/>
    <mergeCell ref="A4:B5"/>
    <mergeCell ref="A6:B7"/>
    <mergeCell ref="A8:B9"/>
    <mergeCell ref="F2:G3"/>
    <mergeCell ref="F4:G5"/>
    <mergeCell ref="F6:G7"/>
    <mergeCell ref="F8:G9"/>
    <mergeCell ref="I2:I3"/>
    <mergeCell ref="I4:I5"/>
    <mergeCell ref="I6:I7"/>
    <mergeCell ref="I8:I9"/>
  </mergeCells>
  <pageMargins left="0.393999993801117" right="0.393999993801117" top="0.59100002050399802" bottom="0.59100002050399802"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selection activeCell="A45" sqref="A45:E45"/>
    </sheetView>
  </sheetViews>
  <sheetFormatPr defaultColWidth="12.140625" defaultRowHeight="15" customHeight="1" x14ac:dyDescent="0.25"/>
  <cols>
    <col min="1" max="1" width="9.140625" customWidth="1"/>
    <col min="2" max="2" width="12.85546875" customWidth="1"/>
    <col min="3" max="3" width="22.85546875" customWidth="1"/>
    <col min="4" max="4" width="10" customWidth="1"/>
    <col min="5" max="5" width="14" customWidth="1"/>
    <col min="6" max="6" width="22.85546875" customWidth="1"/>
    <col min="7" max="7" width="9.140625" customWidth="1"/>
    <col min="8" max="8" width="17.140625" customWidth="1"/>
    <col min="9" max="9" width="22.85546875" customWidth="1"/>
  </cols>
  <sheetData>
    <row r="1" spans="1:9" ht="54.75" customHeight="1" x14ac:dyDescent="0.25">
      <c r="A1" s="113" t="s">
        <v>702</v>
      </c>
      <c r="B1" s="75"/>
      <c r="C1" s="75"/>
      <c r="D1" s="75"/>
      <c r="E1" s="75"/>
      <c r="F1" s="75"/>
      <c r="G1" s="75"/>
      <c r="H1" s="75"/>
      <c r="I1" s="75"/>
    </row>
    <row r="2" spans="1:9" x14ac:dyDescent="0.25">
      <c r="A2" s="76" t="s">
        <v>1</v>
      </c>
      <c r="B2" s="77"/>
      <c r="C2" s="85" t="str">
        <f>'Stavební rozpočet'!C2</f>
        <v>UDRŽOVACÍ PRÁCE</v>
      </c>
      <c r="D2" s="86"/>
      <c r="E2" s="83" t="s">
        <v>5</v>
      </c>
      <c r="F2" s="83" t="str">
        <f>'Stavební rozpočet'!I2</f>
        <v>MĚSTO ČESKÁ LÍPA</v>
      </c>
      <c r="G2" s="77"/>
      <c r="H2" s="83" t="s">
        <v>733</v>
      </c>
      <c r="I2" s="88" t="s">
        <v>52</v>
      </c>
    </row>
    <row r="3" spans="1:9" ht="15" customHeight="1" x14ac:dyDescent="0.25">
      <c r="A3" s="78"/>
      <c r="B3" s="79"/>
      <c r="C3" s="87"/>
      <c r="D3" s="87"/>
      <c r="E3" s="79"/>
      <c r="F3" s="79"/>
      <c r="G3" s="79"/>
      <c r="H3" s="79"/>
      <c r="I3" s="89"/>
    </row>
    <row r="4" spans="1:9" x14ac:dyDescent="0.25">
      <c r="A4" s="80" t="s">
        <v>7</v>
      </c>
      <c r="B4" s="79"/>
      <c r="C4" s="84" t="str">
        <f>'Stavební rozpočet'!C4</f>
        <v>NA BYTU 1.N.P.</v>
      </c>
      <c r="D4" s="79"/>
      <c r="E4" s="84" t="s">
        <v>10</v>
      </c>
      <c r="F4" s="84" t="str">
        <f>'Stavební rozpočet'!I4</f>
        <v>ING.MARTIN PLESCHINGER</v>
      </c>
      <c r="G4" s="79"/>
      <c r="H4" s="84" t="s">
        <v>733</v>
      </c>
      <c r="I4" s="89" t="s">
        <v>52</v>
      </c>
    </row>
    <row r="5" spans="1:9" ht="15" customHeight="1" x14ac:dyDescent="0.25">
      <c r="A5" s="78"/>
      <c r="B5" s="79"/>
      <c r="C5" s="79"/>
      <c r="D5" s="79"/>
      <c r="E5" s="79"/>
      <c r="F5" s="79"/>
      <c r="G5" s="79"/>
      <c r="H5" s="79"/>
      <c r="I5" s="89"/>
    </row>
    <row r="6" spans="1:9" x14ac:dyDescent="0.25">
      <c r="A6" s="80" t="s">
        <v>12</v>
      </c>
      <c r="B6" s="79"/>
      <c r="C6" s="84" t="str">
        <f>'Stavební rozpočet'!C6</f>
        <v>ČESKÁ LÍPA,UL.5.KVĚTNA 1582</v>
      </c>
      <c r="D6" s="79"/>
      <c r="E6" s="84" t="s">
        <v>15</v>
      </c>
      <c r="F6" s="84" t="str">
        <f>'Stavební rozpočet'!I6</f>
        <v>BUDE VYBRÁN</v>
      </c>
      <c r="G6" s="79"/>
      <c r="H6" s="84" t="s">
        <v>733</v>
      </c>
      <c r="I6" s="89" t="s">
        <v>52</v>
      </c>
    </row>
    <row r="7" spans="1:9" ht="15" customHeight="1" x14ac:dyDescent="0.25">
      <c r="A7" s="78"/>
      <c r="B7" s="79"/>
      <c r="C7" s="79"/>
      <c r="D7" s="79"/>
      <c r="E7" s="79"/>
      <c r="F7" s="79"/>
      <c r="G7" s="79"/>
      <c r="H7" s="79"/>
      <c r="I7" s="89"/>
    </row>
    <row r="8" spans="1:9" x14ac:dyDescent="0.25">
      <c r="A8" s="80" t="s">
        <v>9</v>
      </c>
      <c r="B8" s="79"/>
      <c r="C8" s="84" t="str">
        <f>'Stavební rozpočet'!G4</f>
        <v xml:space="preserve"> </v>
      </c>
      <c r="D8" s="79"/>
      <c r="E8" s="84" t="s">
        <v>14</v>
      </c>
      <c r="F8" s="84" t="str">
        <f>'Stavební rozpočet'!G6</f>
        <v xml:space="preserve"> </v>
      </c>
      <c r="G8" s="79"/>
      <c r="H8" s="79" t="s">
        <v>734</v>
      </c>
      <c r="I8" s="115">
        <v>146</v>
      </c>
    </row>
    <row r="9" spans="1:9" x14ac:dyDescent="0.25">
      <c r="A9" s="78"/>
      <c r="B9" s="79"/>
      <c r="C9" s="79"/>
      <c r="D9" s="79"/>
      <c r="E9" s="79"/>
      <c r="F9" s="79"/>
      <c r="G9" s="79"/>
      <c r="H9" s="79"/>
      <c r="I9" s="89"/>
    </row>
    <row r="10" spans="1:9" x14ac:dyDescent="0.25">
      <c r="A10" s="80" t="s">
        <v>17</v>
      </c>
      <c r="B10" s="79"/>
      <c r="C10" s="84" t="str">
        <f>'Stavební rozpočet'!C8</f>
        <v xml:space="preserve"> </v>
      </c>
      <c r="D10" s="79"/>
      <c r="E10" s="84" t="s">
        <v>20</v>
      </c>
      <c r="F10" s="84" t="str">
        <f>'Stavební rozpočet'!I8</f>
        <v>IIČVDF</v>
      </c>
      <c r="G10" s="79"/>
      <c r="H10" s="79" t="s">
        <v>735</v>
      </c>
      <c r="I10" s="108" t="str">
        <f>'Stavební rozpočet'!G8</f>
        <v>03.02.2025</v>
      </c>
    </row>
    <row r="11" spans="1:9" x14ac:dyDescent="0.25">
      <c r="A11" s="114"/>
      <c r="B11" s="106"/>
      <c r="C11" s="106"/>
      <c r="D11" s="106"/>
      <c r="E11" s="106"/>
      <c r="F11" s="106"/>
      <c r="G11" s="106"/>
      <c r="H11" s="106"/>
      <c r="I11" s="116"/>
    </row>
    <row r="13" spans="1:9" ht="15.75" x14ac:dyDescent="0.25">
      <c r="A13" s="150" t="s">
        <v>775</v>
      </c>
      <c r="B13" s="150"/>
      <c r="C13" s="150"/>
      <c r="D13" s="150"/>
      <c r="E13" s="150"/>
    </row>
    <row r="14" spans="1:9" x14ac:dyDescent="0.25">
      <c r="A14" s="151" t="s">
        <v>776</v>
      </c>
      <c r="B14" s="152"/>
      <c r="C14" s="152"/>
      <c r="D14" s="152"/>
      <c r="E14" s="153"/>
      <c r="F14" s="67" t="s">
        <v>777</v>
      </c>
      <c r="G14" s="67" t="s">
        <v>707</v>
      </c>
      <c r="H14" s="67" t="s">
        <v>778</v>
      </c>
      <c r="I14" s="67" t="s">
        <v>777</v>
      </c>
    </row>
    <row r="15" spans="1:9" x14ac:dyDescent="0.25">
      <c r="A15" s="154" t="s">
        <v>745</v>
      </c>
      <c r="B15" s="155"/>
      <c r="C15" s="155"/>
      <c r="D15" s="155"/>
      <c r="E15" s="156"/>
      <c r="F15" s="68">
        <v>0</v>
      </c>
      <c r="G15" s="69" t="s">
        <v>52</v>
      </c>
      <c r="H15" s="69" t="s">
        <v>52</v>
      </c>
      <c r="I15" s="68">
        <f>F15</f>
        <v>0</v>
      </c>
    </row>
    <row r="16" spans="1:9" x14ac:dyDescent="0.25">
      <c r="A16" s="154" t="s">
        <v>746</v>
      </c>
      <c r="B16" s="155"/>
      <c r="C16" s="155"/>
      <c r="D16" s="155"/>
      <c r="E16" s="156"/>
      <c r="F16" s="68">
        <v>0</v>
      </c>
      <c r="G16" s="69" t="s">
        <v>52</v>
      </c>
      <c r="H16" s="69" t="s">
        <v>52</v>
      </c>
      <c r="I16" s="68">
        <f>F16</f>
        <v>0</v>
      </c>
    </row>
    <row r="17" spans="1:9" x14ac:dyDescent="0.25">
      <c r="A17" s="157" t="s">
        <v>749</v>
      </c>
      <c r="B17" s="158"/>
      <c r="C17" s="158"/>
      <c r="D17" s="158"/>
      <c r="E17" s="159"/>
      <c r="F17" s="70">
        <v>0</v>
      </c>
      <c r="G17" s="71" t="s">
        <v>52</v>
      </c>
      <c r="H17" s="71" t="s">
        <v>52</v>
      </c>
      <c r="I17" s="70">
        <f>F17</f>
        <v>0</v>
      </c>
    </row>
    <row r="18" spans="1:9" x14ac:dyDescent="0.25">
      <c r="A18" s="109" t="s">
        <v>779</v>
      </c>
      <c r="B18" s="160"/>
      <c r="C18" s="160"/>
      <c r="D18" s="160"/>
      <c r="E18" s="161"/>
      <c r="F18" s="72" t="s">
        <v>52</v>
      </c>
      <c r="G18" s="73" t="s">
        <v>52</v>
      </c>
      <c r="H18" s="73" t="s">
        <v>52</v>
      </c>
      <c r="I18" s="74">
        <f>SUM(I15:I17)</f>
        <v>0</v>
      </c>
    </row>
    <row r="20" spans="1:9" x14ac:dyDescent="0.25">
      <c r="A20" s="151" t="s">
        <v>742</v>
      </c>
      <c r="B20" s="152"/>
      <c r="C20" s="152"/>
      <c r="D20" s="152"/>
      <c r="E20" s="153"/>
      <c r="F20" s="67" t="s">
        <v>777</v>
      </c>
      <c r="G20" s="67" t="s">
        <v>707</v>
      </c>
      <c r="H20" s="67" t="s">
        <v>778</v>
      </c>
      <c r="I20" s="67" t="s">
        <v>777</v>
      </c>
    </row>
    <row r="21" spans="1:9" x14ac:dyDescent="0.25">
      <c r="A21" s="154" t="s">
        <v>704</v>
      </c>
      <c r="B21" s="155"/>
      <c r="C21" s="155"/>
      <c r="D21" s="155"/>
      <c r="E21" s="156"/>
      <c r="F21" s="68">
        <v>0</v>
      </c>
      <c r="G21" s="69" t="s">
        <v>52</v>
      </c>
      <c r="H21" s="69" t="s">
        <v>52</v>
      </c>
      <c r="I21" s="68">
        <f t="shared" ref="I21:I26" si="0">F21</f>
        <v>0</v>
      </c>
    </row>
    <row r="22" spans="1:9" x14ac:dyDescent="0.25">
      <c r="A22" s="154" t="s">
        <v>747</v>
      </c>
      <c r="B22" s="155"/>
      <c r="C22" s="155"/>
      <c r="D22" s="155"/>
      <c r="E22" s="156"/>
      <c r="F22" s="68">
        <v>0</v>
      </c>
      <c r="G22" s="69" t="s">
        <v>52</v>
      </c>
      <c r="H22" s="69" t="s">
        <v>52</v>
      </c>
      <c r="I22" s="68">
        <f t="shared" si="0"/>
        <v>0</v>
      </c>
    </row>
    <row r="23" spans="1:9" x14ac:dyDescent="0.25">
      <c r="A23" s="154" t="s">
        <v>750</v>
      </c>
      <c r="B23" s="155"/>
      <c r="C23" s="155"/>
      <c r="D23" s="155"/>
      <c r="E23" s="156"/>
      <c r="F23" s="68">
        <v>0</v>
      </c>
      <c r="G23" s="69" t="s">
        <v>52</v>
      </c>
      <c r="H23" s="69" t="s">
        <v>52</v>
      </c>
      <c r="I23" s="68">
        <f t="shared" si="0"/>
        <v>0</v>
      </c>
    </row>
    <row r="24" spans="1:9" x14ac:dyDescent="0.25">
      <c r="A24" s="154" t="s">
        <v>751</v>
      </c>
      <c r="B24" s="155"/>
      <c r="C24" s="155"/>
      <c r="D24" s="155"/>
      <c r="E24" s="156"/>
      <c r="F24" s="68">
        <v>0</v>
      </c>
      <c r="G24" s="69" t="s">
        <v>52</v>
      </c>
      <c r="H24" s="69" t="s">
        <v>52</v>
      </c>
      <c r="I24" s="68">
        <f t="shared" si="0"/>
        <v>0</v>
      </c>
    </row>
    <row r="25" spans="1:9" x14ac:dyDescent="0.25">
      <c r="A25" s="154" t="s">
        <v>753</v>
      </c>
      <c r="B25" s="155"/>
      <c r="C25" s="155"/>
      <c r="D25" s="155"/>
      <c r="E25" s="156"/>
      <c r="F25" s="68">
        <v>0</v>
      </c>
      <c r="G25" s="69" t="s">
        <v>52</v>
      </c>
      <c r="H25" s="69" t="s">
        <v>52</v>
      </c>
      <c r="I25" s="68">
        <f t="shared" si="0"/>
        <v>0</v>
      </c>
    </row>
    <row r="26" spans="1:9" x14ac:dyDescent="0.25">
      <c r="A26" s="157" t="s">
        <v>754</v>
      </c>
      <c r="B26" s="158"/>
      <c r="C26" s="158"/>
      <c r="D26" s="158"/>
      <c r="E26" s="159"/>
      <c r="F26" s="70">
        <v>0</v>
      </c>
      <c r="G26" s="71" t="s">
        <v>52</v>
      </c>
      <c r="H26" s="71" t="s">
        <v>52</v>
      </c>
      <c r="I26" s="70">
        <f t="shared" si="0"/>
        <v>0</v>
      </c>
    </row>
    <row r="27" spans="1:9" x14ac:dyDescent="0.25">
      <c r="A27" s="109" t="s">
        <v>780</v>
      </c>
      <c r="B27" s="160"/>
      <c r="C27" s="160"/>
      <c r="D27" s="160"/>
      <c r="E27" s="161"/>
      <c r="F27" s="72" t="s">
        <v>52</v>
      </c>
      <c r="G27" s="73" t="s">
        <v>52</v>
      </c>
      <c r="H27" s="73" t="s">
        <v>52</v>
      </c>
      <c r="I27" s="74">
        <f>SUM(I21:I26)</f>
        <v>0</v>
      </c>
    </row>
    <row r="29" spans="1:9" ht="15.75" x14ac:dyDescent="0.25">
      <c r="A29" s="162" t="s">
        <v>781</v>
      </c>
      <c r="B29" s="163"/>
      <c r="C29" s="163"/>
      <c r="D29" s="163"/>
      <c r="E29" s="164"/>
      <c r="F29" s="165">
        <f>I18+I27</f>
        <v>0</v>
      </c>
      <c r="G29" s="166"/>
      <c r="H29" s="166"/>
      <c r="I29" s="167"/>
    </row>
    <row r="33" spans="1:9" ht="15.75" x14ac:dyDescent="0.25">
      <c r="A33" s="150" t="s">
        <v>782</v>
      </c>
      <c r="B33" s="150"/>
      <c r="C33" s="150"/>
      <c r="D33" s="150"/>
      <c r="E33" s="150"/>
    </row>
    <row r="34" spans="1:9" x14ac:dyDescent="0.25">
      <c r="A34" s="151" t="s">
        <v>783</v>
      </c>
      <c r="B34" s="152"/>
      <c r="C34" s="152"/>
      <c r="D34" s="152"/>
      <c r="E34" s="153"/>
      <c r="F34" s="67" t="s">
        <v>777</v>
      </c>
      <c r="G34" s="67" t="s">
        <v>707</v>
      </c>
      <c r="H34" s="67" t="s">
        <v>778</v>
      </c>
      <c r="I34" s="67" t="s">
        <v>777</v>
      </c>
    </row>
    <row r="35" spans="1:9" x14ac:dyDescent="0.25">
      <c r="A35" s="154" t="s">
        <v>784</v>
      </c>
      <c r="B35" s="155"/>
      <c r="C35" s="155"/>
      <c r="D35" s="155"/>
      <c r="E35" s="156"/>
      <c r="F35" s="68">
        <f>SUM('Stavební rozpočet'!BM12:BM826)</f>
        <v>0</v>
      </c>
      <c r="G35" s="69" t="s">
        <v>52</v>
      </c>
      <c r="H35" s="69" t="s">
        <v>52</v>
      </c>
      <c r="I35" s="68">
        <f t="shared" ref="I35:I44" si="1">F35</f>
        <v>0</v>
      </c>
    </row>
    <row r="36" spans="1:9" x14ac:dyDescent="0.25">
      <c r="A36" s="154" t="s">
        <v>785</v>
      </c>
      <c r="B36" s="155"/>
      <c r="C36" s="155"/>
      <c r="D36" s="155"/>
      <c r="E36" s="156"/>
      <c r="F36" s="68">
        <f>SUM('Stavební rozpočet'!BN12:BN826)</f>
        <v>0</v>
      </c>
      <c r="G36" s="69" t="s">
        <v>52</v>
      </c>
      <c r="H36" s="69" t="s">
        <v>52</v>
      </c>
      <c r="I36" s="68">
        <f t="shared" si="1"/>
        <v>0</v>
      </c>
    </row>
    <row r="37" spans="1:9" x14ac:dyDescent="0.25">
      <c r="A37" s="154" t="s">
        <v>704</v>
      </c>
      <c r="B37" s="155"/>
      <c r="C37" s="155"/>
      <c r="D37" s="155"/>
      <c r="E37" s="156"/>
      <c r="F37" s="68">
        <f>SUM('Stavební rozpočet'!BO12:BO826)</f>
        <v>0</v>
      </c>
      <c r="G37" s="69" t="s">
        <v>52</v>
      </c>
      <c r="H37" s="69" t="s">
        <v>52</v>
      </c>
      <c r="I37" s="68">
        <f t="shared" si="1"/>
        <v>0</v>
      </c>
    </row>
    <row r="38" spans="1:9" x14ac:dyDescent="0.25">
      <c r="A38" s="154" t="s">
        <v>712</v>
      </c>
      <c r="B38" s="155"/>
      <c r="C38" s="155"/>
      <c r="D38" s="155"/>
      <c r="E38" s="156"/>
      <c r="F38" s="68">
        <f>SUM('Stavební rozpočet'!BP12:BP826)</f>
        <v>0</v>
      </c>
      <c r="G38" s="69" t="s">
        <v>52</v>
      </c>
      <c r="H38" s="69" t="s">
        <v>52</v>
      </c>
      <c r="I38" s="68">
        <f t="shared" si="1"/>
        <v>0</v>
      </c>
    </row>
    <row r="39" spans="1:9" x14ac:dyDescent="0.25">
      <c r="A39" s="154" t="s">
        <v>719</v>
      </c>
      <c r="B39" s="155"/>
      <c r="C39" s="155"/>
      <c r="D39" s="155"/>
      <c r="E39" s="156"/>
      <c r="F39" s="68">
        <f>SUM('Stavební rozpočet'!BQ12:BQ826)</f>
        <v>0</v>
      </c>
      <c r="G39" s="69" t="s">
        <v>52</v>
      </c>
      <c r="H39" s="69" t="s">
        <v>52</v>
      </c>
      <c r="I39" s="68">
        <f t="shared" si="1"/>
        <v>0</v>
      </c>
    </row>
    <row r="40" spans="1:9" x14ac:dyDescent="0.25">
      <c r="A40" s="154" t="s">
        <v>750</v>
      </c>
      <c r="B40" s="155"/>
      <c r="C40" s="155"/>
      <c r="D40" s="155"/>
      <c r="E40" s="156"/>
      <c r="F40" s="68">
        <f>SUM('Stavební rozpočet'!BR12:BR826)</f>
        <v>0</v>
      </c>
      <c r="G40" s="69" t="s">
        <v>52</v>
      </c>
      <c r="H40" s="69" t="s">
        <v>52</v>
      </c>
      <c r="I40" s="68">
        <f t="shared" si="1"/>
        <v>0</v>
      </c>
    </row>
    <row r="41" spans="1:9" x14ac:dyDescent="0.25">
      <c r="A41" s="154" t="s">
        <v>751</v>
      </c>
      <c r="B41" s="155"/>
      <c r="C41" s="155"/>
      <c r="D41" s="155"/>
      <c r="E41" s="156"/>
      <c r="F41" s="68">
        <f>SUM('Stavební rozpočet'!BS12:BS826)</f>
        <v>0</v>
      </c>
      <c r="G41" s="69" t="s">
        <v>52</v>
      </c>
      <c r="H41" s="69" t="s">
        <v>52</v>
      </c>
      <c r="I41" s="68">
        <f t="shared" si="1"/>
        <v>0</v>
      </c>
    </row>
    <row r="42" spans="1:9" x14ac:dyDescent="0.25">
      <c r="A42" s="154" t="s">
        <v>786</v>
      </c>
      <c r="B42" s="155"/>
      <c r="C42" s="155"/>
      <c r="D42" s="155"/>
      <c r="E42" s="156"/>
      <c r="F42" s="68">
        <f>SUM('Stavební rozpočet'!BT12:BT826)</f>
        <v>0</v>
      </c>
      <c r="G42" s="69" t="s">
        <v>52</v>
      </c>
      <c r="H42" s="69" t="s">
        <v>52</v>
      </c>
      <c r="I42" s="68">
        <f t="shared" si="1"/>
        <v>0</v>
      </c>
    </row>
    <row r="43" spans="1:9" x14ac:dyDescent="0.25">
      <c r="A43" s="154" t="s">
        <v>787</v>
      </c>
      <c r="B43" s="155"/>
      <c r="C43" s="155"/>
      <c r="D43" s="155"/>
      <c r="E43" s="156"/>
      <c r="F43" s="68">
        <f>SUM('Stavební rozpočet'!BU12:BU826)</f>
        <v>0</v>
      </c>
      <c r="G43" s="69" t="s">
        <v>52</v>
      </c>
      <c r="H43" s="69" t="s">
        <v>52</v>
      </c>
      <c r="I43" s="68">
        <f t="shared" si="1"/>
        <v>0</v>
      </c>
    </row>
    <row r="44" spans="1:9" x14ac:dyDescent="0.25">
      <c r="A44" s="157" t="s">
        <v>788</v>
      </c>
      <c r="B44" s="158"/>
      <c r="C44" s="158"/>
      <c r="D44" s="158"/>
      <c r="E44" s="159"/>
      <c r="F44" s="70">
        <f>SUM('Stavební rozpočet'!BV12:BV826)</f>
        <v>0</v>
      </c>
      <c r="G44" s="71" t="s">
        <v>52</v>
      </c>
      <c r="H44" s="71" t="s">
        <v>52</v>
      </c>
      <c r="I44" s="70">
        <f t="shared" si="1"/>
        <v>0</v>
      </c>
    </row>
    <row r="45" spans="1:9" x14ac:dyDescent="0.25">
      <c r="A45" s="109" t="s">
        <v>789</v>
      </c>
      <c r="B45" s="160"/>
      <c r="C45" s="160"/>
      <c r="D45" s="160"/>
      <c r="E45" s="161"/>
      <c r="F45" s="72" t="s">
        <v>52</v>
      </c>
      <c r="G45" s="73" t="s">
        <v>52</v>
      </c>
      <c r="H45" s="73" t="s">
        <v>52</v>
      </c>
      <c r="I45" s="74">
        <f>SUM(I35:I44)</f>
        <v>0</v>
      </c>
    </row>
  </sheetData>
  <mergeCells count="60">
    <mergeCell ref="A41:E41"/>
    <mergeCell ref="A42:E42"/>
    <mergeCell ref="A43:E43"/>
    <mergeCell ref="A44:E44"/>
    <mergeCell ref="A45:E45"/>
    <mergeCell ref="A36:E36"/>
    <mergeCell ref="A37:E37"/>
    <mergeCell ref="A38:E38"/>
    <mergeCell ref="A39:E39"/>
    <mergeCell ref="A40:E40"/>
    <mergeCell ref="A29:E29"/>
    <mergeCell ref="F29:I29"/>
    <mergeCell ref="A33:E33"/>
    <mergeCell ref="A34:E34"/>
    <mergeCell ref="A35:E35"/>
    <mergeCell ref="A23:E23"/>
    <mergeCell ref="A24:E24"/>
    <mergeCell ref="A25:E25"/>
    <mergeCell ref="A26:E26"/>
    <mergeCell ref="A27:E27"/>
    <mergeCell ref="A17:E17"/>
    <mergeCell ref="A18:E18"/>
    <mergeCell ref="A20:E20"/>
    <mergeCell ref="A21:E21"/>
    <mergeCell ref="A22:E22"/>
    <mergeCell ref="I10:I11"/>
    <mergeCell ref="A13:E13"/>
    <mergeCell ref="A14:E14"/>
    <mergeCell ref="A15:E15"/>
    <mergeCell ref="A16:E16"/>
    <mergeCell ref="H10:H11"/>
    <mergeCell ref="C2:D3"/>
    <mergeCell ref="C4:D5"/>
    <mergeCell ref="C6:D7"/>
    <mergeCell ref="C8:D9"/>
    <mergeCell ref="C10:D11"/>
    <mergeCell ref="F2:G3"/>
    <mergeCell ref="F4:G5"/>
    <mergeCell ref="F6:G7"/>
    <mergeCell ref="F8:G9"/>
    <mergeCell ref="F10:G11"/>
    <mergeCell ref="A10:B11"/>
    <mergeCell ref="E2:E3"/>
    <mergeCell ref="E4:E5"/>
    <mergeCell ref="E6:E7"/>
    <mergeCell ref="E8:E9"/>
    <mergeCell ref="E10:E11"/>
    <mergeCell ref="A1:I1"/>
    <mergeCell ref="A2:B3"/>
    <mergeCell ref="A4:B5"/>
    <mergeCell ref="A6:B7"/>
    <mergeCell ref="A8:B9"/>
    <mergeCell ref="H2:H3"/>
    <mergeCell ref="H4:H5"/>
    <mergeCell ref="H6:H7"/>
    <mergeCell ref="H8:H9"/>
    <mergeCell ref="I2:I3"/>
    <mergeCell ref="I4:I5"/>
    <mergeCell ref="I6:I7"/>
    <mergeCell ref="I8:I9"/>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Stavební rozpočet</vt:lpstr>
      <vt:lpstr>Stavební rozpočet - součet</vt:lpstr>
      <vt:lpstr>Krycí list rozpočtu</vt:lpstr>
      <vt:lpstr>VORN</vt:lpstr>
      <vt:lpstr>vorn_sum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jiří trojan</cp:lastModifiedBy>
  <dcterms:created xsi:type="dcterms:W3CDTF">2021-06-10T20:06:38Z</dcterms:created>
  <dcterms:modified xsi:type="dcterms:W3CDTF">2025-05-15T10:58:52Z</dcterms:modified>
</cp:coreProperties>
</file>