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3ca05e84f73388/Zakázky Já/2024/036_ČL_STŘECHA JEŘÁBKOVO_HOTOVO/PD/ROZPOČET/"/>
    </mc:Choice>
  </mc:AlternateContent>
  <xr:revisionPtr revIDLastSave="66" documentId="11_C0EC84CA2402122FE059490C03BCAD13E3383E35" xr6:coauthVersionLast="47" xr6:coauthVersionMax="47" xr10:uidLastSave="{686D91F6-A4EA-4224-9BF9-D1187D23678B}"/>
  <bookViews>
    <workbookView xWindow="-120" yWindow="-120" windowWidth="29040" windowHeight="15720" activeTab="1" xr2:uid="{00000000-000D-0000-FFFF-FFFF00000000}"/>
  </bookViews>
  <sheets>
    <sheet name="Krycí list rozpočtu" sheetId="1" r:id="rId1"/>
    <sheet name="VORN" sheetId="2" r:id="rId2"/>
    <sheet name="Stavební rozpočet" sheetId="3" r:id="rId3"/>
  </sheets>
  <definedNames>
    <definedName name="vorn_sum">VORN!$I$38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BJ230" i="3" l="1"/>
  <c r="BF230" i="3"/>
  <c r="BD230" i="3"/>
  <c r="AX230" i="3"/>
  <c r="AW230" i="3"/>
  <c r="AP230" i="3"/>
  <c r="BI230" i="3" s="1"/>
  <c r="AO230" i="3"/>
  <c r="BH230" i="3" s="1"/>
  <c r="AL230" i="3"/>
  <c r="AJ230" i="3"/>
  <c r="AH230" i="3"/>
  <c r="AG230" i="3"/>
  <c r="AF230" i="3"/>
  <c r="AE230" i="3"/>
  <c r="AD230" i="3"/>
  <c r="AC230" i="3"/>
  <c r="AB230" i="3"/>
  <c r="Z230" i="3"/>
  <c r="H230" i="3"/>
  <c r="AK230" i="3" s="1"/>
  <c r="BJ229" i="3"/>
  <c r="BF229" i="3"/>
  <c r="BD229" i="3"/>
  <c r="AX229" i="3"/>
  <c r="AW229" i="3"/>
  <c r="BC229" i="3" s="1"/>
  <c r="AP229" i="3"/>
  <c r="BI229" i="3" s="1"/>
  <c r="AO229" i="3"/>
  <c r="BH229" i="3" s="1"/>
  <c r="AL229" i="3"/>
  <c r="AJ229" i="3"/>
  <c r="AH229" i="3"/>
  <c r="AG229" i="3"/>
  <c r="AF229" i="3"/>
  <c r="AE229" i="3"/>
  <c r="AD229" i="3"/>
  <c r="AC229" i="3"/>
  <c r="AB229" i="3"/>
  <c r="Z229" i="3"/>
  <c r="H229" i="3"/>
  <c r="AK229" i="3" s="1"/>
  <c r="BJ228" i="3"/>
  <c r="BF228" i="3"/>
  <c r="BD228" i="3"/>
  <c r="AW228" i="3"/>
  <c r="AP228" i="3"/>
  <c r="AO228" i="3"/>
  <c r="BH228" i="3" s="1"/>
  <c r="AL228" i="3"/>
  <c r="AJ228" i="3"/>
  <c r="AH228" i="3"/>
  <c r="AG228" i="3"/>
  <c r="AF228" i="3"/>
  <c r="AE228" i="3"/>
  <c r="AD228" i="3"/>
  <c r="AC228" i="3"/>
  <c r="AB228" i="3"/>
  <c r="Z228" i="3"/>
  <c r="H228" i="3"/>
  <c r="AK228" i="3" s="1"/>
  <c r="BJ226" i="3"/>
  <c r="Z226" i="3" s="1"/>
  <c r="BF226" i="3"/>
  <c r="BD226" i="3"/>
  <c r="AP226" i="3"/>
  <c r="AO226" i="3"/>
  <c r="AL226" i="3"/>
  <c r="AJ226" i="3"/>
  <c r="AH226" i="3"/>
  <c r="AG226" i="3"/>
  <c r="AF226" i="3"/>
  <c r="AE226" i="3"/>
  <c r="AD226" i="3"/>
  <c r="AC226" i="3"/>
  <c r="AB226" i="3"/>
  <c r="H226" i="3"/>
  <c r="AK226" i="3" s="1"/>
  <c r="BJ223" i="3"/>
  <c r="BI223" i="3"/>
  <c r="BF223" i="3"/>
  <c r="BD223" i="3"/>
  <c r="AP223" i="3"/>
  <c r="AX223" i="3" s="1"/>
  <c r="AO223" i="3"/>
  <c r="AL223" i="3"/>
  <c r="AJ223" i="3"/>
  <c r="AH223" i="3"/>
  <c r="AG223" i="3"/>
  <c r="AF223" i="3"/>
  <c r="AE223" i="3"/>
  <c r="AD223" i="3"/>
  <c r="AC223" i="3"/>
  <c r="AB223" i="3"/>
  <c r="Z223" i="3"/>
  <c r="H223" i="3"/>
  <c r="BJ220" i="3"/>
  <c r="Z220" i="3" s="1"/>
  <c r="BI220" i="3"/>
  <c r="BH220" i="3"/>
  <c r="BF220" i="3"/>
  <c r="BD220" i="3"/>
  <c r="AP220" i="3"/>
  <c r="AX220" i="3" s="1"/>
  <c r="AO220" i="3"/>
  <c r="AW220" i="3" s="1"/>
  <c r="AL220" i="3"/>
  <c r="AK220" i="3"/>
  <c r="AJ220" i="3"/>
  <c r="AH220" i="3"/>
  <c r="AG220" i="3"/>
  <c r="AF220" i="3"/>
  <c r="AE220" i="3"/>
  <c r="AD220" i="3"/>
  <c r="AC220" i="3"/>
  <c r="AB220" i="3"/>
  <c r="H220" i="3"/>
  <c r="BJ217" i="3"/>
  <c r="Z217" i="3" s="1"/>
  <c r="BI217" i="3"/>
  <c r="BF217" i="3"/>
  <c r="BD217" i="3"/>
  <c r="AX217" i="3"/>
  <c r="AP217" i="3"/>
  <c r="AO217" i="3"/>
  <c r="AW217" i="3" s="1"/>
  <c r="AL217" i="3"/>
  <c r="AK217" i="3"/>
  <c r="AJ217" i="3"/>
  <c r="AS216" i="3" s="1"/>
  <c r="AH217" i="3"/>
  <c r="AG217" i="3"/>
  <c r="AF217" i="3"/>
  <c r="AE217" i="3"/>
  <c r="AD217" i="3"/>
  <c r="AC217" i="3"/>
  <c r="AB217" i="3"/>
  <c r="H217" i="3"/>
  <c r="BJ215" i="3"/>
  <c r="BF215" i="3"/>
  <c r="BD215" i="3"/>
  <c r="AP215" i="3"/>
  <c r="AO215" i="3"/>
  <c r="AL215" i="3"/>
  <c r="AK215" i="3"/>
  <c r="AJ215" i="3"/>
  <c r="AH215" i="3"/>
  <c r="AE215" i="3"/>
  <c r="AD215" i="3"/>
  <c r="AC215" i="3"/>
  <c r="AB215" i="3"/>
  <c r="Z215" i="3"/>
  <c r="H215" i="3"/>
  <c r="BJ214" i="3"/>
  <c r="BI214" i="3"/>
  <c r="AG214" i="3" s="1"/>
  <c r="BF214" i="3"/>
  <c r="BD214" i="3"/>
  <c r="AP214" i="3"/>
  <c r="AX214" i="3" s="1"/>
  <c r="AO214" i="3"/>
  <c r="AL214" i="3"/>
  <c r="AJ214" i="3"/>
  <c r="AH214" i="3"/>
  <c r="AE214" i="3"/>
  <c r="AD214" i="3"/>
  <c r="AC214" i="3"/>
  <c r="AB214" i="3"/>
  <c r="Z214" i="3"/>
  <c r="H214" i="3"/>
  <c r="AK214" i="3" s="1"/>
  <c r="BJ213" i="3"/>
  <c r="BI213" i="3"/>
  <c r="AG213" i="3" s="1"/>
  <c r="BH213" i="3"/>
  <c r="AF213" i="3" s="1"/>
  <c r="BF213" i="3"/>
  <c r="BD213" i="3"/>
  <c r="AP213" i="3"/>
  <c r="AX213" i="3" s="1"/>
  <c r="AO213" i="3"/>
  <c r="AW213" i="3" s="1"/>
  <c r="AL213" i="3"/>
  <c r="AK213" i="3"/>
  <c r="AJ213" i="3"/>
  <c r="AH213" i="3"/>
  <c r="AE213" i="3"/>
  <c r="AD213" i="3"/>
  <c r="AC213" i="3"/>
  <c r="AB213" i="3"/>
  <c r="Z213" i="3"/>
  <c r="H213" i="3"/>
  <c r="BJ212" i="3"/>
  <c r="BI212" i="3"/>
  <c r="AG212" i="3" s="1"/>
  <c r="BH212" i="3"/>
  <c r="AF212" i="3" s="1"/>
  <c r="BF212" i="3"/>
  <c r="BD212" i="3"/>
  <c r="AP212" i="3"/>
  <c r="AX212" i="3" s="1"/>
  <c r="AO212" i="3"/>
  <c r="AW212" i="3" s="1"/>
  <c r="AL212" i="3"/>
  <c r="AK212" i="3"/>
  <c r="AJ212" i="3"/>
  <c r="AH212" i="3"/>
  <c r="AE212" i="3"/>
  <c r="AD212" i="3"/>
  <c r="AC212" i="3"/>
  <c r="AB212" i="3"/>
  <c r="Z212" i="3"/>
  <c r="H212" i="3"/>
  <c r="BJ211" i="3"/>
  <c r="BI211" i="3"/>
  <c r="AG211" i="3" s="1"/>
  <c r="BH211" i="3"/>
  <c r="BF211" i="3"/>
  <c r="BD211" i="3"/>
  <c r="AP211" i="3"/>
  <c r="AX211" i="3" s="1"/>
  <c r="AO211" i="3"/>
  <c r="AW211" i="3" s="1"/>
  <c r="AL211" i="3"/>
  <c r="AK211" i="3"/>
  <c r="AJ211" i="3"/>
  <c r="AH211" i="3"/>
  <c r="AF211" i="3"/>
  <c r="AE211" i="3"/>
  <c r="AD211" i="3"/>
  <c r="AC211" i="3"/>
  <c r="AB211" i="3"/>
  <c r="Z211" i="3"/>
  <c r="H211" i="3"/>
  <c r="AS210" i="3"/>
  <c r="H210" i="3"/>
  <c r="BJ208" i="3"/>
  <c r="BI208" i="3"/>
  <c r="AG208" i="3" s="1"/>
  <c r="BF208" i="3"/>
  <c r="BD208" i="3"/>
  <c r="AP208" i="3"/>
  <c r="AX208" i="3" s="1"/>
  <c r="AO208" i="3"/>
  <c r="AL208" i="3"/>
  <c r="AJ208" i="3"/>
  <c r="AH208" i="3"/>
  <c r="AE208" i="3"/>
  <c r="AD208" i="3"/>
  <c r="AC208" i="3"/>
  <c r="AB208" i="3"/>
  <c r="Z208" i="3"/>
  <c r="H208" i="3"/>
  <c r="BJ206" i="3"/>
  <c r="BI206" i="3"/>
  <c r="AG206" i="3" s="1"/>
  <c r="BH206" i="3"/>
  <c r="AF206" i="3" s="1"/>
  <c r="BF206" i="3"/>
  <c r="BD206" i="3"/>
  <c r="AP206" i="3"/>
  <c r="AX206" i="3" s="1"/>
  <c r="AO206" i="3"/>
  <c r="AW206" i="3" s="1"/>
  <c r="AL206" i="3"/>
  <c r="AU199" i="3" s="1"/>
  <c r="AK206" i="3"/>
  <c r="AJ206" i="3"/>
  <c r="AH206" i="3"/>
  <c r="AE206" i="3"/>
  <c r="AD206" i="3"/>
  <c r="AC206" i="3"/>
  <c r="AB206" i="3"/>
  <c r="Z206" i="3"/>
  <c r="H206" i="3"/>
  <c r="BJ205" i="3"/>
  <c r="BI205" i="3"/>
  <c r="AG205" i="3" s="1"/>
  <c r="BH205" i="3"/>
  <c r="AF205" i="3" s="1"/>
  <c r="BF205" i="3"/>
  <c r="BD205" i="3"/>
  <c r="AP205" i="3"/>
  <c r="AX205" i="3" s="1"/>
  <c r="AO205" i="3"/>
  <c r="AW205" i="3" s="1"/>
  <c r="AL205" i="3"/>
  <c r="AK205" i="3"/>
  <c r="AJ205" i="3"/>
  <c r="AH205" i="3"/>
  <c r="AE205" i="3"/>
  <c r="AD205" i="3"/>
  <c r="AC205" i="3"/>
  <c r="AB205" i="3"/>
  <c r="Z205" i="3"/>
  <c r="H205" i="3"/>
  <c r="BJ203" i="3"/>
  <c r="BI203" i="3"/>
  <c r="AG203" i="3" s="1"/>
  <c r="BH203" i="3"/>
  <c r="BF203" i="3"/>
  <c r="BD203" i="3"/>
  <c r="AW203" i="3"/>
  <c r="AP203" i="3"/>
  <c r="AX203" i="3" s="1"/>
  <c r="AO203" i="3"/>
  <c r="AL203" i="3"/>
  <c r="AK203" i="3"/>
  <c r="AJ203" i="3"/>
  <c r="AH203" i="3"/>
  <c r="AF203" i="3"/>
  <c r="AE203" i="3"/>
  <c r="AD203" i="3"/>
  <c r="AC203" i="3"/>
  <c r="AB203" i="3"/>
  <c r="Z203" i="3"/>
  <c r="H203" i="3"/>
  <c r="BJ202" i="3"/>
  <c r="BI202" i="3"/>
  <c r="BH202" i="3"/>
  <c r="AF202" i="3" s="1"/>
  <c r="BF202" i="3"/>
  <c r="BD202" i="3"/>
  <c r="BC202" i="3"/>
  <c r="AX202" i="3"/>
  <c r="AP202" i="3"/>
  <c r="AO202" i="3"/>
  <c r="AW202" i="3" s="1"/>
  <c r="AV202" i="3" s="1"/>
  <c r="AL202" i="3"/>
  <c r="AJ202" i="3"/>
  <c r="AH202" i="3"/>
  <c r="AG202" i="3"/>
  <c r="AE202" i="3"/>
  <c r="AD202" i="3"/>
  <c r="AC202" i="3"/>
  <c r="AB202" i="3"/>
  <c r="Z202" i="3"/>
  <c r="H202" i="3"/>
  <c r="AK202" i="3" s="1"/>
  <c r="BJ200" i="3"/>
  <c r="BH200" i="3"/>
  <c r="BF200" i="3"/>
  <c r="BD200" i="3"/>
  <c r="AX200" i="3"/>
  <c r="AW200" i="3"/>
  <c r="AP200" i="3"/>
  <c r="BI200" i="3" s="1"/>
  <c r="AG200" i="3" s="1"/>
  <c r="AO200" i="3"/>
  <c r="AL200" i="3"/>
  <c r="AK200" i="3"/>
  <c r="AJ200" i="3"/>
  <c r="AH200" i="3"/>
  <c r="AF200" i="3"/>
  <c r="AE200" i="3"/>
  <c r="AD200" i="3"/>
  <c r="AC200" i="3"/>
  <c r="AB200" i="3"/>
  <c r="Z200" i="3"/>
  <c r="H200" i="3"/>
  <c r="BJ198" i="3"/>
  <c r="BI198" i="3"/>
  <c r="AC198" i="3" s="1"/>
  <c r="BH198" i="3"/>
  <c r="AB198" i="3" s="1"/>
  <c r="BF198" i="3"/>
  <c r="BD198" i="3"/>
  <c r="AX198" i="3"/>
  <c r="AP198" i="3"/>
  <c r="AO198" i="3"/>
  <c r="AW198" i="3" s="1"/>
  <c r="AL198" i="3"/>
  <c r="AK198" i="3"/>
  <c r="AJ198" i="3"/>
  <c r="AH198" i="3"/>
  <c r="AG198" i="3"/>
  <c r="AF198" i="3"/>
  <c r="AE198" i="3"/>
  <c r="AD198" i="3"/>
  <c r="Z198" i="3"/>
  <c r="H198" i="3"/>
  <c r="BJ197" i="3"/>
  <c r="BI197" i="3"/>
  <c r="AC197" i="3" s="1"/>
  <c r="BH197" i="3"/>
  <c r="AB197" i="3" s="1"/>
  <c r="BF197" i="3"/>
  <c r="BD197" i="3"/>
  <c r="AW197" i="3"/>
  <c r="AP197" i="3"/>
  <c r="AX197" i="3" s="1"/>
  <c r="AO197" i="3"/>
  <c r="AL197" i="3"/>
  <c r="AK197" i="3"/>
  <c r="AJ197" i="3"/>
  <c r="AH197" i="3"/>
  <c r="AG197" i="3"/>
  <c r="AF197" i="3"/>
  <c r="AE197" i="3"/>
  <c r="AD197" i="3"/>
  <c r="Z197" i="3"/>
  <c r="H197" i="3"/>
  <c r="BJ196" i="3"/>
  <c r="BI196" i="3"/>
  <c r="AC196" i="3" s="1"/>
  <c r="BH196" i="3"/>
  <c r="AB196" i="3" s="1"/>
  <c r="BF196" i="3"/>
  <c r="BD196" i="3"/>
  <c r="AX196" i="3"/>
  <c r="AP196" i="3"/>
  <c r="AO196" i="3"/>
  <c r="AW196" i="3" s="1"/>
  <c r="AV196" i="3" s="1"/>
  <c r="AL196" i="3"/>
  <c r="AJ196" i="3"/>
  <c r="AH196" i="3"/>
  <c r="AG196" i="3"/>
  <c r="AF196" i="3"/>
  <c r="AE196" i="3"/>
  <c r="AD196" i="3"/>
  <c r="Z196" i="3"/>
  <c r="H196" i="3"/>
  <c r="AK196" i="3" s="1"/>
  <c r="BJ195" i="3"/>
  <c r="BH195" i="3"/>
  <c r="AB195" i="3" s="1"/>
  <c r="BF195" i="3"/>
  <c r="BD195" i="3"/>
  <c r="AX195" i="3"/>
  <c r="BC195" i="3" s="1"/>
  <c r="AW195" i="3"/>
  <c r="AV195" i="3" s="1"/>
  <c r="AP195" i="3"/>
  <c r="BI195" i="3" s="1"/>
  <c r="AC195" i="3" s="1"/>
  <c r="AO195" i="3"/>
  <c r="AL195" i="3"/>
  <c r="AK195" i="3"/>
  <c r="AJ195" i="3"/>
  <c r="AH195" i="3"/>
  <c r="AG195" i="3"/>
  <c r="AF195" i="3"/>
  <c r="AE195" i="3"/>
  <c r="AD195" i="3"/>
  <c r="Z195" i="3"/>
  <c r="H195" i="3"/>
  <c r="BJ194" i="3"/>
  <c r="BI194" i="3"/>
  <c r="BF194" i="3"/>
  <c r="BD194" i="3"/>
  <c r="BC194" i="3"/>
  <c r="AX194" i="3"/>
  <c r="AW194" i="3"/>
  <c r="AV194" i="3" s="1"/>
  <c r="AP194" i="3"/>
  <c r="AO194" i="3"/>
  <c r="BH194" i="3" s="1"/>
  <c r="AB194" i="3" s="1"/>
  <c r="AL194" i="3"/>
  <c r="AJ194" i="3"/>
  <c r="AH194" i="3"/>
  <c r="AG194" i="3"/>
  <c r="AF194" i="3"/>
  <c r="AE194" i="3"/>
  <c r="AD194" i="3"/>
  <c r="AC194" i="3"/>
  <c r="Z194" i="3"/>
  <c r="H194" i="3"/>
  <c r="AK194" i="3" s="1"/>
  <c r="BJ193" i="3"/>
  <c r="BI193" i="3"/>
  <c r="BH193" i="3"/>
  <c r="BF193" i="3"/>
  <c r="BD193" i="3"/>
  <c r="BC193" i="3"/>
  <c r="AX193" i="3"/>
  <c r="AW193" i="3"/>
  <c r="AV193" i="3"/>
  <c r="AP193" i="3"/>
  <c r="AO193" i="3"/>
  <c r="AL193" i="3"/>
  <c r="AJ193" i="3"/>
  <c r="AH193" i="3"/>
  <c r="AG193" i="3"/>
  <c r="AF193" i="3"/>
  <c r="AE193" i="3"/>
  <c r="AD193" i="3"/>
  <c r="AC193" i="3"/>
  <c r="AB193" i="3"/>
  <c r="Z193" i="3"/>
  <c r="H193" i="3"/>
  <c r="AK193" i="3" s="1"/>
  <c r="BJ192" i="3"/>
  <c r="BH192" i="3"/>
  <c r="BF192" i="3"/>
  <c r="BD192" i="3"/>
  <c r="AW192" i="3"/>
  <c r="AP192" i="3"/>
  <c r="BI192" i="3" s="1"/>
  <c r="AC192" i="3" s="1"/>
  <c r="AO192" i="3"/>
  <c r="AL192" i="3"/>
  <c r="AK192" i="3"/>
  <c r="AJ192" i="3"/>
  <c r="AH192" i="3"/>
  <c r="AG192" i="3"/>
  <c r="AF192" i="3"/>
  <c r="AE192" i="3"/>
  <c r="AD192" i="3"/>
  <c r="AB192" i="3"/>
  <c r="Z192" i="3"/>
  <c r="H192" i="3"/>
  <c r="BJ191" i="3"/>
  <c r="BF191" i="3"/>
  <c r="BD191" i="3"/>
  <c r="AP191" i="3"/>
  <c r="BI191" i="3" s="1"/>
  <c r="AO191" i="3"/>
  <c r="BH191" i="3" s="1"/>
  <c r="AL191" i="3"/>
  <c r="AJ191" i="3"/>
  <c r="AH191" i="3"/>
  <c r="AG191" i="3"/>
  <c r="AF191" i="3"/>
  <c r="AE191" i="3"/>
  <c r="AD191" i="3"/>
  <c r="AC191" i="3"/>
  <c r="AB191" i="3"/>
  <c r="Z191" i="3"/>
  <c r="H191" i="3"/>
  <c r="AK191" i="3" s="1"/>
  <c r="BJ189" i="3"/>
  <c r="BF189" i="3"/>
  <c r="BD189" i="3"/>
  <c r="AP189" i="3"/>
  <c r="AO189" i="3"/>
  <c r="BH189" i="3" s="1"/>
  <c r="AF189" i="3" s="1"/>
  <c r="AL189" i="3"/>
  <c r="AJ189" i="3"/>
  <c r="AH189" i="3"/>
  <c r="AE189" i="3"/>
  <c r="AD189" i="3"/>
  <c r="AC189" i="3"/>
  <c r="AB189" i="3"/>
  <c r="Z189" i="3"/>
  <c r="H189" i="3"/>
  <c r="AK189" i="3" s="1"/>
  <c r="BJ188" i="3"/>
  <c r="BF188" i="3"/>
  <c r="BD188" i="3"/>
  <c r="AP188" i="3"/>
  <c r="AO188" i="3"/>
  <c r="AL188" i="3"/>
  <c r="AJ188" i="3"/>
  <c r="AH188" i="3"/>
  <c r="AG188" i="3"/>
  <c r="AF188" i="3"/>
  <c r="AE188" i="3"/>
  <c r="AD188" i="3"/>
  <c r="Z188" i="3"/>
  <c r="H188" i="3"/>
  <c r="AK188" i="3" s="1"/>
  <c r="BJ187" i="3"/>
  <c r="BI187" i="3"/>
  <c r="AC187" i="3" s="1"/>
  <c r="BF187" i="3"/>
  <c r="BD187" i="3"/>
  <c r="AP187" i="3"/>
  <c r="AX187" i="3" s="1"/>
  <c r="AO187" i="3"/>
  <c r="AL187" i="3"/>
  <c r="AJ187" i="3"/>
  <c r="AH187" i="3"/>
  <c r="AG187" i="3"/>
  <c r="AF187" i="3"/>
  <c r="AE187" i="3"/>
  <c r="AD187" i="3"/>
  <c r="Z187" i="3"/>
  <c r="H187" i="3"/>
  <c r="AK187" i="3" s="1"/>
  <c r="BJ186" i="3"/>
  <c r="BI186" i="3"/>
  <c r="BH186" i="3"/>
  <c r="AB186" i="3" s="1"/>
  <c r="BF186" i="3"/>
  <c r="BD186" i="3"/>
  <c r="AX186" i="3"/>
  <c r="AP186" i="3"/>
  <c r="AO186" i="3"/>
  <c r="AW186" i="3" s="1"/>
  <c r="AL186" i="3"/>
  <c r="AK186" i="3"/>
  <c r="AJ186" i="3"/>
  <c r="AH186" i="3"/>
  <c r="AG186" i="3"/>
  <c r="AF186" i="3"/>
  <c r="AE186" i="3"/>
  <c r="AD186" i="3"/>
  <c r="AC186" i="3"/>
  <c r="Z186" i="3"/>
  <c r="H186" i="3"/>
  <c r="BJ185" i="3"/>
  <c r="BI185" i="3"/>
  <c r="AC185" i="3" s="1"/>
  <c r="BH185" i="3"/>
  <c r="BF185" i="3"/>
  <c r="BD185" i="3"/>
  <c r="AX185" i="3"/>
  <c r="BC185" i="3" s="1"/>
  <c r="AW185" i="3"/>
  <c r="AP185" i="3"/>
  <c r="AO185" i="3"/>
  <c r="AL185" i="3"/>
  <c r="AK185" i="3"/>
  <c r="AJ185" i="3"/>
  <c r="AH185" i="3"/>
  <c r="AG185" i="3"/>
  <c r="AF185" i="3"/>
  <c r="AE185" i="3"/>
  <c r="AD185" i="3"/>
  <c r="AB185" i="3"/>
  <c r="Z185" i="3"/>
  <c r="H185" i="3"/>
  <c r="BJ184" i="3"/>
  <c r="BI184" i="3"/>
  <c r="AC184" i="3" s="1"/>
  <c r="BH184" i="3"/>
  <c r="AB184" i="3" s="1"/>
  <c r="BF184" i="3"/>
  <c r="BD184" i="3"/>
  <c r="AW184" i="3"/>
  <c r="AV184" i="3" s="1"/>
  <c r="AP184" i="3"/>
  <c r="AX184" i="3" s="1"/>
  <c r="AO184" i="3"/>
  <c r="AL184" i="3"/>
  <c r="AK184" i="3"/>
  <c r="AJ184" i="3"/>
  <c r="AH184" i="3"/>
  <c r="AG184" i="3"/>
  <c r="AF184" i="3"/>
  <c r="AE184" i="3"/>
  <c r="AD184" i="3"/>
  <c r="Z184" i="3"/>
  <c r="H184" i="3"/>
  <c r="BJ183" i="3"/>
  <c r="BI183" i="3"/>
  <c r="AC183" i="3" s="1"/>
  <c r="BH183" i="3"/>
  <c r="AB183" i="3" s="1"/>
  <c r="BF183" i="3"/>
  <c r="BD183" i="3"/>
  <c r="AX183" i="3"/>
  <c r="AP183" i="3"/>
  <c r="AO183" i="3"/>
  <c r="AW183" i="3" s="1"/>
  <c r="AV183" i="3" s="1"/>
  <c r="AL183" i="3"/>
  <c r="AJ183" i="3"/>
  <c r="AH183" i="3"/>
  <c r="AG183" i="3"/>
  <c r="AF183" i="3"/>
  <c r="AE183" i="3"/>
  <c r="AD183" i="3"/>
  <c r="Z183" i="3"/>
  <c r="H183" i="3"/>
  <c r="AK183" i="3" s="1"/>
  <c r="BJ182" i="3"/>
  <c r="BH182" i="3"/>
  <c r="AB182" i="3" s="1"/>
  <c r="BF182" i="3"/>
  <c r="BD182" i="3"/>
  <c r="AX182" i="3"/>
  <c r="AW182" i="3"/>
  <c r="AP182" i="3"/>
  <c r="BI182" i="3" s="1"/>
  <c r="AC182" i="3" s="1"/>
  <c r="AO182" i="3"/>
  <c r="AL182" i="3"/>
  <c r="AK182" i="3"/>
  <c r="AJ182" i="3"/>
  <c r="AH182" i="3"/>
  <c r="AG182" i="3"/>
  <c r="AF182" i="3"/>
  <c r="AE182" i="3"/>
  <c r="AD182" i="3"/>
  <c r="Z182" i="3"/>
  <c r="H182" i="3"/>
  <c r="BJ181" i="3"/>
  <c r="BI181" i="3"/>
  <c r="BF181" i="3"/>
  <c r="BD181" i="3"/>
  <c r="AX181" i="3"/>
  <c r="AW181" i="3"/>
  <c r="AV181" i="3" s="1"/>
  <c r="AP181" i="3"/>
  <c r="AO181" i="3"/>
  <c r="BH181" i="3" s="1"/>
  <c r="AB181" i="3" s="1"/>
  <c r="AL181" i="3"/>
  <c r="AJ181" i="3"/>
  <c r="AH181" i="3"/>
  <c r="AG181" i="3"/>
  <c r="AF181" i="3"/>
  <c r="AE181" i="3"/>
  <c r="AD181" i="3"/>
  <c r="AC181" i="3"/>
  <c r="Z181" i="3"/>
  <c r="H181" i="3"/>
  <c r="AK181" i="3" s="1"/>
  <c r="BJ180" i="3"/>
  <c r="BI180" i="3"/>
  <c r="BH180" i="3"/>
  <c r="BF180" i="3"/>
  <c r="BD180" i="3"/>
  <c r="AX180" i="3"/>
  <c r="AV180" i="3" s="1"/>
  <c r="AW180" i="3"/>
  <c r="AP180" i="3"/>
  <c r="AO180" i="3"/>
  <c r="AL180" i="3"/>
  <c r="AJ180" i="3"/>
  <c r="AH180" i="3"/>
  <c r="AG180" i="3"/>
  <c r="AF180" i="3"/>
  <c r="AE180" i="3"/>
  <c r="AD180" i="3"/>
  <c r="AC180" i="3"/>
  <c r="AB180" i="3"/>
  <c r="Z180" i="3"/>
  <c r="H180" i="3"/>
  <c r="AK180" i="3" s="1"/>
  <c r="BJ179" i="3"/>
  <c r="BH179" i="3"/>
  <c r="BF179" i="3"/>
  <c r="BD179" i="3"/>
  <c r="AW179" i="3"/>
  <c r="AP179" i="3"/>
  <c r="BI179" i="3" s="1"/>
  <c r="AC179" i="3" s="1"/>
  <c r="AO179" i="3"/>
  <c r="AL179" i="3"/>
  <c r="AK179" i="3"/>
  <c r="AJ179" i="3"/>
  <c r="AH179" i="3"/>
  <c r="AG179" i="3"/>
  <c r="AF179" i="3"/>
  <c r="AE179" i="3"/>
  <c r="AD179" i="3"/>
  <c r="AB179" i="3"/>
  <c r="Z179" i="3"/>
  <c r="H179" i="3"/>
  <c r="BJ178" i="3"/>
  <c r="BI178" i="3"/>
  <c r="BF178" i="3"/>
  <c r="BD178" i="3"/>
  <c r="AX178" i="3"/>
  <c r="AP178" i="3"/>
  <c r="AO178" i="3"/>
  <c r="BH178" i="3" s="1"/>
  <c r="AB178" i="3" s="1"/>
  <c r="AL178" i="3"/>
  <c r="AJ178" i="3"/>
  <c r="AH178" i="3"/>
  <c r="AG178" i="3"/>
  <c r="AF178" i="3"/>
  <c r="AE178" i="3"/>
  <c r="AD178" i="3"/>
  <c r="AC178" i="3"/>
  <c r="Z178" i="3"/>
  <c r="H178" i="3"/>
  <c r="AK178" i="3" s="1"/>
  <c r="BJ177" i="3"/>
  <c r="BH177" i="3"/>
  <c r="BF177" i="3"/>
  <c r="BD177" i="3"/>
  <c r="AW177" i="3"/>
  <c r="AP177" i="3"/>
  <c r="AO177" i="3"/>
  <c r="AL177" i="3"/>
  <c r="AJ177" i="3"/>
  <c r="AH177" i="3"/>
  <c r="AG177" i="3"/>
  <c r="AF177" i="3"/>
  <c r="AE177" i="3"/>
  <c r="AD177" i="3"/>
  <c r="AB177" i="3"/>
  <c r="Z177" i="3"/>
  <c r="H177" i="3"/>
  <c r="AK177" i="3" s="1"/>
  <c r="BJ176" i="3"/>
  <c r="BF176" i="3"/>
  <c r="BD176" i="3"/>
  <c r="AP176" i="3"/>
  <c r="AO176" i="3"/>
  <c r="AL176" i="3"/>
  <c r="AK176" i="3"/>
  <c r="AJ176" i="3"/>
  <c r="AH176" i="3"/>
  <c r="AG176" i="3"/>
  <c r="AF176" i="3"/>
  <c r="AE176" i="3"/>
  <c r="AD176" i="3"/>
  <c r="Z176" i="3"/>
  <c r="H176" i="3"/>
  <c r="BJ175" i="3"/>
  <c r="BI175" i="3"/>
  <c r="AG175" i="3" s="1"/>
  <c r="BF175" i="3"/>
  <c r="BD175" i="3"/>
  <c r="AP175" i="3"/>
  <c r="AX175" i="3" s="1"/>
  <c r="AO175" i="3"/>
  <c r="AL175" i="3"/>
  <c r="AJ175" i="3"/>
  <c r="AH175" i="3"/>
  <c r="AE175" i="3"/>
  <c r="AD175" i="3"/>
  <c r="AC175" i="3"/>
  <c r="AB175" i="3"/>
  <c r="Z175" i="3"/>
  <c r="H175" i="3"/>
  <c r="AK175" i="3" s="1"/>
  <c r="BJ174" i="3"/>
  <c r="BI174" i="3"/>
  <c r="AG174" i="3" s="1"/>
  <c r="BH174" i="3"/>
  <c r="AF174" i="3" s="1"/>
  <c r="BF174" i="3"/>
  <c r="BD174" i="3"/>
  <c r="AX174" i="3"/>
  <c r="AP174" i="3"/>
  <c r="AO174" i="3"/>
  <c r="AW174" i="3" s="1"/>
  <c r="AL174" i="3"/>
  <c r="AK174" i="3"/>
  <c r="AJ174" i="3"/>
  <c r="AH174" i="3"/>
  <c r="AE174" i="3"/>
  <c r="AD174" i="3"/>
  <c r="AC174" i="3"/>
  <c r="AB174" i="3"/>
  <c r="Z174" i="3"/>
  <c r="H174" i="3"/>
  <c r="BJ173" i="3"/>
  <c r="BI173" i="3"/>
  <c r="BH173" i="3"/>
  <c r="AF173" i="3" s="1"/>
  <c r="BF173" i="3"/>
  <c r="BD173" i="3"/>
  <c r="AX173" i="3"/>
  <c r="BC173" i="3" s="1"/>
  <c r="AW173" i="3"/>
  <c r="AP173" i="3"/>
  <c r="AO173" i="3"/>
  <c r="AL173" i="3"/>
  <c r="AK173" i="3"/>
  <c r="AJ173" i="3"/>
  <c r="AH173" i="3"/>
  <c r="AG173" i="3"/>
  <c r="AE173" i="3"/>
  <c r="AD173" i="3"/>
  <c r="AC173" i="3"/>
  <c r="AB173" i="3"/>
  <c r="Z173" i="3"/>
  <c r="H173" i="3"/>
  <c r="BJ172" i="3"/>
  <c r="BI172" i="3"/>
  <c r="AG172" i="3" s="1"/>
  <c r="BH172" i="3"/>
  <c r="BF172" i="3"/>
  <c r="BD172" i="3"/>
  <c r="AW172" i="3"/>
  <c r="AP172" i="3"/>
  <c r="AX172" i="3" s="1"/>
  <c r="AO172" i="3"/>
  <c r="AL172" i="3"/>
  <c r="AK172" i="3"/>
  <c r="AJ172" i="3"/>
  <c r="AH172" i="3"/>
  <c r="AF172" i="3"/>
  <c r="AE172" i="3"/>
  <c r="AD172" i="3"/>
  <c r="AC172" i="3"/>
  <c r="AB172" i="3"/>
  <c r="Z172" i="3"/>
  <c r="H172" i="3"/>
  <c r="BJ171" i="3"/>
  <c r="BI171" i="3"/>
  <c r="BH171" i="3"/>
  <c r="AF171" i="3" s="1"/>
  <c r="BF171" i="3"/>
  <c r="BD171" i="3"/>
  <c r="BC171" i="3"/>
  <c r="AX171" i="3"/>
  <c r="AP171" i="3"/>
  <c r="AO171" i="3"/>
  <c r="AW171" i="3" s="1"/>
  <c r="AV171" i="3" s="1"/>
  <c r="AL171" i="3"/>
  <c r="AJ171" i="3"/>
  <c r="AH171" i="3"/>
  <c r="AG171" i="3"/>
  <c r="AE171" i="3"/>
  <c r="AD171" i="3"/>
  <c r="AC171" i="3"/>
  <c r="AB171" i="3"/>
  <c r="Z171" i="3"/>
  <c r="H171" i="3"/>
  <c r="AK171" i="3" s="1"/>
  <c r="BJ170" i="3"/>
  <c r="BH170" i="3"/>
  <c r="BF170" i="3"/>
  <c r="BD170" i="3"/>
  <c r="AX170" i="3"/>
  <c r="BC170" i="3" s="1"/>
  <c r="AW170" i="3"/>
  <c r="AP170" i="3"/>
  <c r="BI170" i="3" s="1"/>
  <c r="AO170" i="3"/>
  <c r="AL170" i="3"/>
  <c r="AK170" i="3"/>
  <c r="AJ170" i="3"/>
  <c r="AH170" i="3"/>
  <c r="AG170" i="3"/>
  <c r="AF170" i="3"/>
  <c r="AE170" i="3"/>
  <c r="AD170" i="3"/>
  <c r="AC170" i="3"/>
  <c r="AB170" i="3"/>
  <c r="Z170" i="3"/>
  <c r="H170" i="3"/>
  <c r="BJ169" i="3"/>
  <c r="BI169" i="3"/>
  <c r="BF169" i="3"/>
  <c r="BD169" i="3"/>
  <c r="BC169" i="3"/>
  <c r="AX169" i="3"/>
  <c r="AW169" i="3"/>
  <c r="AV169" i="3" s="1"/>
  <c r="AP169" i="3"/>
  <c r="AO169" i="3"/>
  <c r="BH169" i="3" s="1"/>
  <c r="AL169" i="3"/>
  <c r="AJ169" i="3"/>
  <c r="AH169" i="3"/>
  <c r="AG169" i="3"/>
  <c r="AF169" i="3"/>
  <c r="AE169" i="3"/>
  <c r="AD169" i="3"/>
  <c r="AC169" i="3"/>
  <c r="AB169" i="3"/>
  <c r="Z169" i="3"/>
  <c r="H169" i="3"/>
  <c r="AK169" i="3" s="1"/>
  <c r="BJ167" i="3"/>
  <c r="BI167" i="3"/>
  <c r="AG167" i="3" s="1"/>
  <c r="BH167" i="3"/>
  <c r="BF167" i="3"/>
  <c r="BD167" i="3"/>
  <c r="AX167" i="3"/>
  <c r="BC167" i="3" s="1"/>
  <c r="AW167" i="3"/>
  <c r="AP167" i="3"/>
  <c r="AO167" i="3"/>
  <c r="AL167" i="3"/>
  <c r="AJ167" i="3"/>
  <c r="AH167" i="3"/>
  <c r="AF167" i="3"/>
  <c r="AE167" i="3"/>
  <c r="AD167" i="3"/>
  <c r="AC167" i="3"/>
  <c r="AB167" i="3"/>
  <c r="Z167" i="3"/>
  <c r="H167" i="3"/>
  <c r="AK167" i="3" s="1"/>
  <c r="BJ165" i="3"/>
  <c r="BI165" i="3"/>
  <c r="BH165" i="3"/>
  <c r="BF165" i="3"/>
  <c r="BD165" i="3"/>
  <c r="AX165" i="3"/>
  <c r="AP165" i="3"/>
  <c r="AO165" i="3"/>
  <c r="AW165" i="3" s="1"/>
  <c r="AV165" i="3" s="1"/>
  <c r="AL165" i="3"/>
  <c r="AJ165" i="3"/>
  <c r="AH165" i="3"/>
  <c r="AG165" i="3"/>
  <c r="AF165" i="3"/>
  <c r="AE165" i="3"/>
  <c r="AD165" i="3"/>
  <c r="AC165" i="3"/>
  <c r="AB165" i="3"/>
  <c r="Z165" i="3"/>
  <c r="H165" i="3"/>
  <c r="AK165" i="3" s="1"/>
  <c r="AT164" i="3" s="1"/>
  <c r="AU164" i="3"/>
  <c r="AS164" i="3"/>
  <c r="H164" i="3"/>
  <c r="BJ163" i="3"/>
  <c r="BI163" i="3"/>
  <c r="BH163" i="3"/>
  <c r="AB163" i="3" s="1"/>
  <c r="BF163" i="3"/>
  <c r="BD163" i="3"/>
  <c r="AX163" i="3"/>
  <c r="AP163" i="3"/>
  <c r="AO163" i="3"/>
  <c r="AW163" i="3" s="1"/>
  <c r="AL163" i="3"/>
  <c r="AK163" i="3"/>
  <c r="AJ163" i="3"/>
  <c r="AH163" i="3"/>
  <c r="AG163" i="3"/>
  <c r="AF163" i="3"/>
  <c r="AE163" i="3"/>
  <c r="AD163" i="3"/>
  <c r="AC163" i="3"/>
  <c r="Z163" i="3"/>
  <c r="H163" i="3"/>
  <c r="BJ162" i="3"/>
  <c r="BI162" i="3"/>
  <c r="AC162" i="3" s="1"/>
  <c r="BH162" i="3"/>
  <c r="BF162" i="3"/>
  <c r="BD162" i="3"/>
  <c r="AX162" i="3"/>
  <c r="BC162" i="3" s="1"/>
  <c r="AW162" i="3"/>
  <c r="AP162" i="3"/>
  <c r="AO162" i="3"/>
  <c r="AL162" i="3"/>
  <c r="AK162" i="3"/>
  <c r="AJ162" i="3"/>
  <c r="AH162" i="3"/>
  <c r="AG162" i="3"/>
  <c r="AF162" i="3"/>
  <c r="AE162" i="3"/>
  <c r="AD162" i="3"/>
  <c r="AB162" i="3"/>
  <c r="Z162" i="3"/>
  <c r="H162" i="3"/>
  <c r="BJ161" i="3"/>
  <c r="BI161" i="3"/>
  <c r="AC161" i="3" s="1"/>
  <c r="BH161" i="3"/>
  <c r="AB161" i="3" s="1"/>
  <c r="BF161" i="3"/>
  <c r="BD161" i="3"/>
  <c r="AW161" i="3"/>
  <c r="AP161" i="3"/>
  <c r="AX161" i="3" s="1"/>
  <c r="AO161" i="3"/>
  <c r="AL161" i="3"/>
  <c r="AK161" i="3"/>
  <c r="AJ161" i="3"/>
  <c r="AS160" i="3" s="1"/>
  <c r="AH161" i="3"/>
  <c r="AG161" i="3"/>
  <c r="AF161" i="3"/>
  <c r="AE161" i="3"/>
  <c r="AD161" i="3"/>
  <c r="Z161" i="3"/>
  <c r="H161" i="3"/>
  <c r="H160" i="3"/>
  <c r="BJ155" i="3"/>
  <c r="BI155" i="3"/>
  <c r="AC155" i="3" s="1"/>
  <c r="BF155" i="3"/>
  <c r="BD155" i="3"/>
  <c r="AP155" i="3"/>
  <c r="AX155" i="3" s="1"/>
  <c r="AO155" i="3"/>
  <c r="AL155" i="3"/>
  <c r="AJ155" i="3"/>
  <c r="AH155" i="3"/>
  <c r="AG155" i="3"/>
  <c r="AF155" i="3"/>
  <c r="AE155" i="3"/>
  <c r="AD155" i="3"/>
  <c r="Z155" i="3"/>
  <c r="H155" i="3"/>
  <c r="AK155" i="3" s="1"/>
  <c r="BJ153" i="3"/>
  <c r="BI153" i="3"/>
  <c r="BH153" i="3"/>
  <c r="AB153" i="3" s="1"/>
  <c r="BF153" i="3"/>
  <c r="BD153" i="3"/>
  <c r="AX153" i="3"/>
  <c r="AP153" i="3"/>
  <c r="AO153" i="3"/>
  <c r="AW153" i="3" s="1"/>
  <c r="AL153" i="3"/>
  <c r="AK153" i="3"/>
  <c r="AJ153" i="3"/>
  <c r="AH153" i="3"/>
  <c r="AG153" i="3"/>
  <c r="AF153" i="3"/>
  <c r="AE153" i="3"/>
  <c r="AD153" i="3"/>
  <c r="AC153" i="3"/>
  <c r="Z153" i="3"/>
  <c r="H153" i="3"/>
  <c r="BJ151" i="3"/>
  <c r="BI151" i="3"/>
  <c r="AC151" i="3" s="1"/>
  <c r="BH151" i="3"/>
  <c r="BF151" i="3"/>
  <c r="BD151" i="3"/>
  <c r="AX151" i="3"/>
  <c r="BC151" i="3" s="1"/>
  <c r="AW151" i="3"/>
  <c r="AP151" i="3"/>
  <c r="AO151" i="3"/>
  <c r="AL151" i="3"/>
  <c r="AK151" i="3"/>
  <c r="AJ151" i="3"/>
  <c r="AH151" i="3"/>
  <c r="AG151" i="3"/>
  <c r="AF151" i="3"/>
  <c r="AE151" i="3"/>
  <c r="AD151" i="3"/>
  <c r="AB151" i="3"/>
  <c r="Z151" i="3"/>
  <c r="H151" i="3"/>
  <c r="BJ149" i="3"/>
  <c r="BI149" i="3"/>
  <c r="AC149" i="3" s="1"/>
  <c r="BH149" i="3"/>
  <c r="AB149" i="3" s="1"/>
  <c r="BF149" i="3"/>
  <c r="BD149" i="3"/>
  <c r="AW149" i="3"/>
  <c r="AV149" i="3" s="1"/>
  <c r="AP149" i="3"/>
  <c r="AX149" i="3" s="1"/>
  <c r="AO149" i="3"/>
  <c r="AL149" i="3"/>
  <c r="AK149" i="3"/>
  <c r="AJ149" i="3"/>
  <c r="AS148" i="3" s="1"/>
  <c r="AH149" i="3"/>
  <c r="AG149" i="3"/>
  <c r="AF149" i="3"/>
  <c r="AE149" i="3"/>
  <c r="AD149" i="3"/>
  <c r="Z149" i="3"/>
  <c r="H149" i="3"/>
  <c r="H148" i="3"/>
  <c r="BJ146" i="3"/>
  <c r="BI146" i="3"/>
  <c r="AC146" i="3" s="1"/>
  <c r="BF146" i="3"/>
  <c r="BD146" i="3"/>
  <c r="AP146" i="3"/>
  <c r="AX146" i="3" s="1"/>
  <c r="AO146" i="3"/>
  <c r="AL146" i="3"/>
  <c r="AJ146" i="3"/>
  <c r="AH146" i="3"/>
  <c r="AG146" i="3"/>
  <c r="AF146" i="3"/>
  <c r="AE146" i="3"/>
  <c r="AD146" i="3"/>
  <c r="Z146" i="3"/>
  <c r="H146" i="3"/>
  <c r="BJ144" i="3"/>
  <c r="BI144" i="3"/>
  <c r="BH144" i="3"/>
  <c r="AB144" i="3" s="1"/>
  <c r="BF144" i="3"/>
  <c r="BD144" i="3"/>
  <c r="AX144" i="3"/>
  <c r="AP144" i="3"/>
  <c r="AO144" i="3"/>
  <c r="AW144" i="3" s="1"/>
  <c r="AL144" i="3"/>
  <c r="AU141" i="3" s="1"/>
  <c r="AK144" i="3"/>
  <c r="AJ144" i="3"/>
  <c r="AH144" i="3"/>
  <c r="AG144" i="3"/>
  <c r="AF144" i="3"/>
  <c r="AE144" i="3"/>
  <c r="AD144" i="3"/>
  <c r="AC144" i="3"/>
  <c r="Z144" i="3"/>
  <c r="H144" i="3"/>
  <c r="BJ142" i="3"/>
  <c r="BI142" i="3"/>
  <c r="AC142" i="3" s="1"/>
  <c r="BH142" i="3"/>
  <c r="BF142" i="3"/>
  <c r="BD142" i="3"/>
  <c r="AX142" i="3"/>
  <c r="BC142" i="3" s="1"/>
  <c r="AW142" i="3"/>
  <c r="AP142" i="3"/>
  <c r="AO142" i="3"/>
  <c r="AL142" i="3"/>
  <c r="AK142" i="3"/>
  <c r="AJ142" i="3"/>
  <c r="AS141" i="3" s="1"/>
  <c r="AH142" i="3"/>
  <c r="AG142" i="3"/>
  <c r="AF142" i="3"/>
  <c r="AE142" i="3"/>
  <c r="AD142" i="3"/>
  <c r="AB142" i="3"/>
  <c r="Z142" i="3"/>
  <c r="H142" i="3"/>
  <c r="BJ139" i="3"/>
  <c r="BF139" i="3"/>
  <c r="BD139" i="3"/>
  <c r="AP139" i="3"/>
  <c r="AO139" i="3"/>
  <c r="AL139" i="3"/>
  <c r="AK139" i="3"/>
  <c r="AJ139" i="3"/>
  <c r="AH139" i="3"/>
  <c r="AG139" i="3"/>
  <c r="AF139" i="3"/>
  <c r="AC139" i="3"/>
  <c r="AB139" i="3"/>
  <c r="Z139" i="3"/>
  <c r="H139" i="3"/>
  <c r="BJ137" i="3"/>
  <c r="BI137" i="3"/>
  <c r="AE137" i="3" s="1"/>
  <c r="BF137" i="3"/>
  <c r="BD137" i="3"/>
  <c r="AP137" i="3"/>
  <c r="AX137" i="3" s="1"/>
  <c r="AO137" i="3"/>
  <c r="AL137" i="3"/>
  <c r="AU136" i="3" s="1"/>
  <c r="AJ137" i="3"/>
  <c r="AH137" i="3"/>
  <c r="AG137" i="3"/>
  <c r="AF137" i="3"/>
  <c r="AC137" i="3"/>
  <c r="AB137" i="3"/>
  <c r="Z137" i="3"/>
  <c r="H137" i="3"/>
  <c r="AS136" i="3"/>
  <c r="BJ134" i="3"/>
  <c r="BF134" i="3"/>
  <c r="BD134" i="3"/>
  <c r="AX134" i="3"/>
  <c r="AP134" i="3"/>
  <c r="BI134" i="3" s="1"/>
  <c r="AE134" i="3" s="1"/>
  <c r="AO134" i="3"/>
  <c r="BH134" i="3" s="1"/>
  <c r="AD134" i="3" s="1"/>
  <c r="AL134" i="3"/>
  <c r="AJ134" i="3"/>
  <c r="AS128" i="3" s="1"/>
  <c r="AH134" i="3"/>
  <c r="AG134" i="3"/>
  <c r="AF134" i="3"/>
  <c r="AC134" i="3"/>
  <c r="AB134" i="3"/>
  <c r="Z134" i="3"/>
  <c r="H134" i="3"/>
  <c r="AK134" i="3" s="1"/>
  <c r="BJ131" i="3"/>
  <c r="BF131" i="3"/>
  <c r="BD131" i="3"/>
  <c r="AP131" i="3"/>
  <c r="AO131" i="3"/>
  <c r="BH131" i="3" s="1"/>
  <c r="AD131" i="3" s="1"/>
  <c r="AL131" i="3"/>
  <c r="AU128" i="3" s="1"/>
  <c r="AJ131" i="3"/>
  <c r="AH131" i="3"/>
  <c r="AG131" i="3"/>
  <c r="AF131" i="3"/>
  <c r="AC131" i="3"/>
  <c r="AB131" i="3"/>
  <c r="Z131" i="3"/>
  <c r="H131" i="3"/>
  <c r="AK131" i="3" s="1"/>
  <c r="BJ129" i="3"/>
  <c r="BF129" i="3"/>
  <c r="BD129" i="3"/>
  <c r="AP129" i="3"/>
  <c r="AO129" i="3"/>
  <c r="AL129" i="3"/>
  <c r="AJ129" i="3"/>
  <c r="AH129" i="3"/>
  <c r="AG129" i="3"/>
  <c r="AF129" i="3"/>
  <c r="AC129" i="3"/>
  <c r="AB129" i="3"/>
  <c r="Z129" i="3"/>
  <c r="H129" i="3"/>
  <c r="AK129" i="3" s="1"/>
  <c r="AT128" i="3" s="1"/>
  <c r="BJ126" i="3"/>
  <c r="BH126" i="3"/>
  <c r="BF126" i="3"/>
  <c r="BD126" i="3"/>
  <c r="AX126" i="3"/>
  <c r="AW126" i="3"/>
  <c r="AP126" i="3"/>
  <c r="BI126" i="3" s="1"/>
  <c r="AE126" i="3" s="1"/>
  <c r="AO126" i="3"/>
  <c r="AL126" i="3"/>
  <c r="AK126" i="3"/>
  <c r="AJ126" i="3"/>
  <c r="AH126" i="3"/>
  <c r="AG126" i="3"/>
  <c r="AF126" i="3"/>
  <c r="AD126" i="3"/>
  <c r="AC126" i="3"/>
  <c r="AB126" i="3"/>
  <c r="Z126" i="3"/>
  <c r="H126" i="3"/>
  <c r="BJ125" i="3"/>
  <c r="BF125" i="3"/>
  <c r="BD125" i="3"/>
  <c r="AW125" i="3"/>
  <c r="AP125" i="3"/>
  <c r="BI125" i="3" s="1"/>
  <c r="AO125" i="3"/>
  <c r="BH125" i="3" s="1"/>
  <c r="AL125" i="3"/>
  <c r="AJ125" i="3"/>
  <c r="AH125" i="3"/>
  <c r="AG125" i="3"/>
  <c r="AF125" i="3"/>
  <c r="AE125" i="3"/>
  <c r="AD125" i="3"/>
  <c r="AC125" i="3"/>
  <c r="AB125" i="3"/>
  <c r="Z125" i="3"/>
  <c r="H125" i="3"/>
  <c r="AK125" i="3" s="1"/>
  <c r="BJ122" i="3"/>
  <c r="BF122" i="3"/>
  <c r="BD122" i="3"/>
  <c r="AP122" i="3"/>
  <c r="AO122" i="3"/>
  <c r="BH122" i="3" s="1"/>
  <c r="AD122" i="3" s="1"/>
  <c r="AL122" i="3"/>
  <c r="AJ122" i="3"/>
  <c r="AH122" i="3"/>
  <c r="AG122" i="3"/>
  <c r="AF122" i="3"/>
  <c r="AC122" i="3"/>
  <c r="AB122" i="3"/>
  <c r="Z122" i="3"/>
  <c r="H122" i="3"/>
  <c r="AK122" i="3" s="1"/>
  <c r="BJ119" i="3"/>
  <c r="BF119" i="3"/>
  <c r="BD119" i="3"/>
  <c r="AP119" i="3"/>
  <c r="AO119" i="3"/>
  <c r="AL119" i="3"/>
  <c r="AK119" i="3"/>
  <c r="AJ119" i="3"/>
  <c r="AH119" i="3"/>
  <c r="AG119" i="3"/>
  <c r="AF119" i="3"/>
  <c r="AC119" i="3"/>
  <c r="AB119" i="3"/>
  <c r="Z119" i="3"/>
  <c r="H119" i="3"/>
  <c r="BJ117" i="3"/>
  <c r="BI117" i="3"/>
  <c r="AE117" i="3" s="1"/>
  <c r="BF117" i="3"/>
  <c r="BD117" i="3"/>
  <c r="AP117" i="3"/>
  <c r="AX117" i="3" s="1"/>
  <c r="AO117" i="3"/>
  <c r="AL117" i="3"/>
  <c r="AJ117" i="3"/>
  <c r="AH117" i="3"/>
  <c r="AG117" i="3"/>
  <c r="AF117" i="3"/>
  <c r="AC117" i="3"/>
  <c r="AB117" i="3"/>
  <c r="Z117" i="3"/>
  <c r="H117" i="3"/>
  <c r="BJ114" i="3"/>
  <c r="BI114" i="3"/>
  <c r="BH114" i="3"/>
  <c r="AD114" i="3" s="1"/>
  <c r="BF114" i="3"/>
  <c r="BD114" i="3"/>
  <c r="AX114" i="3"/>
  <c r="AP114" i="3"/>
  <c r="AO114" i="3"/>
  <c r="AW114" i="3" s="1"/>
  <c r="AL114" i="3"/>
  <c r="AK114" i="3"/>
  <c r="AJ114" i="3"/>
  <c r="AH114" i="3"/>
  <c r="AG114" i="3"/>
  <c r="AF114" i="3"/>
  <c r="AE114" i="3"/>
  <c r="AC114" i="3"/>
  <c r="AB114" i="3"/>
  <c r="Z114" i="3"/>
  <c r="H114" i="3"/>
  <c r="BJ110" i="3"/>
  <c r="BI110" i="3"/>
  <c r="AE110" i="3" s="1"/>
  <c r="BH110" i="3"/>
  <c r="BF110" i="3"/>
  <c r="BD110" i="3"/>
  <c r="AX110" i="3"/>
  <c r="BC110" i="3" s="1"/>
  <c r="AW110" i="3"/>
  <c r="AP110" i="3"/>
  <c r="AO110" i="3"/>
  <c r="AL110" i="3"/>
  <c r="AK110" i="3"/>
  <c r="AJ110" i="3"/>
  <c r="AS109" i="3" s="1"/>
  <c r="AH110" i="3"/>
  <c r="AG110" i="3"/>
  <c r="AF110" i="3"/>
  <c r="AD110" i="3"/>
  <c r="AC110" i="3"/>
  <c r="AB110" i="3"/>
  <c r="Z110" i="3"/>
  <c r="H110" i="3"/>
  <c r="BJ107" i="3"/>
  <c r="BF107" i="3"/>
  <c r="BD107" i="3"/>
  <c r="AP107" i="3"/>
  <c r="AO107" i="3"/>
  <c r="AL107" i="3"/>
  <c r="AJ107" i="3"/>
  <c r="AH107" i="3"/>
  <c r="AG107" i="3"/>
  <c r="AF107" i="3"/>
  <c r="AC107" i="3"/>
  <c r="AB107" i="3"/>
  <c r="Z107" i="3"/>
  <c r="H107" i="3"/>
  <c r="AK107" i="3" s="1"/>
  <c r="BJ106" i="3"/>
  <c r="BI106" i="3"/>
  <c r="BF106" i="3"/>
  <c r="BD106" i="3"/>
  <c r="AP106" i="3"/>
  <c r="AX106" i="3" s="1"/>
  <c r="AO106" i="3"/>
  <c r="AL106" i="3"/>
  <c r="AJ106" i="3"/>
  <c r="AH106" i="3"/>
  <c r="AG106" i="3"/>
  <c r="AF106" i="3"/>
  <c r="AE106" i="3"/>
  <c r="AD106" i="3"/>
  <c r="AC106" i="3"/>
  <c r="AB106" i="3"/>
  <c r="Z106" i="3"/>
  <c r="H106" i="3"/>
  <c r="AK106" i="3" s="1"/>
  <c r="BJ104" i="3"/>
  <c r="BI104" i="3"/>
  <c r="BH104" i="3"/>
  <c r="AD104" i="3" s="1"/>
  <c r="BF104" i="3"/>
  <c r="BD104" i="3"/>
  <c r="AX104" i="3"/>
  <c r="AP104" i="3"/>
  <c r="AO104" i="3"/>
  <c r="AW104" i="3" s="1"/>
  <c r="AL104" i="3"/>
  <c r="AK104" i="3"/>
  <c r="AJ104" i="3"/>
  <c r="AH104" i="3"/>
  <c r="AG104" i="3"/>
  <c r="AF104" i="3"/>
  <c r="AE104" i="3"/>
  <c r="AC104" i="3"/>
  <c r="AB104" i="3"/>
  <c r="Z104" i="3"/>
  <c r="H104" i="3"/>
  <c r="BJ101" i="3"/>
  <c r="BI101" i="3"/>
  <c r="AE101" i="3" s="1"/>
  <c r="BH101" i="3"/>
  <c r="BF101" i="3"/>
  <c r="BD101" i="3"/>
  <c r="AX101" i="3"/>
  <c r="BC101" i="3" s="1"/>
  <c r="AW101" i="3"/>
  <c r="AP101" i="3"/>
  <c r="AO101" i="3"/>
  <c r="AL101" i="3"/>
  <c r="AK101" i="3"/>
  <c r="AJ101" i="3"/>
  <c r="AH101" i="3"/>
  <c r="AG101" i="3"/>
  <c r="AF101" i="3"/>
  <c r="AD101" i="3"/>
  <c r="AC101" i="3"/>
  <c r="AB101" i="3"/>
  <c r="Z101" i="3"/>
  <c r="H101" i="3"/>
  <c r="BJ98" i="3"/>
  <c r="BI98" i="3"/>
  <c r="AE98" i="3" s="1"/>
  <c r="BH98" i="3"/>
  <c r="AD98" i="3" s="1"/>
  <c r="BF98" i="3"/>
  <c r="BD98" i="3"/>
  <c r="AW98" i="3"/>
  <c r="AV98" i="3" s="1"/>
  <c r="AP98" i="3"/>
  <c r="AX98" i="3" s="1"/>
  <c r="AO98" i="3"/>
  <c r="AL98" i="3"/>
  <c r="AK98" i="3"/>
  <c r="AJ98" i="3"/>
  <c r="AH98" i="3"/>
  <c r="AG98" i="3"/>
  <c r="AF98" i="3"/>
  <c r="AC98" i="3"/>
  <c r="AB98" i="3"/>
  <c r="Z98" i="3"/>
  <c r="H98" i="3"/>
  <c r="BJ95" i="3"/>
  <c r="BI95" i="3"/>
  <c r="BH95" i="3"/>
  <c r="AD95" i="3" s="1"/>
  <c r="BF95" i="3"/>
  <c r="BD95" i="3"/>
  <c r="AX95" i="3"/>
  <c r="AP95" i="3"/>
  <c r="AO95" i="3"/>
  <c r="AW95" i="3" s="1"/>
  <c r="AV95" i="3" s="1"/>
  <c r="AL95" i="3"/>
  <c r="AJ95" i="3"/>
  <c r="AH95" i="3"/>
  <c r="AG95" i="3"/>
  <c r="AF95" i="3"/>
  <c r="AE95" i="3"/>
  <c r="AC95" i="3"/>
  <c r="AB95" i="3"/>
  <c r="Z95" i="3"/>
  <c r="H95" i="3"/>
  <c r="AK95" i="3" s="1"/>
  <c r="BJ92" i="3"/>
  <c r="BH92" i="3"/>
  <c r="BF92" i="3"/>
  <c r="BD92" i="3"/>
  <c r="AX92" i="3"/>
  <c r="BC92" i="3" s="1"/>
  <c r="AW92" i="3"/>
  <c r="AP92" i="3"/>
  <c r="BI92" i="3" s="1"/>
  <c r="AE92" i="3" s="1"/>
  <c r="AO92" i="3"/>
  <c r="AL92" i="3"/>
  <c r="AK92" i="3"/>
  <c r="AJ92" i="3"/>
  <c r="AH92" i="3"/>
  <c r="AG92" i="3"/>
  <c r="AF92" i="3"/>
  <c r="AD92" i="3"/>
  <c r="AC92" i="3"/>
  <c r="AB92" i="3"/>
  <c r="Z92" i="3"/>
  <c r="H92" i="3"/>
  <c r="BJ89" i="3"/>
  <c r="BI89" i="3"/>
  <c r="BF89" i="3"/>
  <c r="BD89" i="3"/>
  <c r="AX89" i="3"/>
  <c r="AW89" i="3"/>
  <c r="AV89" i="3" s="1"/>
  <c r="AP89" i="3"/>
  <c r="AO89" i="3"/>
  <c r="BH89" i="3" s="1"/>
  <c r="AD89" i="3" s="1"/>
  <c r="AL89" i="3"/>
  <c r="AJ89" i="3"/>
  <c r="AH89" i="3"/>
  <c r="AG89" i="3"/>
  <c r="AF89" i="3"/>
  <c r="AE89" i="3"/>
  <c r="AC89" i="3"/>
  <c r="AB89" i="3"/>
  <c r="Z89" i="3"/>
  <c r="H89" i="3"/>
  <c r="AK89" i="3" s="1"/>
  <c r="BJ86" i="3"/>
  <c r="BI86" i="3"/>
  <c r="BH86" i="3"/>
  <c r="BF86" i="3"/>
  <c r="BD86" i="3"/>
  <c r="BC86" i="3"/>
  <c r="AX86" i="3"/>
  <c r="AW86" i="3"/>
  <c r="AV86" i="3"/>
  <c r="AP86" i="3"/>
  <c r="AO86" i="3"/>
  <c r="AL86" i="3"/>
  <c r="AJ86" i="3"/>
  <c r="AH86" i="3"/>
  <c r="AG86" i="3"/>
  <c r="AF86" i="3"/>
  <c r="AE86" i="3"/>
  <c r="AD86" i="3"/>
  <c r="AC86" i="3"/>
  <c r="AB86" i="3"/>
  <c r="Z86" i="3"/>
  <c r="H86" i="3"/>
  <c r="AK86" i="3" s="1"/>
  <c r="BJ84" i="3"/>
  <c r="BH84" i="3"/>
  <c r="BF84" i="3"/>
  <c r="BD84" i="3"/>
  <c r="AX84" i="3"/>
  <c r="AW84" i="3"/>
  <c r="AP84" i="3"/>
  <c r="BI84" i="3" s="1"/>
  <c r="AE84" i="3" s="1"/>
  <c r="AO84" i="3"/>
  <c r="AL84" i="3"/>
  <c r="AK84" i="3"/>
  <c r="AJ84" i="3"/>
  <c r="AH84" i="3"/>
  <c r="AG84" i="3"/>
  <c r="AF84" i="3"/>
  <c r="AD84" i="3"/>
  <c r="AC84" i="3"/>
  <c r="AB84" i="3"/>
  <c r="Z84" i="3"/>
  <c r="H84" i="3"/>
  <c r="BJ81" i="3"/>
  <c r="BI81" i="3"/>
  <c r="AE81" i="3" s="1"/>
  <c r="BF81" i="3"/>
  <c r="BD81" i="3"/>
  <c r="AP81" i="3"/>
  <c r="AX81" i="3" s="1"/>
  <c r="AO81" i="3"/>
  <c r="BH81" i="3" s="1"/>
  <c r="AD81" i="3" s="1"/>
  <c r="AL81" i="3"/>
  <c r="AJ81" i="3"/>
  <c r="AH81" i="3"/>
  <c r="AG81" i="3"/>
  <c r="AF81" i="3"/>
  <c r="AC81" i="3"/>
  <c r="AB81" i="3"/>
  <c r="Z81" i="3"/>
  <c r="H81" i="3"/>
  <c r="AK81" i="3" s="1"/>
  <c r="BJ79" i="3"/>
  <c r="BF79" i="3"/>
  <c r="BD79" i="3"/>
  <c r="AP79" i="3"/>
  <c r="AO79" i="3"/>
  <c r="BH79" i="3" s="1"/>
  <c r="AD79" i="3" s="1"/>
  <c r="AL79" i="3"/>
  <c r="AJ79" i="3"/>
  <c r="AH79" i="3"/>
  <c r="AG79" i="3"/>
  <c r="AF79" i="3"/>
  <c r="AC79" i="3"/>
  <c r="AB79" i="3"/>
  <c r="Z79" i="3"/>
  <c r="H79" i="3"/>
  <c r="AK79" i="3" s="1"/>
  <c r="BJ76" i="3"/>
  <c r="BF76" i="3"/>
  <c r="BD76" i="3"/>
  <c r="AP76" i="3"/>
  <c r="AO76" i="3"/>
  <c r="AL76" i="3"/>
  <c r="AJ76" i="3"/>
  <c r="AH76" i="3"/>
  <c r="AG76" i="3"/>
  <c r="AF76" i="3"/>
  <c r="AC76" i="3"/>
  <c r="AB76" i="3"/>
  <c r="Z76" i="3"/>
  <c r="H76" i="3"/>
  <c r="AK76" i="3" s="1"/>
  <c r="BJ74" i="3"/>
  <c r="BI74" i="3"/>
  <c r="AE74" i="3" s="1"/>
  <c r="BF74" i="3"/>
  <c r="BD74" i="3"/>
  <c r="AP74" i="3"/>
  <c r="AX74" i="3" s="1"/>
  <c r="AO74" i="3"/>
  <c r="AL74" i="3"/>
  <c r="AJ74" i="3"/>
  <c r="AH74" i="3"/>
  <c r="AG74" i="3"/>
  <c r="AF74" i="3"/>
  <c r="AC74" i="3"/>
  <c r="AB74" i="3"/>
  <c r="Z74" i="3"/>
  <c r="H74" i="3"/>
  <c r="AK74" i="3" s="1"/>
  <c r="BJ71" i="3"/>
  <c r="BI71" i="3"/>
  <c r="BH71" i="3"/>
  <c r="AD71" i="3" s="1"/>
  <c r="BF71" i="3"/>
  <c r="BD71" i="3"/>
  <c r="AX71" i="3"/>
  <c r="AP71" i="3"/>
  <c r="AO71" i="3"/>
  <c r="AW71" i="3" s="1"/>
  <c r="AL71" i="3"/>
  <c r="AK71" i="3"/>
  <c r="AJ71" i="3"/>
  <c r="AH71" i="3"/>
  <c r="AG71" i="3"/>
  <c r="AF71" i="3"/>
  <c r="AE71" i="3"/>
  <c r="AC71" i="3"/>
  <c r="AB71" i="3"/>
  <c r="Z71" i="3"/>
  <c r="H71" i="3"/>
  <c r="BJ69" i="3"/>
  <c r="BI69" i="3"/>
  <c r="AE69" i="3" s="1"/>
  <c r="BH69" i="3"/>
  <c r="BF69" i="3"/>
  <c r="BD69" i="3"/>
  <c r="AX69" i="3"/>
  <c r="BC69" i="3" s="1"/>
  <c r="AW69" i="3"/>
  <c r="AP69" i="3"/>
  <c r="AO69" i="3"/>
  <c r="AL69" i="3"/>
  <c r="AK69" i="3"/>
  <c r="AJ69" i="3"/>
  <c r="AH69" i="3"/>
  <c r="AG69" i="3"/>
  <c r="AF69" i="3"/>
  <c r="AD69" i="3"/>
  <c r="AC69" i="3"/>
  <c r="AB69" i="3"/>
  <c r="Z69" i="3"/>
  <c r="H69" i="3"/>
  <c r="BJ67" i="3"/>
  <c r="BI67" i="3"/>
  <c r="AE67" i="3" s="1"/>
  <c r="BH67" i="3"/>
  <c r="AD67" i="3" s="1"/>
  <c r="BF67" i="3"/>
  <c r="BD67" i="3"/>
  <c r="AW67" i="3"/>
  <c r="AV67" i="3" s="1"/>
  <c r="AP67" i="3"/>
  <c r="AX67" i="3" s="1"/>
  <c r="AO67" i="3"/>
  <c r="AL67" i="3"/>
  <c r="AK67" i="3"/>
  <c r="AJ67" i="3"/>
  <c r="AH67" i="3"/>
  <c r="AG67" i="3"/>
  <c r="AF67" i="3"/>
  <c r="AC67" i="3"/>
  <c r="AB67" i="3"/>
  <c r="Z67" i="3"/>
  <c r="H67" i="3"/>
  <c r="BJ65" i="3"/>
  <c r="BI65" i="3"/>
  <c r="BH65" i="3"/>
  <c r="AD65" i="3" s="1"/>
  <c r="BF65" i="3"/>
  <c r="BD65" i="3"/>
  <c r="AX65" i="3"/>
  <c r="AP65" i="3"/>
  <c r="AO65" i="3"/>
  <c r="AW65" i="3" s="1"/>
  <c r="AV65" i="3" s="1"/>
  <c r="AL65" i="3"/>
  <c r="AJ65" i="3"/>
  <c r="AH65" i="3"/>
  <c r="AG65" i="3"/>
  <c r="AF65" i="3"/>
  <c r="AE65" i="3"/>
  <c r="AC65" i="3"/>
  <c r="AB65" i="3"/>
  <c r="Z65" i="3"/>
  <c r="H65" i="3"/>
  <c r="AK65" i="3" s="1"/>
  <c r="BJ63" i="3"/>
  <c r="BH63" i="3"/>
  <c r="BF63" i="3"/>
  <c r="BD63" i="3"/>
  <c r="AX63" i="3"/>
  <c r="BC63" i="3" s="1"/>
  <c r="AW63" i="3"/>
  <c r="AP63" i="3"/>
  <c r="BI63" i="3" s="1"/>
  <c r="AE63" i="3" s="1"/>
  <c r="AO63" i="3"/>
  <c r="AL63" i="3"/>
  <c r="AK63" i="3"/>
  <c r="AJ63" i="3"/>
  <c r="AH63" i="3"/>
  <c r="AG63" i="3"/>
  <c r="AF63" i="3"/>
  <c r="AD63" i="3"/>
  <c r="AC63" i="3"/>
  <c r="AB63" i="3"/>
  <c r="Z63" i="3"/>
  <c r="H63" i="3"/>
  <c r="BJ59" i="3"/>
  <c r="BI59" i="3"/>
  <c r="BF59" i="3"/>
  <c r="BD59" i="3"/>
  <c r="AX59" i="3"/>
  <c r="AW59" i="3"/>
  <c r="AV59" i="3" s="1"/>
  <c r="AP59" i="3"/>
  <c r="AO59" i="3"/>
  <c r="BH59" i="3" s="1"/>
  <c r="AD59" i="3" s="1"/>
  <c r="AL59" i="3"/>
  <c r="AJ59" i="3"/>
  <c r="AH59" i="3"/>
  <c r="AG59" i="3"/>
  <c r="AF59" i="3"/>
  <c r="AE59" i="3"/>
  <c r="AC59" i="3"/>
  <c r="AB59" i="3"/>
  <c r="Z59" i="3"/>
  <c r="H59" i="3"/>
  <c r="AK59" i="3" s="1"/>
  <c r="BJ57" i="3"/>
  <c r="BI57" i="3"/>
  <c r="BH57" i="3"/>
  <c r="BF57" i="3"/>
  <c r="BD57" i="3"/>
  <c r="BC57" i="3"/>
  <c r="AX57" i="3"/>
  <c r="AW57" i="3"/>
  <c r="AV57" i="3"/>
  <c r="AP57" i="3"/>
  <c r="AO57" i="3"/>
  <c r="AL57" i="3"/>
  <c r="AU49" i="3" s="1"/>
  <c r="AJ57" i="3"/>
  <c r="AH57" i="3"/>
  <c r="AG57" i="3"/>
  <c r="AF57" i="3"/>
  <c r="AE57" i="3"/>
  <c r="AD57" i="3"/>
  <c r="AC57" i="3"/>
  <c r="AB57" i="3"/>
  <c r="Z57" i="3"/>
  <c r="H57" i="3"/>
  <c r="AK57" i="3" s="1"/>
  <c r="BJ55" i="3"/>
  <c r="BH55" i="3"/>
  <c r="BF55" i="3"/>
  <c r="BD55" i="3"/>
  <c r="AX55" i="3"/>
  <c r="AW55" i="3"/>
  <c r="AP55" i="3"/>
  <c r="BI55" i="3" s="1"/>
  <c r="AE55" i="3" s="1"/>
  <c r="AO55" i="3"/>
  <c r="AL55" i="3"/>
  <c r="AK55" i="3"/>
  <c r="AJ55" i="3"/>
  <c r="AH55" i="3"/>
  <c r="AG55" i="3"/>
  <c r="AF55" i="3"/>
  <c r="AD55" i="3"/>
  <c r="AC55" i="3"/>
  <c r="AB55" i="3"/>
  <c r="Z55" i="3"/>
  <c r="H55" i="3"/>
  <c r="BJ50" i="3"/>
  <c r="BF50" i="3"/>
  <c r="BD50" i="3"/>
  <c r="AP50" i="3"/>
  <c r="BI50" i="3" s="1"/>
  <c r="AE50" i="3" s="1"/>
  <c r="AO50" i="3"/>
  <c r="BH50" i="3" s="1"/>
  <c r="AD50" i="3" s="1"/>
  <c r="AL50" i="3"/>
  <c r="AJ50" i="3"/>
  <c r="AH50" i="3"/>
  <c r="AG50" i="3"/>
  <c r="AF50" i="3"/>
  <c r="AC50" i="3"/>
  <c r="AB50" i="3"/>
  <c r="Z50" i="3"/>
  <c r="H50" i="3"/>
  <c r="BJ48" i="3"/>
  <c r="Z48" i="3" s="1"/>
  <c r="BI48" i="3"/>
  <c r="BF48" i="3"/>
  <c r="BD48" i="3"/>
  <c r="BC48" i="3"/>
  <c r="AX48" i="3"/>
  <c r="AW48" i="3"/>
  <c r="AV48" i="3" s="1"/>
  <c r="AP48" i="3"/>
  <c r="AO48" i="3"/>
  <c r="BH48" i="3" s="1"/>
  <c r="AL48" i="3"/>
  <c r="AK48" i="3"/>
  <c r="AJ48" i="3"/>
  <c r="AH48" i="3"/>
  <c r="AG48" i="3"/>
  <c r="AF48" i="3"/>
  <c r="AE48" i="3"/>
  <c r="AD48" i="3"/>
  <c r="AC48" i="3"/>
  <c r="AB48" i="3"/>
  <c r="H48" i="3"/>
  <c r="BJ45" i="3"/>
  <c r="BI45" i="3"/>
  <c r="BH45" i="3"/>
  <c r="BF45" i="3"/>
  <c r="BD45" i="3"/>
  <c r="AX45" i="3"/>
  <c r="BC45" i="3" s="1"/>
  <c r="AW45" i="3"/>
  <c r="AV45" i="3"/>
  <c r="AP45" i="3"/>
  <c r="AO45" i="3"/>
  <c r="AL45" i="3"/>
  <c r="AJ45" i="3"/>
  <c r="AH45" i="3"/>
  <c r="AG45" i="3"/>
  <c r="AF45" i="3"/>
  <c r="AE45" i="3"/>
  <c r="AD45" i="3"/>
  <c r="AC45" i="3"/>
  <c r="AB45" i="3"/>
  <c r="Z45" i="3"/>
  <c r="H45" i="3"/>
  <c r="AK45" i="3" s="1"/>
  <c r="BJ42" i="3"/>
  <c r="BH42" i="3"/>
  <c r="AD42" i="3" s="1"/>
  <c r="BF42" i="3"/>
  <c r="BD42" i="3"/>
  <c r="AX42" i="3"/>
  <c r="AW42" i="3"/>
  <c r="AP42" i="3"/>
  <c r="BI42" i="3" s="1"/>
  <c r="AE42" i="3" s="1"/>
  <c r="AO42" i="3"/>
  <c r="AL42" i="3"/>
  <c r="AK42" i="3"/>
  <c r="AJ42" i="3"/>
  <c r="AH42" i="3"/>
  <c r="AG42" i="3"/>
  <c r="AF42" i="3"/>
  <c r="AC42" i="3"/>
  <c r="AB42" i="3"/>
  <c r="Z42" i="3"/>
  <c r="H42" i="3"/>
  <c r="BJ39" i="3"/>
  <c r="BF39" i="3"/>
  <c r="BD39" i="3"/>
  <c r="AW39" i="3"/>
  <c r="AP39" i="3"/>
  <c r="BI39" i="3" s="1"/>
  <c r="AE39" i="3" s="1"/>
  <c r="AO39" i="3"/>
  <c r="BH39" i="3" s="1"/>
  <c r="AD39" i="3" s="1"/>
  <c r="AL39" i="3"/>
  <c r="AJ39" i="3"/>
  <c r="AH39" i="3"/>
  <c r="AG39" i="3"/>
  <c r="AF39" i="3"/>
  <c r="AC39" i="3"/>
  <c r="AB39" i="3"/>
  <c r="Z39" i="3"/>
  <c r="H39" i="3"/>
  <c r="AK39" i="3" s="1"/>
  <c r="BJ36" i="3"/>
  <c r="BF36" i="3"/>
  <c r="BD36" i="3"/>
  <c r="AP36" i="3"/>
  <c r="AO36" i="3"/>
  <c r="AL36" i="3"/>
  <c r="AJ36" i="3"/>
  <c r="AH36" i="3"/>
  <c r="AG36" i="3"/>
  <c r="AF36" i="3"/>
  <c r="AC36" i="3"/>
  <c r="AB36" i="3"/>
  <c r="Z36" i="3"/>
  <c r="H36" i="3"/>
  <c r="AK36" i="3" s="1"/>
  <c r="BJ34" i="3"/>
  <c r="BF34" i="3"/>
  <c r="BD34" i="3"/>
  <c r="AP34" i="3"/>
  <c r="AO34" i="3"/>
  <c r="AL34" i="3"/>
  <c r="AK34" i="3"/>
  <c r="AT33" i="3" s="1"/>
  <c r="AJ34" i="3"/>
  <c r="AH34" i="3"/>
  <c r="AG34" i="3"/>
  <c r="AF34" i="3"/>
  <c r="AC34" i="3"/>
  <c r="AB34" i="3"/>
  <c r="Z34" i="3"/>
  <c r="H34" i="3"/>
  <c r="AU33" i="3"/>
  <c r="BJ30" i="3"/>
  <c r="BH30" i="3"/>
  <c r="AD30" i="3" s="1"/>
  <c r="BF30" i="3"/>
  <c r="BD30" i="3"/>
  <c r="AW30" i="3"/>
  <c r="AP30" i="3"/>
  <c r="BI30" i="3" s="1"/>
  <c r="AO30" i="3"/>
  <c r="AL30" i="3"/>
  <c r="AK30" i="3"/>
  <c r="AJ30" i="3"/>
  <c r="AH30" i="3"/>
  <c r="AG30" i="3"/>
  <c r="AF30" i="3"/>
  <c r="AE30" i="3"/>
  <c r="AC30" i="3"/>
  <c r="AB30" i="3"/>
  <c r="Z30" i="3"/>
  <c r="H30" i="3"/>
  <c r="BJ29" i="3"/>
  <c r="BI29" i="3"/>
  <c r="BF29" i="3"/>
  <c r="BD29" i="3"/>
  <c r="AX29" i="3"/>
  <c r="AW29" i="3"/>
  <c r="BC29" i="3" s="1"/>
  <c r="AP29" i="3"/>
  <c r="AO29" i="3"/>
  <c r="BH29" i="3" s="1"/>
  <c r="AL29" i="3"/>
  <c r="AJ29" i="3"/>
  <c r="AH29" i="3"/>
  <c r="AG29" i="3"/>
  <c r="AF29" i="3"/>
  <c r="AE29" i="3"/>
  <c r="AD29" i="3"/>
  <c r="AC29" i="3"/>
  <c r="AB29" i="3"/>
  <c r="Z29" i="3"/>
  <c r="H29" i="3"/>
  <c r="AK29" i="3" s="1"/>
  <c r="BJ27" i="3"/>
  <c r="BF27" i="3"/>
  <c r="BD27" i="3"/>
  <c r="AW27" i="3"/>
  <c r="AP27" i="3"/>
  <c r="AO27" i="3"/>
  <c r="BH27" i="3" s="1"/>
  <c r="AD27" i="3" s="1"/>
  <c r="AL27" i="3"/>
  <c r="AJ27" i="3"/>
  <c r="AH27" i="3"/>
  <c r="AG27" i="3"/>
  <c r="AF27" i="3"/>
  <c r="AC27" i="3"/>
  <c r="AB27" i="3"/>
  <c r="Z27" i="3"/>
  <c r="H27" i="3"/>
  <c r="AK27" i="3" s="1"/>
  <c r="BJ24" i="3"/>
  <c r="BF24" i="3"/>
  <c r="BD24" i="3"/>
  <c r="AP24" i="3"/>
  <c r="AO24" i="3"/>
  <c r="AL24" i="3"/>
  <c r="AJ24" i="3"/>
  <c r="AH24" i="3"/>
  <c r="AG24" i="3"/>
  <c r="AF24" i="3"/>
  <c r="AC24" i="3"/>
  <c r="AB24" i="3"/>
  <c r="Z24" i="3"/>
  <c r="H24" i="3"/>
  <c r="AK24" i="3" s="1"/>
  <c r="BJ21" i="3"/>
  <c r="BF21" i="3"/>
  <c r="BD21" i="3"/>
  <c r="AP21" i="3"/>
  <c r="AX21" i="3" s="1"/>
  <c r="AO21" i="3"/>
  <c r="AL21" i="3"/>
  <c r="AJ21" i="3"/>
  <c r="AH21" i="3"/>
  <c r="AG21" i="3"/>
  <c r="AF21" i="3"/>
  <c r="AC21" i="3"/>
  <c r="AB21" i="3"/>
  <c r="Z21" i="3"/>
  <c r="H21" i="3"/>
  <c r="H20" i="3" s="1"/>
  <c r="AS20" i="3"/>
  <c r="BJ18" i="3"/>
  <c r="BF18" i="3"/>
  <c r="BD18" i="3"/>
  <c r="AP18" i="3"/>
  <c r="BI18" i="3" s="1"/>
  <c r="AE18" i="3" s="1"/>
  <c r="AO18" i="3"/>
  <c r="BH18" i="3" s="1"/>
  <c r="AD18" i="3" s="1"/>
  <c r="AL18" i="3"/>
  <c r="AJ18" i="3"/>
  <c r="AH18" i="3"/>
  <c r="AG18" i="3"/>
  <c r="AF18" i="3"/>
  <c r="AC18" i="3"/>
  <c r="AB18" i="3"/>
  <c r="Z18" i="3"/>
  <c r="H18" i="3"/>
  <c r="AU17" i="3"/>
  <c r="BJ14" i="3"/>
  <c r="BF14" i="3"/>
  <c r="BD14" i="3"/>
  <c r="AP14" i="3"/>
  <c r="AX14" i="3" s="1"/>
  <c r="AO14" i="3"/>
  <c r="BH14" i="3" s="1"/>
  <c r="AB14" i="3" s="1"/>
  <c r="AL14" i="3"/>
  <c r="AJ14" i="3"/>
  <c r="AS13" i="3" s="1"/>
  <c r="AH14" i="3"/>
  <c r="AG14" i="3"/>
  <c r="AF14" i="3"/>
  <c r="AE14" i="3"/>
  <c r="AD14" i="3"/>
  <c r="Z14" i="3"/>
  <c r="H14" i="3"/>
  <c r="H13" i="3" s="1"/>
  <c r="AU13" i="3"/>
  <c r="AU1" i="3"/>
  <c r="AT1" i="3"/>
  <c r="AS1" i="3"/>
  <c r="I37" i="2"/>
  <c r="I36" i="2"/>
  <c r="I38" i="2" s="1"/>
  <c r="I24" i="1" s="1"/>
  <c r="I27" i="2"/>
  <c r="I26" i="2"/>
  <c r="I25" i="2"/>
  <c r="I17" i="1" s="1"/>
  <c r="I24" i="2"/>
  <c r="I16" i="1" s="1"/>
  <c r="I23" i="2"/>
  <c r="I15" i="1" s="1"/>
  <c r="I18" i="2"/>
  <c r="F17" i="1" s="1"/>
  <c r="I17" i="2"/>
  <c r="F16" i="1" s="1"/>
  <c r="I16" i="2"/>
  <c r="F15" i="1" s="1"/>
  <c r="I15" i="2"/>
  <c r="F14" i="1" s="1"/>
  <c r="I10" i="2"/>
  <c r="F10" i="2"/>
  <c r="C10" i="2"/>
  <c r="F8" i="2"/>
  <c r="C8" i="2"/>
  <c r="F6" i="2"/>
  <c r="C6" i="2"/>
  <c r="F4" i="2"/>
  <c r="C4" i="2"/>
  <c r="F2" i="2"/>
  <c r="C2" i="2"/>
  <c r="I19" i="1"/>
  <c r="I18" i="1"/>
  <c r="I10" i="1"/>
  <c r="F10" i="1"/>
  <c r="C10" i="1"/>
  <c r="F8" i="1"/>
  <c r="C8" i="1"/>
  <c r="F6" i="1"/>
  <c r="C6" i="1"/>
  <c r="F4" i="1"/>
  <c r="C4" i="1"/>
  <c r="F2" i="1"/>
  <c r="C2" i="1"/>
  <c r="BI14" i="3" l="1"/>
  <c r="AC14" i="3" s="1"/>
  <c r="C27" i="1"/>
  <c r="C29" i="1"/>
  <c r="F29" i="1" s="1"/>
  <c r="C21" i="1"/>
  <c r="AK14" i="3"/>
  <c r="AT13" i="3" s="1"/>
  <c r="I19" i="2"/>
  <c r="AV39" i="3"/>
  <c r="AV27" i="3"/>
  <c r="AK21" i="3"/>
  <c r="AT20" i="3" s="1"/>
  <c r="BC84" i="3"/>
  <c r="AV84" i="3"/>
  <c r="AV92" i="3"/>
  <c r="BH119" i="3"/>
  <c r="AD119" i="3" s="1"/>
  <c r="AW119" i="3"/>
  <c r="BH139" i="3"/>
  <c r="AD139" i="3" s="1"/>
  <c r="AW139" i="3"/>
  <c r="AT199" i="3"/>
  <c r="BH215" i="3"/>
  <c r="AF215" i="3" s="1"/>
  <c r="AW215" i="3"/>
  <c r="BC220" i="3"/>
  <c r="AV220" i="3"/>
  <c r="BH226" i="3"/>
  <c r="AW226" i="3"/>
  <c r="AV229" i="3"/>
  <c r="BI27" i="3"/>
  <c r="AE27" i="3" s="1"/>
  <c r="AX27" i="3"/>
  <c r="BC39" i="3"/>
  <c r="BC71" i="3"/>
  <c r="AV71" i="3"/>
  <c r="BI79" i="3"/>
  <c r="AE79" i="3" s="1"/>
  <c r="AX79" i="3"/>
  <c r="BH107" i="3"/>
  <c r="AD107" i="3" s="1"/>
  <c r="AW107" i="3"/>
  <c r="AX119" i="3"/>
  <c r="BI119" i="3"/>
  <c r="AE119" i="3" s="1"/>
  <c r="AX139" i="3"/>
  <c r="BI139" i="3"/>
  <c r="AE139" i="3" s="1"/>
  <c r="AT166" i="3"/>
  <c r="AV167" i="3"/>
  <c r="BC177" i="3"/>
  <c r="BH188" i="3"/>
  <c r="AB188" i="3" s="1"/>
  <c r="AW188" i="3"/>
  <c r="BC205" i="3"/>
  <c r="AV205" i="3"/>
  <c r="H199" i="3"/>
  <c r="AK208" i="3"/>
  <c r="AX215" i="3"/>
  <c r="BI215" i="3"/>
  <c r="AG215" i="3" s="1"/>
  <c r="AX226" i="3"/>
  <c r="BI226" i="3"/>
  <c r="AU20" i="3"/>
  <c r="AW21" i="3"/>
  <c r="BH21" i="3"/>
  <c r="AD21" i="3" s="1"/>
  <c r="C16" i="1" s="1"/>
  <c r="BC104" i="3"/>
  <c r="AV104" i="3"/>
  <c r="AX107" i="3"/>
  <c r="BI107" i="3"/>
  <c r="AE107" i="3" s="1"/>
  <c r="AU109" i="3"/>
  <c r="BC144" i="3"/>
  <c r="AV144" i="3"/>
  <c r="BC180" i="3"/>
  <c r="AX188" i="3"/>
  <c r="BI188" i="3"/>
  <c r="AC188" i="3" s="1"/>
  <c r="BC27" i="3"/>
  <c r="AW175" i="3"/>
  <c r="BH175" i="3"/>
  <c r="AF175" i="3" s="1"/>
  <c r="C18" i="1" s="1"/>
  <c r="AK18" i="3"/>
  <c r="AT17" i="3" s="1"/>
  <c r="H17" i="3"/>
  <c r="BC59" i="3"/>
  <c r="AV161" i="3"/>
  <c r="AS166" i="3"/>
  <c r="AX179" i="3"/>
  <c r="AV211" i="3"/>
  <c r="BC211" i="3"/>
  <c r="BI228" i="3"/>
  <c r="AX228" i="3"/>
  <c r="AV228" i="3" s="1"/>
  <c r="AS17" i="3"/>
  <c r="AX34" i="3"/>
  <c r="BI34" i="3"/>
  <c r="AE34" i="3" s="1"/>
  <c r="AW134" i="3"/>
  <c r="BC179" i="3"/>
  <c r="AV179" i="3"/>
  <c r="AW18" i="3"/>
  <c r="BC42" i="3"/>
  <c r="AV42" i="3"/>
  <c r="AK50" i="3"/>
  <c r="AT49" i="3" s="1"/>
  <c r="H49" i="3"/>
  <c r="H231" i="3" s="1"/>
  <c r="AW50" i="3"/>
  <c r="BC65" i="3"/>
  <c r="AW74" i="3"/>
  <c r="BH74" i="3"/>
  <c r="AD74" i="3" s="1"/>
  <c r="AW81" i="3"/>
  <c r="BC89" i="3"/>
  <c r="AT148" i="3"/>
  <c r="BC163" i="3"/>
  <c r="AV163" i="3"/>
  <c r="AX192" i="3"/>
  <c r="BC192" i="3" s="1"/>
  <c r="BC206" i="3"/>
  <c r="AV206" i="3"/>
  <c r="BC217" i="3"/>
  <c r="AV217" i="3"/>
  <c r="AW223" i="3"/>
  <c r="BH223" i="3"/>
  <c r="BC126" i="3"/>
  <c r="AV126" i="3"/>
  <c r="AX18" i="3"/>
  <c r="BI21" i="3"/>
  <c r="AE21" i="3" s="1"/>
  <c r="C17" i="1" s="1"/>
  <c r="BH36" i="3"/>
  <c r="AD36" i="3" s="1"/>
  <c r="AW36" i="3"/>
  <c r="AS49" i="3"/>
  <c r="BC95" i="3"/>
  <c r="AW146" i="3"/>
  <c r="BH146" i="3"/>
  <c r="AB146" i="3" s="1"/>
  <c r="AU148" i="3"/>
  <c r="BC165" i="3"/>
  <c r="BH176" i="3"/>
  <c r="AB176" i="3" s="1"/>
  <c r="AW176" i="3"/>
  <c r="AV200" i="3"/>
  <c r="BC200" i="3"/>
  <c r="AK223" i="3"/>
  <c r="AT216" i="3" s="1"/>
  <c r="H216" i="3"/>
  <c r="BC230" i="3"/>
  <c r="AV230" i="3"/>
  <c r="H33" i="3"/>
  <c r="AV182" i="3"/>
  <c r="BC182" i="3"/>
  <c r="BC186" i="3"/>
  <c r="AV186" i="3"/>
  <c r="AV197" i="3"/>
  <c r="BC213" i="3"/>
  <c r="AV213" i="3"/>
  <c r="AW14" i="3"/>
  <c r="BH24" i="3"/>
  <c r="AD24" i="3" s="1"/>
  <c r="AW24" i="3"/>
  <c r="AX30" i="3"/>
  <c r="BI36" i="3"/>
  <c r="AE36" i="3" s="1"/>
  <c r="AX36" i="3"/>
  <c r="AS33" i="3"/>
  <c r="AW117" i="3"/>
  <c r="BH117" i="3"/>
  <c r="AD117" i="3" s="1"/>
  <c r="BH129" i="3"/>
  <c r="AD129" i="3" s="1"/>
  <c r="AW129" i="3"/>
  <c r="AW137" i="3"/>
  <c r="BH137" i="3"/>
  <c r="AD137" i="3" s="1"/>
  <c r="AT160" i="3"/>
  <c r="AV170" i="3"/>
  <c r="AX176" i="3"/>
  <c r="BI176" i="3"/>
  <c r="AC176" i="3" s="1"/>
  <c r="AW178" i="3"/>
  <c r="BC198" i="3"/>
  <c r="AV198" i="3"/>
  <c r="AS199" i="3"/>
  <c r="AV203" i="3"/>
  <c r="AW214" i="3"/>
  <c r="BH214" i="3"/>
  <c r="AF214" i="3" s="1"/>
  <c r="BH34" i="3"/>
  <c r="AD34" i="3" s="1"/>
  <c r="AW34" i="3"/>
  <c r="BI122" i="3"/>
  <c r="AE122" i="3" s="1"/>
  <c r="AX122" i="3"/>
  <c r="BC153" i="3"/>
  <c r="AV153" i="3"/>
  <c r="AX24" i="3"/>
  <c r="BI24" i="3"/>
  <c r="AE24" i="3" s="1"/>
  <c r="C20" i="1"/>
  <c r="AV29" i="3"/>
  <c r="AW106" i="3"/>
  <c r="BH106" i="3"/>
  <c r="AX129" i="3"/>
  <c r="BI129" i="3"/>
  <c r="AE129" i="3" s="1"/>
  <c r="AW155" i="3"/>
  <c r="BH155" i="3"/>
  <c r="AB155" i="3" s="1"/>
  <c r="C14" i="1" s="1"/>
  <c r="AU160" i="3"/>
  <c r="AU166" i="3"/>
  <c r="BC183" i="3"/>
  <c r="AW187" i="3"/>
  <c r="BH187" i="3"/>
  <c r="AB187" i="3" s="1"/>
  <c r="AT210" i="3"/>
  <c r="BH76" i="3"/>
  <c r="AD76" i="3" s="1"/>
  <c r="AW76" i="3"/>
  <c r="BC125" i="3"/>
  <c r="H128" i="3"/>
  <c r="AK146" i="3"/>
  <c r="AT141" i="3" s="1"/>
  <c r="H141" i="3"/>
  <c r="AV172" i="3"/>
  <c r="BC174" i="3"/>
  <c r="AV174" i="3"/>
  <c r="BC181" i="3"/>
  <c r="BC196" i="3"/>
  <c r="AW208" i="3"/>
  <c r="BH208" i="3"/>
  <c r="AF208" i="3" s="1"/>
  <c r="AU210" i="3"/>
  <c r="BC114" i="3"/>
  <c r="AV114" i="3"/>
  <c r="BI189" i="3"/>
  <c r="AG189" i="3" s="1"/>
  <c r="C19" i="1" s="1"/>
  <c r="AX189" i="3"/>
  <c r="F22" i="1"/>
  <c r="BC55" i="3"/>
  <c r="AV55" i="3"/>
  <c r="AV63" i="3"/>
  <c r="AX76" i="3"/>
  <c r="BI76" i="3"/>
  <c r="AE76" i="3" s="1"/>
  <c r="AK117" i="3"/>
  <c r="AT109" i="3" s="1"/>
  <c r="H109" i="3"/>
  <c r="BI131" i="3"/>
  <c r="AE131" i="3" s="1"/>
  <c r="AX131" i="3"/>
  <c r="AK137" i="3"/>
  <c r="AT136" i="3" s="1"/>
  <c r="H136" i="3"/>
  <c r="BI177" i="3"/>
  <c r="AC177" i="3" s="1"/>
  <c r="C15" i="1" s="1"/>
  <c r="AX177" i="3"/>
  <c r="AV177" i="3" s="1"/>
  <c r="AW191" i="3"/>
  <c r="BC212" i="3"/>
  <c r="AV212" i="3"/>
  <c r="AU216" i="3"/>
  <c r="BC67" i="3"/>
  <c r="BC98" i="3"/>
  <c r="BC149" i="3"/>
  <c r="BC161" i="3"/>
  <c r="BC172" i="3"/>
  <c r="BC184" i="3"/>
  <c r="BC197" i="3"/>
  <c r="BC203" i="3"/>
  <c r="BH217" i="3"/>
  <c r="AX39" i="3"/>
  <c r="AX50" i="3"/>
  <c r="AW79" i="3"/>
  <c r="AW122" i="3"/>
  <c r="AX125" i="3"/>
  <c r="AV125" i="3" s="1"/>
  <c r="AW131" i="3"/>
  <c r="AW189" i="3"/>
  <c r="AX191" i="3"/>
  <c r="H166" i="3"/>
  <c r="AV69" i="3"/>
  <c r="AV101" i="3"/>
  <c r="AV110" i="3"/>
  <c r="AV142" i="3"/>
  <c r="AV151" i="3"/>
  <c r="AV162" i="3"/>
  <c r="AV173" i="3"/>
  <c r="AV185" i="3"/>
  <c r="C22" i="1" l="1"/>
  <c r="BC146" i="3"/>
  <c r="AV146" i="3"/>
  <c r="BC215" i="3"/>
  <c r="AV215" i="3"/>
  <c r="BC24" i="3"/>
  <c r="AV24" i="3"/>
  <c r="BC50" i="3"/>
  <c r="AV50" i="3"/>
  <c r="BC188" i="3"/>
  <c r="AV188" i="3"/>
  <c r="BC155" i="3"/>
  <c r="AV155" i="3"/>
  <c r="BC189" i="3"/>
  <c r="AV189" i="3"/>
  <c r="BC34" i="3"/>
  <c r="AV34" i="3"/>
  <c r="BC228" i="3"/>
  <c r="BC175" i="3"/>
  <c r="AV175" i="3"/>
  <c r="BC36" i="3"/>
  <c r="AV36" i="3"/>
  <c r="BC139" i="3"/>
  <c r="AV139" i="3"/>
  <c r="AV192" i="3"/>
  <c r="BC18" i="3"/>
  <c r="AV18" i="3"/>
  <c r="BC176" i="3"/>
  <c r="AV176" i="3"/>
  <c r="BC122" i="3"/>
  <c r="AV122" i="3"/>
  <c r="BC117" i="3"/>
  <c r="AV117" i="3"/>
  <c r="BC226" i="3"/>
  <c r="AV226" i="3"/>
  <c r="BC30" i="3"/>
  <c r="AV30" i="3"/>
  <c r="BC131" i="3"/>
  <c r="AV131" i="3"/>
  <c r="BC76" i="3"/>
  <c r="AV76" i="3"/>
  <c r="BC129" i="3"/>
  <c r="AV129" i="3"/>
  <c r="BC79" i="3"/>
  <c r="AV79" i="3"/>
  <c r="BC191" i="3"/>
  <c r="AV191" i="3"/>
  <c r="BC81" i="3"/>
  <c r="AV81" i="3"/>
  <c r="BC134" i="3"/>
  <c r="AV134" i="3"/>
  <c r="AV14" i="3"/>
  <c r="BC14" i="3"/>
  <c r="BC137" i="3"/>
  <c r="AV137" i="3"/>
  <c r="BC214" i="3"/>
  <c r="AV214" i="3"/>
  <c r="BC187" i="3"/>
  <c r="AV187" i="3"/>
  <c r="BC107" i="3"/>
  <c r="AV107" i="3"/>
  <c r="BC21" i="3"/>
  <c r="AV21" i="3"/>
  <c r="BC106" i="3"/>
  <c r="AV106" i="3"/>
  <c r="BC119" i="3"/>
  <c r="AV119" i="3"/>
  <c r="BC208" i="3"/>
  <c r="AV208" i="3"/>
  <c r="BC178" i="3"/>
  <c r="AV178" i="3"/>
  <c r="BC223" i="3"/>
  <c r="AV223" i="3"/>
  <c r="BC74" i="3"/>
  <c r="AV74" i="3"/>
  <c r="H12" i="3"/>
  <c r="I28" i="2" l="1"/>
  <c r="F30" i="2" s="1"/>
  <c r="I14" i="1"/>
  <c r="I22" i="1" s="1"/>
  <c r="C28" i="1" s="1"/>
  <c r="F28" i="1" l="1"/>
  <c r="I28" i="1"/>
  <c r="I29" i="1" l="1"/>
</calcChain>
</file>

<file path=xl/sharedStrings.xml><?xml version="1.0" encoding="utf-8"?>
<sst xmlns="http://schemas.openxmlformats.org/spreadsheetml/2006/main" count="1729" uniqueCount="572">
  <si>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</si>
  <si>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</si>
  <si>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</si>
  <si>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</si>
  <si>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</si>
  <si>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</si>
  <si>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</si>
  <si>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</si>
  <si>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</si>
  <si>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</si>
  <si>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</si>
  <si>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</si>
  <si>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</si>
  <si>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</si>
  <si>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</si>
  <si>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</si>
  <si>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</si>
  <si>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</si>
  <si>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</si>
  <si>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</si>
  <si>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</si>
  <si>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</si>
  <si>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</si>
  <si>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</si>
  <si>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Dokumentace skutečné</t>
  </si>
  <si>
    <t>Zařízení staveniště</t>
  </si>
  <si>
    <t>Montáž</t>
  </si>
  <si>
    <t>Koordinační činnost</t>
  </si>
  <si>
    <t>Mimostav. doprava</t>
  </si>
  <si>
    <t>PSV</t>
  </si>
  <si>
    <t>Pojištění stavby</t>
  </si>
  <si>
    <t>Územní vlivy</t>
  </si>
  <si>
    <t>Zpracování provozní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</si>
  <si>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</si>
  <si>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</si>
  <si>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</si>
  <si>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</si>
  <si>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</si>
  <si>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</si>
  <si>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</si>
  <si>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</si>
  <si>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</si>
  <si>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</si>
  <si>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</si>
  <si>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</si>
  <si>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</si>
  <si>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</si>
  <si>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</si>
  <si>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</si>
  <si>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</si>
  <si>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</si>
  <si>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</si>
  <si>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</si>
  <si>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</si>
  <si>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</si>
  <si>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</si>
  <si>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</si>
  <si>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</si>
  <si>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</si>
  <si>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</si>
  <si>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</si>
  <si>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</si>
  <si>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</si>
  <si>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</si>
  <si>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</si>
  <si>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</si>
  <si>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</si>
  <si>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</si>
  <si>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</si>
  <si>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</si>
  <si>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Slepý stavební rozpočet</t>
  </si>
  <si>
    <t>Oprava střešního pláště na objektu Jeřábkovo nám. 456, Česká Lípa</t>
  </si>
  <si>
    <t>Doba výstavby:</t>
  </si>
  <si>
    <t xml:space="preserve"> </t>
  </si>
  <si>
    <t> </t>
  </si>
  <si>
    <t>17.12.2024</t>
  </si>
  <si>
    <t>Česká Lípa</t>
  </si>
  <si>
    <t>Zpracováno dne: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</si>
  <si>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</si>
  <si>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</si>
  <si>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</si>
  <si>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</si>
  <si>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</si>
  <si>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</si>
  <si>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</si>
  <si>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</si>
  <si>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</si>
  <si>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</si>
  <si>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</si>
  <si>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</si>
  <si>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</si>
  <si>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</si>
  <si>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</si>
  <si>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</si>
  <si>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</si>
  <si>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</si>
  <si>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</si>
  <si>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</si>
  <si>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</si>
  <si>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</si>
  <si>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</si>
  <si>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</si>
  <si>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</si>
  <si>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</si>
  <si>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</si>
  <si>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</si>
  <si>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41</t>
  </si>
  <si>
    <t>Stropy a stropní konstrukce (pro pozemní stavby)</t>
  </si>
  <si>
    <t>1</t>
  </si>
  <si>
    <t>R411321313R00</t>
  </si>
  <si>
    <t>Stropy deskové ze železobetonu C 16/20 XC2</t>
  </si>
  <si>
    <t>m3</t>
  </si>
  <si>
    <t>RTS II / 2023</t>
  </si>
  <si>
    <t>41_</t>
  </si>
  <si>
    <t>_4_</t>
  </si>
  <si>
    <t>_</t>
  </si>
  <si>
    <t>Varianta:</t>
  </si>
  <si>
    <t>nové zákrytové desky nad komín včetně bednění a výztuže</t>
  </si>
  <si>
    <t>0,11</t>
  </si>
  <si>
    <t>711</t>
  </si>
  <si>
    <t>Izolace proti vodě</t>
  </si>
  <si>
    <t>2</t>
  </si>
  <si>
    <t>711140102R00</t>
  </si>
  <si>
    <t>Odstranění izolace proti vlhkosti na ploše vodorovné, asfaltové pásy přitavením, 2 vrstvy</t>
  </si>
  <si>
    <t>m2</t>
  </si>
  <si>
    <t>7</t>
  </si>
  <si>
    <t>711_</t>
  </si>
  <si>
    <t>_71_</t>
  </si>
  <si>
    <t>118</t>
  </si>
  <si>
    <t>712</t>
  </si>
  <si>
    <t>Izolace střech (živičné krytiny)</t>
  </si>
  <si>
    <t>3</t>
  </si>
  <si>
    <t>712351111RT2</t>
  </si>
  <si>
    <t>Provedení povlakové krytiny střech do 10°, samolepicími asfaltovými pásy</t>
  </si>
  <si>
    <t>712_</t>
  </si>
  <si>
    <t>včetně dodávky asfaltového pásu (např. Glastek 30 sticker plus)</t>
  </si>
  <si>
    <t>120*1,1</t>
  </si>
  <si>
    <t>4</t>
  </si>
  <si>
    <t>712341559RV1</t>
  </si>
  <si>
    <t>Provedení povlakové krytiny střech do 10°, asfaltovými pásy, přitavení celoplošně</t>
  </si>
  <si>
    <t>1 vrstva - včetně dodávky (např.Elastek 40 special dekor)</t>
  </si>
  <si>
    <t>5</t>
  </si>
  <si>
    <t>R73631231</t>
  </si>
  <si>
    <t>separační vrstva z pp vláken dodávka a montáž</t>
  </si>
  <si>
    <t>vlastní</t>
  </si>
  <si>
    <t>2*7</t>
  </si>
  <si>
    <t>6</t>
  </si>
  <si>
    <t>998712102R00</t>
  </si>
  <si>
    <t>Přesun hmot pro povlakové krytiny, výšky do 12 m</t>
  </si>
  <si>
    <t>t</t>
  </si>
  <si>
    <t>712378105RT1</t>
  </si>
  <si>
    <t>Povlaková krytina střech do 10°, fólie, prostup parozábranou s manžetou PVC</t>
  </si>
  <si>
    <t>kus</t>
  </si>
  <si>
    <t>průměr prostupu 50 mm</t>
  </si>
  <si>
    <t>762</t>
  </si>
  <si>
    <t>Konstrukce tesařské</t>
  </si>
  <si>
    <t>8</t>
  </si>
  <si>
    <t>762341811R00</t>
  </si>
  <si>
    <t>Demontáž bednění střech rovných z prken hrubých</t>
  </si>
  <si>
    <t>762_</t>
  </si>
  <si>
    <t>_76_</t>
  </si>
  <si>
    <t>118*0,2</t>
  </si>
  <si>
    <t>20% výměna dřevěných prvků</t>
  </si>
  <si>
    <t>9</t>
  </si>
  <si>
    <t>762341410RT2</t>
  </si>
  <si>
    <t>Montáž bednění, prkna hrubá 32 mm</t>
  </si>
  <si>
    <t>včetně dodávky řeziva, prkna tl. 24 mm</t>
  </si>
  <si>
    <t>10</t>
  </si>
  <si>
    <t>762342202RT4</t>
  </si>
  <si>
    <t>Montáž laťování střech, vzdálenost latí do 22 cm</t>
  </si>
  <si>
    <t>včetně dodávky řeziva, latě 4/6 cm</t>
  </si>
  <si>
    <t>100</t>
  </si>
  <si>
    <t>11</t>
  </si>
  <si>
    <t>762342205RT4</t>
  </si>
  <si>
    <t>Montáž kontralatí na vruty, s těsnicí pěnou</t>
  </si>
  <si>
    <t>včetně dodávky latí 4/6 cm</t>
  </si>
  <si>
    <t>12</t>
  </si>
  <si>
    <t>762211220R00</t>
  </si>
  <si>
    <t>Montáž schodiště přímočarého s podstup. š. do 1 m</t>
  </si>
  <si>
    <t>m</t>
  </si>
  <si>
    <t xml:space="preserve">jednoduché schodiště viz. PD včetně materiálu
</t>
  </si>
  <si>
    <t>13</t>
  </si>
  <si>
    <t>998762102R00</t>
  </si>
  <si>
    <t>Přesun hmot pro tesařské konstrukce, výšky do 12 m</t>
  </si>
  <si>
    <t>764</t>
  </si>
  <si>
    <t>Konstrukce klempířské</t>
  </si>
  <si>
    <t>14</t>
  </si>
  <si>
    <t>764311842RT1</t>
  </si>
  <si>
    <t>Demontáž krytiny, tabule 2 x 1m, nad 25 m2, nad 45°</t>
  </si>
  <si>
    <t>764_</t>
  </si>
  <si>
    <t>z Pz plechu</t>
  </si>
  <si>
    <t>4,4*12,65</t>
  </si>
  <si>
    <t>4,4*12</t>
  </si>
  <si>
    <t>-(0,9*1,9)*7</t>
  </si>
  <si>
    <t>odečet vikýře</t>
  </si>
  <si>
    <t>15</t>
  </si>
  <si>
    <t>764322852R00</t>
  </si>
  <si>
    <t>Demontáž oplechování okapů, TK, rš 660 mm, nad 45°</t>
  </si>
  <si>
    <t>12+12,6</t>
  </si>
  <si>
    <t>16</t>
  </si>
  <si>
    <t>764323820R00</t>
  </si>
  <si>
    <t>Demontáž oplechování okapů, živičná krytina, rš 250 mm</t>
  </si>
  <si>
    <t>45</t>
  </si>
  <si>
    <t>demontáž okapní plech - plochá střecha</t>
  </si>
  <si>
    <t>17</t>
  </si>
  <si>
    <t>764331850R00</t>
  </si>
  <si>
    <t>Demontáž lemování zdí, rš 400 a 500 mm, do 30°</t>
  </si>
  <si>
    <t>1+1+0,5+0,5</t>
  </si>
  <si>
    <t>demontáž oplechování u komínů</t>
  </si>
  <si>
    <t>0,5+0,5+0,5+0,5</t>
  </si>
  <si>
    <t>0,9+0,5+0,8+0,5</t>
  </si>
  <si>
    <t>18</t>
  </si>
  <si>
    <t>764352800R00</t>
  </si>
  <si>
    <t>Demontáž žlabů půlkruh. rovných, rš 250 mm, do 30°</t>
  </si>
  <si>
    <t>žlab plochá střecha</t>
  </si>
  <si>
    <t>19</t>
  </si>
  <si>
    <t>764351812R00</t>
  </si>
  <si>
    <t>Demontáž žlabů 4hran., rovných, rš 330 mm, nad 45°</t>
  </si>
  <si>
    <t>12,9+12,2</t>
  </si>
  <si>
    <t>demontáž žlabu šikmá střecha</t>
  </si>
  <si>
    <t>20</t>
  </si>
  <si>
    <t>764321850R00</t>
  </si>
  <si>
    <t>Demontáž oplechování říms, rš 900 mm, do 30°</t>
  </si>
  <si>
    <t>demontáž oplechování ukončení střechy šikmé</t>
  </si>
  <si>
    <t>21</t>
  </si>
  <si>
    <t>764331832R00</t>
  </si>
  <si>
    <t>Demontáž lemování zdí, rš 250 a 330 mm, nad 45°</t>
  </si>
  <si>
    <t>4,4*2</t>
  </si>
  <si>
    <t>závětrnná lišta šikmá střecha</t>
  </si>
  <si>
    <t>22</t>
  </si>
  <si>
    <t>764311841RT1</t>
  </si>
  <si>
    <t>Demontáž  krytiny, tabule 2 x 1 m, do 25 m2, nad 45°</t>
  </si>
  <si>
    <t>demontáž plechové krytiny vikýře</t>
  </si>
  <si>
    <t>23</t>
  </si>
  <si>
    <t>764322220R00</t>
  </si>
  <si>
    <t>Oplechování okapů Pz, tvrdá krytina, rš 330 mm</t>
  </si>
  <si>
    <t>33,5</t>
  </si>
  <si>
    <t>oplechování okapní plech</t>
  </si>
  <si>
    <t>24</t>
  </si>
  <si>
    <t>764814533R00</t>
  </si>
  <si>
    <t>Závětrná lišta z lakovaného Pz plechu, rš 333 mm</t>
  </si>
  <si>
    <t>u zdiva k sousednímu objektu</t>
  </si>
  <si>
    <t>25</t>
  </si>
  <si>
    <t>764333240R00</t>
  </si>
  <si>
    <t>Lemování zdí na plochých střechách Pz, rš 400 mm</t>
  </si>
  <si>
    <t>6,7</t>
  </si>
  <si>
    <t>oplechování komína</t>
  </si>
  <si>
    <t>26</t>
  </si>
  <si>
    <t>764321230R00</t>
  </si>
  <si>
    <t>Oplechování Pz říms pod nadříms. žlabem, rš 660 mm</t>
  </si>
  <si>
    <t>oplechování římsy pod okapem viz. detail A - atyp</t>
  </si>
  <si>
    <t>27</t>
  </si>
  <si>
    <t>764331230R00</t>
  </si>
  <si>
    <t>Lemování z Pz plechu zdí, tvrdá krytina, rš 330 mm</t>
  </si>
  <si>
    <t>31</t>
  </si>
  <si>
    <t>oplechování u vikýřů</t>
  </si>
  <si>
    <t>28</t>
  </si>
  <si>
    <t>14*1,8</t>
  </si>
  <si>
    <t>oplechování vikýřů</t>
  </si>
  <si>
    <t>přední část</t>
  </si>
  <si>
    <t>29</t>
  </si>
  <si>
    <t>764311203RT1</t>
  </si>
  <si>
    <t>Krytina hladká z Pz, tabule 2 x 1 m, nad 45°</t>
  </si>
  <si>
    <t>z plechu tl. 0,55 mm, plocha do 10 m2</t>
  </si>
  <si>
    <t>nová krytina atypická - vikýře</t>
  </si>
  <si>
    <t>30</t>
  </si>
  <si>
    <t>764352010RAB</t>
  </si>
  <si>
    <t>Žlab z Pz plechu podokapní půlkruhový včetně háků plochá střecha</t>
  </si>
  <si>
    <t>rš 330 mm</t>
  </si>
  <si>
    <t>764351010RAB</t>
  </si>
  <si>
    <t>Žlab z Pz plechu podokapní čtyřhranný včetně atypických háků - dodávka a montáž</t>
  </si>
  <si>
    <t>100/135mm , dodávka a montáž kpl</t>
  </si>
  <si>
    <t>32</t>
  </si>
  <si>
    <t>764324270R00</t>
  </si>
  <si>
    <t>Oplechování Pz okapů, TK, segm. nad 0,5m, rš 400mm</t>
  </si>
  <si>
    <t xml:space="preserve">okapní plech pro založení vláknocementovévou krytinu
</t>
  </si>
  <si>
    <t>12+12,8</t>
  </si>
  <si>
    <t>33</t>
  </si>
  <si>
    <t>764391820R00</t>
  </si>
  <si>
    <t>OKO pro uchycení a zajištění osoby pro vstup na střechu</t>
  </si>
  <si>
    <t>kpl</t>
  </si>
  <si>
    <t>včetně montážního materiálu</t>
  </si>
  <si>
    <t>34</t>
  </si>
  <si>
    <t>r764775314R00</t>
  </si>
  <si>
    <t>Střešní výlez dle PD včetně úpravy konstrukce pro uchycení</t>
  </si>
  <si>
    <t>35</t>
  </si>
  <si>
    <t>998764102R00</t>
  </si>
  <si>
    <t>Přesun hmot pro klempířské konstr., výšky do 12 m</t>
  </si>
  <si>
    <t>36</t>
  </si>
  <si>
    <t>764391915R00</t>
  </si>
  <si>
    <t>nový držák na antény - dodávka a montáž + 3dlaždice</t>
  </si>
  <si>
    <t>765</t>
  </si>
  <si>
    <t>Krytina tvrdá</t>
  </si>
  <si>
    <t>37</t>
  </si>
  <si>
    <t>765799313RO9</t>
  </si>
  <si>
    <t>Montáž fólie na bednění přibitím, přelepení spojů VČETNĚ DODÁVKY</t>
  </si>
  <si>
    <t>765_</t>
  </si>
  <si>
    <t>difúzní pojistná hydroizolace (NAPŘ. DEKTEN JUTAFOL..)</t>
  </si>
  <si>
    <t>100*1,05</t>
  </si>
  <si>
    <t>VIKÝŘE</t>
  </si>
  <si>
    <t>38</t>
  </si>
  <si>
    <t>765322211RT1</t>
  </si>
  <si>
    <t>Krytina vláknocement.  jednoduchá, na latě</t>
  </si>
  <si>
    <t>jednoduché krytí, - česká šablona včetně sponek</t>
  </si>
  <si>
    <t>39</t>
  </si>
  <si>
    <t>765322294R00</t>
  </si>
  <si>
    <t>Příplatek za sklon přes 60 do 75°,kryt.jedn.Cembrit</t>
  </si>
  <si>
    <t>40</t>
  </si>
  <si>
    <t>765328652RT1</t>
  </si>
  <si>
    <t>Nároží vláknocem., hřebenáče barevné pro šablony</t>
  </si>
  <si>
    <t>hřebenáč kónický 400x120 mm červený</t>
  </si>
  <si>
    <t>765312486R00</t>
  </si>
  <si>
    <t>Pás ochranný větrací okapní 5000/100 mm, hliník</t>
  </si>
  <si>
    <t>pás proti ptactvu</t>
  </si>
  <si>
    <t>12,6+12</t>
  </si>
  <si>
    <t>42</t>
  </si>
  <si>
    <t>998765102R00</t>
  </si>
  <si>
    <t>Přesun hmot pro krytiny tvrdé, výšky do 12 m</t>
  </si>
  <si>
    <t>43</t>
  </si>
  <si>
    <t>R76542</t>
  </si>
  <si>
    <t>Oprava nebo výměna bočního krytí stěn vikýřů</t>
  </si>
  <si>
    <t>14*0,25</t>
  </si>
  <si>
    <t>783</t>
  </si>
  <si>
    <t>Nátěry</t>
  </si>
  <si>
    <t>44</t>
  </si>
  <si>
    <t>783780010RA0</t>
  </si>
  <si>
    <t>Impregnace tesařských konstrukcí - včetně materiálu impregnace stávajícíc konstrukce</t>
  </si>
  <si>
    <t>783_</t>
  </si>
  <si>
    <t>_78_</t>
  </si>
  <si>
    <t>350</t>
  </si>
  <si>
    <t>783900030RAA</t>
  </si>
  <si>
    <t>Odstranění nátěrů z truhlářských výrobků</t>
  </si>
  <si>
    <t>oškrábáním s obroušením</t>
  </si>
  <si>
    <t>1*7</t>
  </si>
  <si>
    <t>ozdobné dřevěné prvky vikýř</t>
  </si>
  <si>
    <t>46</t>
  </si>
  <si>
    <t>783710020RAF</t>
  </si>
  <si>
    <t>Nátěr tesařských konstrukcí lazurovacím lakem, trojnásobný</t>
  </si>
  <si>
    <t>784</t>
  </si>
  <si>
    <t>Malby</t>
  </si>
  <si>
    <t>47</t>
  </si>
  <si>
    <t>784221101R00</t>
  </si>
  <si>
    <t>Penetrace podkladu , 1x - oprava římsy sjednocení barev</t>
  </si>
  <si>
    <t>784_</t>
  </si>
  <si>
    <t>0,15*24</t>
  </si>
  <si>
    <t>48</t>
  </si>
  <si>
    <t>784225113R00</t>
  </si>
  <si>
    <t>Malba , odstín I, bez penetrace, 2x -oprava římsy sjednocení barev</t>
  </si>
  <si>
    <t>94</t>
  </si>
  <si>
    <t>Lešení a stavební výtahy</t>
  </si>
  <si>
    <t>49</t>
  </si>
  <si>
    <t>941941042R00</t>
  </si>
  <si>
    <t>Montáž lešení leh.řad.s podlahami,š.1,2 m, H 30 m</t>
  </si>
  <si>
    <t>94_</t>
  </si>
  <si>
    <t>_9_</t>
  </si>
  <si>
    <t>400</t>
  </si>
  <si>
    <t>50</t>
  </si>
  <si>
    <t>941941191R00</t>
  </si>
  <si>
    <t>Příplatek za každý měsíc použití lešení k pol.1031</t>
  </si>
  <si>
    <t>51</t>
  </si>
  <si>
    <t>941941842R00</t>
  </si>
  <si>
    <t>Demontáž lešení leh.řad.s podlahami,š.1,2 m,H 30 m</t>
  </si>
  <si>
    <t>96</t>
  </si>
  <si>
    <t>Bourání konstrukcí</t>
  </si>
  <si>
    <t>52</t>
  </si>
  <si>
    <t>964061R</t>
  </si>
  <si>
    <t>demontáž stávajícího výlezu - dřevěný rám s víkem</t>
  </si>
  <si>
    <t>96_</t>
  </si>
  <si>
    <t>53</t>
  </si>
  <si>
    <t>966068102R00</t>
  </si>
  <si>
    <t>Demontáž dřevěných konstrukcí horizontál</t>
  </si>
  <si>
    <t>0,5</t>
  </si>
  <si>
    <t>demontáž schodiště včetně odvozu na skládku</t>
  </si>
  <si>
    <t>54</t>
  </si>
  <si>
    <t>966077121R00</t>
  </si>
  <si>
    <t>Odstranění doplňkových konstrukcí do 50 kg</t>
  </si>
  <si>
    <t>55</t>
  </si>
  <si>
    <t>965042131RT2</t>
  </si>
  <si>
    <t>Bourání mazanin betonových  tl. 10 cm, pl. 4 m2</t>
  </si>
  <si>
    <t>ručně tl. mazaniny 8 - 10 cm</t>
  </si>
  <si>
    <t>0,9*0,5*0,1</t>
  </si>
  <si>
    <t>bourání betoových prstenců na komínech</t>
  </si>
  <si>
    <t>0,5*0,5*0,1</t>
  </si>
  <si>
    <t>0,5*0,8*0,1</t>
  </si>
  <si>
    <t>97</t>
  </si>
  <si>
    <t>Prorážení otvorů a ostatní bourací práce</t>
  </si>
  <si>
    <t>56</t>
  </si>
  <si>
    <t>971033161R00</t>
  </si>
  <si>
    <t>Vybourání otvorů zeď cihel. d=6 cm, tl. 60 cm, MVC</t>
  </si>
  <si>
    <t>97_</t>
  </si>
  <si>
    <t>57</t>
  </si>
  <si>
    <t>974031121R00</t>
  </si>
  <si>
    <t>Vysekání rýh ve zdi cihelné 3 x 3 cm</t>
  </si>
  <si>
    <t>58</t>
  </si>
  <si>
    <t>973031334R00</t>
  </si>
  <si>
    <t>Vysekání kapes zeď cih, MVC pl. 0,16 m2, hl. 15 cm</t>
  </si>
  <si>
    <t>H01</t>
  </si>
  <si>
    <t>Budovy občanské výstavby</t>
  </si>
  <si>
    <t>59</t>
  </si>
  <si>
    <t>998011002R00</t>
  </si>
  <si>
    <t>Přesun hmot pro budovy zděné výšky do 12 m</t>
  </si>
  <si>
    <t>H01_</t>
  </si>
  <si>
    <t>M21</t>
  </si>
  <si>
    <t>Elektromontáže</t>
  </si>
  <si>
    <t>60</t>
  </si>
  <si>
    <t>210220101R00</t>
  </si>
  <si>
    <t>Vodiče svodové FeZn D do 10,Al 10,Cu 8 +podpěry</t>
  </si>
  <si>
    <t>M21_</t>
  </si>
  <si>
    <t>montáž jímacího vedení a svodů vč. vyvrtání či lepení podpěr</t>
  </si>
  <si>
    <t>61</t>
  </si>
  <si>
    <t>210220022R00</t>
  </si>
  <si>
    <t>Vedení uzemňovací v zemi FeZn, D 8 - 10 mm</t>
  </si>
  <si>
    <t>62</t>
  </si>
  <si>
    <t>210220021R00</t>
  </si>
  <si>
    <t>Vedení uzemňovací v zemi FeZn do 120 mm2 vč.svorek</t>
  </si>
  <si>
    <t>63</t>
  </si>
  <si>
    <t>210220201R00</t>
  </si>
  <si>
    <t>Tyč jímací s upev. na stř.hřeben do 3 m dl.tyče</t>
  </si>
  <si>
    <t>64</t>
  </si>
  <si>
    <t>210220401R00</t>
  </si>
  <si>
    <t>Označení svodu štítky, smaltované, umělá hmota</t>
  </si>
  <si>
    <t>65</t>
  </si>
  <si>
    <t>210220372R00</t>
  </si>
  <si>
    <t>Úhelník ochranný nebo trubka s držáky do zdiva</t>
  </si>
  <si>
    <t>66</t>
  </si>
  <si>
    <t>210220302R00</t>
  </si>
  <si>
    <t>Svorka hromosvodová nad 2 šrouby /ST, SJ, SR, atd/</t>
  </si>
  <si>
    <t>67</t>
  </si>
  <si>
    <t>210220301R00</t>
  </si>
  <si>
    <t>Svorka hromosvodová do 2 šroubů /SS, SZ, SO/</t>
  </si>
  <si>
    <t>68</t>
  </si>
  <si>
    <t>003LPSVD</t>
  </si>
  <si>
    <t>Pásek zemnící ZP 30x4 FEZN 1kg=1.05m</t>
  </si>
  <si>
    <t>kg</t>
  </si>
  <si>
    <t>69</t>
  </si>
  <si>
    <t>Štítekč1IMVD</t>
  </si>
  <si>
    <t>štítek označení č.1-3</t>
  </si>
  <si>
    <t>ks</t>
  </si>
  <si>
    <t>70</t>
  </si>
  <si>
    <t>000SUVD</t>
  </si>
  <si>
    <t>svorka univerzální</t>
  </si>
  <si>
    <t>71</t>
  </si>
  <si>
    <t>000SZVD</t>
  </si>
  <si>
    <t>svorka zkušební</t>
  </si>
  <si>
    <t>72</t>
  </si>
  <si>
    <t>DJTVD</t>
  </si>
  <si>
    <t>držák jímače a ochr. trubky</t>
  </si>
  <si>
    <t>73</t>
  </si>
  <si>
    <t>002SOVD</t>
  </si>
  <si>
    <t>svorka na okapové žlaby</t>
  </si>
  <si>
    <t>74</t>
  </si>
  <si>
    <t>SJ1bIMVD</t>
  </si>
  <si>
    <t>svorka k jímací tyči</t>
  </si>
  <si>
    <t>75</t>
  </si>
  <si>
    <t>00201VD</t>
  </si>
  <si>
    <t>Jímací tyč JR 1,5 m s rovným koncem</t>
  </si>
  <si>
    <t>76</t>
  </si>
  <si>
    <t>005VD</t>
  </si>
  <si>
    <t>Stříbřenka 250g</t>
  </si>
  <si>
    <t>77</t>
  </si>
  <si>
    <t>001ZHVD</t>
  </si>
  <si>
    <t>Zalévací hmota K1 2kg</t>
  </si>
  <si>
    <t>78</t>
  </si>
  <si>
    <t>013VD</t>
  </si>
  <si>
    <t>Plastová skříň pod omítku vč, svodiče bleskvých proudů T1+T2</t>
  </si>
  <si>
    <t>79</t>
  </si>
  <si>
    <t>000-001VD</t>
  </si>
  <si>
    <t>Přípojnice potenciálového vyrovnání pro montáž pod omítku, schváleno VDE</t>
  </si>
  <si>
    <t>80</t>
  </si>
  <si>
    <t>34140968</t>
  </si>
  <si>
    <t>Vodič silový CY zelenožlutý 16,00 mm2 - drát</t>
  </si>
  <si>
    <t>81</t>
  </si>
  <si>
    <t>612100032RAA</t>
  </si>
  <si>
    <t>Oprava omítek stěn vnitřních vápenocem. štukových</t>
  </si>
  <si>
    <t>oprava ze 30 %, malba</t>
  </si>
  <si>
    <t>82</t>
  </si>
  <si>
    <t>0011VD</t>
  </si>
  <si>
    <t>Drobný instalační materiál</t>
  </si>
  <si>
    <t>obj.</t>
  </si>
  <si>
    <t>83</t>
  </si>
  <si>
    <t>PV21c/100VD</t>
  </si>
  <si>
    <t>podp. ved. na ploché stř. nalepovací 10cm</t>
  </si>
  <si>
    <t>84</t>
  </si>
  <si>
    <t>PV17pppVD</t>
  </si>
  <si>
    <t>podpěra vedení do zdi PV1</t>
  </si>
  <si>
    <t>85</t>
  </si>
  <si>
    <t>000OTVD</t>
  </si>
  <si>
    <t>ochranná trubka</t>
  </si>
  <si>
    <t>86</t>
  </si>
  <si>
    <t>001SUaVD</t>
  </si>
  <si>
    <t>svorka univerzální s jednou příložkou</t>
  </si>
  <si>
    <t>87</t>
  </si>
  <si>
    <t>SR3bEIMVD</t>
  </si>
  <si>
    <t>svorka páska-drát M6</t>
  </si>
  <si>
    <t>88</t>
  </si>
  <si>
    <t>Drát10IMVD</t>
  </si>
  <si>
    <t>drát Ř 10 mm (0,62 kg/m)</t>
  </si>
  <si>
    <t>89</t>
  </si>
  <si>
    <t>001LPSVD</t>
  </si>
  <si>
    <t>Hromosvodní drát AlMgSi (hliníkový) 8mm, 1kg=7,4m</t>
  </si>
  <si>
    <t>M46</t>
  </si>
  <si>
    <t>Zemní práce při montážích</t>
  </si>
  <si>
    <t>90</t>
  </si>
  <si>
    <t>460030081RT3</t>
  </si>
  <si>
    <t>Řezání spáry v asfaltu nebo betonu</t>
  </si>
  <si>
    <t>M46_</t>
  </si>
  <si>
    <t>v tloušťce vrstvy do 8-10 cm</t>
  </si>
  <si>
    <t>91</t>
  </si>
  <si>
    <t>460030073R00</t>
  </si>
  <si>
    <t>Bourání živičných povrchů tl. vrstvy 10 - 15 cm</t>
  </si>
  <si>
    <t>92</t>
  </si>
  <si>
    <t>460200005RT2</t>
  </si>
  <si>
    <t>Výkop kabelové rýhy 20/50 cm, hornina 5</t>
  </si>
  <si>
    <t>ruční výkop rýhy</t>
  </si>
  <si>
    <t>93</t>
  </si>
  <si>
    <t>460570005R00</t>
  </si>
  <si>
    <t>Zához rýhy 20/50 cm, hornina třídy 5, se zhutněním</t>
  </si>
  <si>
    <t>460650011RT1</t>
  </si>
  <si>
    <t>Podkladová vrstva ze štěrku tl. 25 cm</t>
  </si>
  <si>
    <t>ze štěrkopísku tl. 25 cm</t>
  </si>
  <si>
    <t>95</t>
  </si>
  <si>
    <t>460620015RT1</t>
  </si>
  <si>
    <t>Provizorní úprava terénu v přírodní hornině 5</t>
  </si>
  <si>
    <t>ruční vyrovnání a zhutnění</t>
  </si>
  <si>
    <t>M65</t>
  </si>
  <si>
    <t>Elektroinstalace</t>
  </si>
  <si>
    <t>650811112R00</t>
  </si>
  <si>
    <t>Demontáž vodiče svodového do D 10 mm vč. podpěr</t>
  </si>
  <si>
    <t>M65_</t>
  </si>
  <si>
    <t>650041112R00</t>
  </si>
  <si>
    <t>Montáž svorkovnice ekvipotenciální</t>
  </si>
  <si>
    <t>98</t>
  </si>
  <si>
    <t>650121121R00</t>
  </si>
  <si>
    <t>Uložení vodiče Cu 16 mm2 pevně</t>
  </si>
  <si>
    <t>99</t>
  </si>
  <si>
    <t>650111311R00</t>
  </si>
  <si>
    <t>Montáž zemnící tyče, zaražení a připojení do 2 m</t>
  </si>
  <si>
    <t>650112611R00</t>
  </si>
  <si>
    <t>Změření zemního odporu, vč. měřícího protokolu</t>
  </si>
  <si>
    <t>S</t>
  </si>
  <si>
    <t>Přesuny sutí</t>
  </si>
  <si>
    <t>101</t>
  </si>
  <si>
    <t>979081111RT3</t>
  </si>
  <si>
    <t>Odvoz suti a vybour. hmot na skládku do 1 km</t>
  </si>
  <si>
    <t>S_</t>
  </si>
  <si>
    <t>kontejnerem 7 t</t>
  </si>
  <si>
    <t>3,46</t>
  </si>
  <si>
    <t>102</t>
  </si>
  <si>
    <t>979081121RT3</t>
  </si>
  <si>
    <t>Příplatek k odvozu za každý další 1 km</t>
  </si>
  <si>
    <t>103</t>
  </si>
  <si>
    <t>979011311RT1</t>
  </si>
  <si>
    <t>Svislá doprava suti a vybouraných hmot shozem</t>
  </si>
  <si>
    <t>s naložením do shozu</t>
  </si>
  <si>
    <t>104</t>
  </si>
  <si>
    <t>979095312R00</t>
  </si>
  <si>
    <t>Naložení a složení suti</t>
  </si>
  <si>
    <t>1,15+0,76+1,55</t>
  </si>
  <si>
    <t>105</t>
  </si>
  <si>
    <t>979990121R00</t>
  </si>
  <si>
    <t>Poplatek za uložení suti - asfaltové pásy, skupina odpadu 170302</t>
  </si>
  <si>
    <t>106</t>
  </si>
  <si>
    <t>979990107R00</t>
  </si>
  <si>
    <t>Poplatek za uložení suti - směs betonu, cihel, dřeva, skupina odpadu 170904</t>
  </si>
  <si>
    <t>107</t>
  </si>
  <si>
    <t>979951112R00</t>
  </si>
  <si>
    <t>Výkup kovů - železný šrot tl. nad 4 mm</t>
  </si>
  <si>
    <t>Dokumentace skutečného provedení dle SoD, čl. 2, odst. 2.5.1</t>
  </si>
  <si>
    <t>Koordinační činnost dle SoD, čl. 2, odst. 2.5.3</t>
  </si>
  <si>
    <t>Pojištění stavby dle SoD, čl. 2, odst. 2.5.4</t>
  </si>
  <si>
    <t>Zpracování provozní dokumentace dle SoD, čl. 2, odst. 2.5.5.</t>
  </si>
  <si>
    <t>Zařízení staveniště dle SoD, čl. 2, odst. 2.5.2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</si>
</sst>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theme="3" tint="0.89999084444715716"/>
        <bgColor indexed="64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0" fillId="0" borderId="63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0" fillId="0" borderId="70" xfId="0" applyBorder="1"/>
    <xf numFmtId="0" fontId="2" fillId="2" borderId="71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4" borderId="40" xfId="0" applyFont="1" applyFill="1" applyBorder="1" applyAlignment="1" applyProtection="1">
      <alignment horizontal="left" vertical="center"/>
      <protection locked="0"/>
    </xf>
    <xf numFmtId="4" fontId="3" fillId="2" borderId="40" xfId="0" applyNumberFormat="1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0" borderId="0" xfId="0" applyNumberFormat="1" applyFont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right" vertical="center"/>
    </xf>
    <xf numFmtId="0" fontId="0" fillId="0" borderId="9" xfId="0" applyBorder="1"/>
    <xf numFmtId="4" fontId="3" fillId="0" borderId="7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62" xfId="0" applyFont="1" applyBorder="1" applyAlignment="1">
      <alignment horizontal="right" vertical="center"/>
    </xf>
    <xf numFmtId="0" fontId="2" fillId="0" borderId="73" xfId="0" applyFont="1" applyBorder="1" applyAlignment="1">
      <alignment horizontal="left" vertical="center"/>
    </xf>
    <xf numFmtId="4" fontId="2" fillId="0" borderId="73" xfId="0" applyNumberFormat="1" applyFont="1" applyBorder="1" applyAlignment="1">
      <alignment horizontal="right" vertical="center"/>
    </xf>
    <xf numFmtId="4" fontId="2" fillId="5" borderId="16" xfId="0" applyNumberFormat="1" applyFont="1" applyFill="1" applyBorder="1" applyAlignment="1">
      <alignment horizontal="right" vertical="center"/>
    </xf>
    <xf numFmtId="4" fontId="2" fillId="5" borderId="49" xfId="0" applyNumberFormat="1" applyFont="1" applyFill="1" applyBorder="1" applyAlignment="1">
      <alignment horizontal="right" vertical="center"/>
    </xf>
    <xf numFmtId="4" fontId="2" fillId="5" borderId="73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workbookViewId="0">
      <selection activeCell="D15" sqref="D15:E1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76" t="s">
        <v>1</v>
      </c>
      <c r="B2" s="77"/>
      <c r="C2" s="86" t="str">
        <f>'Stavební rozpočet'!C2</f>
        <v>Oprava střešního pláště na objektu Jeřábkovo nám. 456, Česká Lípa</v>
      </c>
      <c r="D2" s="87"/>
      <c r="E2" s="81" t="s">
        <v>2</v>
      </c>
      <c r="F2" s="81" t="str">
        <f>'Stavební rozpočet'!I2</f>
        <v> </v>
      </c>
      <c r="G2" s="77"/>
      <c r="H2" s="81" t="s">
        <v>3</v>
      </c>
      <c r="I2" s="83" t="s">
        <v>4</v>
      </c>
    </row>
    <row r="3" spans="1:9" ht="15" customHeight="1" x14ac:dyDescent="0.25">
      <c r="A3" s="78"/>
      <c r="B3" s="79"/>
      <c r="C3" s="88"/>
      <c r="D3" s="88"/>
      <c r="E3" s="79"/>
      <c r="F3" s="79"/>
      <c r="G3" s="79"/>
      <c r="H3" s="79"/>
      <c r="I3" s="84"/>
    </row>
    <row r="4" spans="1:9" x14ac:dyDescent="0.25">
      <c r="A4" s="80" t="s">
        <v>5</v>
      </c>
      <c r="B4" s="79"/>
      <c r="C4" s="82" t="str">
        <f>'Stavební rozpočet'!C4</f>
        <v xml:space="preserve"> </v>
      </c>
      <c r="D4" s="79"/>
      <c r="E4" s="82" t="s">
        <v>6</v>
      </c>
      <c r="F4" s="82" t="str">
        <f>'Stavební rozpočet'!I4</f>
        <v> </v>
      </c>
      <c r="G4" s="79"/>
      <c r="H4" s="82" t="s">
        <v>3</v>
      </c>
      <c r="I4" s="84" t="s">
        <v>4</v>
      </c>
    </row>
    <row r="5" spans="1:9" ht="15" customHeight="1" x14ac:dyDescent="0.25">
      <c r="A5" s="78"/>
      <c r="B5" s="79"/>
      <c r="C5" s="79"/>
      <c r="D5" s="79"/>
      <c r="E5" s="79"/>
      <c r="F5" s="79"/>
      <c r="G5" s="79"/>
      <c r="H5" s="79"/>
      <c r="I5" s="84"/>
    </row>
    <row r="6" spans="1:9" x14ac:dyDescent="0.25">
      <c r="A6" s="80" t="s">
        <v>7</v>
      </c>
      <c r="B6" s="79"/>
      <c r="C6" s="82" t="str">
        <f>'Stavební rozpočet'!C6</f>
        <v>Česká Lípa</v>
      </c>
      <c r="D6" s="79"/>
      <c r="E6" s="82" t="s">
        <v>8</v>
      </c>
      <c r="F6" s="82" t="str">
        <f>'Stavební rozpočet'!I6</f>
        <v> </v>
      </c>
      <c r="G6" s="79"/>
      <c r="H6" s="82" t="s">
        <v>3</v>
      </c>
      <c r="I6" s="84" t="s">
        <v>4</v>
      </c>
    </row>
    <row r="7" spans="1:9" ht="15" customHeight="1" x14ac:dyDescent="0.25">
      <c r="A7" s="78"/>
      <c r="B7" s="79"/>
      <c r="C7" s="79"/>
      <c r="D7" s="79"/>
      <c r="E7" s="79"/>
      <c r="F7" s="79"/>
      <c r="G7" s="79"/>
      <c r="H7" s="79"/>
      <c r="I7" s="84"/>
    </row>
    <row r="8" spans="1:9" x14ac:dyDescent="0.25">
      <c r="A8" s="80" t="s">
        <v>9</v>
      </c>
      <c r="B8" s="79"/>
      <c r="C8" s="82" t="str">
        <f>'Stavební rozpočet'!G4</f>
        <v>17.12.2024</v>
      </c>
      <c r="D8" s="79"/>
      <c r="E8" s="82" t="s">
        <v>10</v>
      </c>
      <c r="F8" s="82" t="str">
        <f>'Stavební rozpočet'!G6</f>
        <v xml:space="preserve"> </v>
      </c>
      <c r="G8" s="79"/>
      <c r="H8" s="79" t="s">
        <v>11</v>
      </c>
      <c r="I8" s="85">
        <v>107</v>
      </c>
    </row>
    <row r="9" spans="1:9" x14ac:dyDescent="0.25">
      <c r="A9" s="78"/>
      <c r="B9" s="79"/>
      <c r="C9" s="79"/>
      <c r="D9" s="79"/>
      <c r="E9" s="79"/>
      <c r="F9" s="79"/>
      <c r="G9" s="79"/>
      <c r="H9" s="79"/>
      <c r="I9" s="84"/>
    </row>
    <row r="10" spans="1:9" x14ac:dyDescent="0.25">
      <c r="A10" s="80" t="s">
        <v>12</v>
      </c>
      <c r="B10" s="79"/>
      <c r="C10" s="82" t="str">
        <f>'Stavební rozpočet'!C8</f>
        <v xml:space="preserve"> </v>
      </c>
      <c r="D10" s="79"/>
      <c r="E10" s="82" t="s">
        <v>13</v>
      </c>
      <c r="F10" s="82" t="str">
        <f>'Stavební rozpočet'!I8</f>
        <v> </v>
      </c>
      <c r="G10" s="79"/>
      <c r="H10" s="79" t="s">
        <v>14</v>
      </c>
      <c r="I10" s="90" t="str">
        <f>'Stavební rozpočet'!G8</f>
        <v>17.12.2024</v>
      </c>
    </row>
    <row r="11" spans="1:9" x14ac:dyDescent="0.25">
      <c r="A11" s="95"/>
      <c r="B11" s="89"/>
      <c r="C11" s="89"/>
      <c r="D11" s="89"/>
      <c r="E11" s="89"/>
      <c r="F11" s="89"/>
      <c r="G11" s="89"/>
      <c r="H11" s="89"/>
      <c r="I11" s="91"/>
    </row>
    <row r="12" spans="1:9" ht="23.25" x14ac:dyDescent="0.25">
      <c r="A12" s="92" t="s">
        <v>15</v>
      </c>
      <c r="B12" s="92"/>
      <c r="C12" s="92"/>
      <c r="D12" s="92"/>
      <c r="E12" s="92"/>
      <c r="F12" s="92"/>
      <c r="G12" s="92"/>
      <c r="H12" s="92"/>
      <c r="I12" s="92"/>
    </row>
    <row r="13" spans="1:9" ht="26.25" customHeight="1" x14ac:dyDescent="0.25">
      <c r="A13" s="6" t="s">
        <v>16</v>
      </c>
      <c r="B13" s="93" t="s">
        <v>17</v>
      </c>
      <c r="C13" s="94"/>
      <c r="D13" s="7" t="s">
        <v>18</v>
      </c>
      <c r="E13" s="93" t="s">
        <v>19</v>
      </c>
      <c r="F13" s="94"/>
      <c r="G13" s="7" t="s">
        <v>20</v>
      </c>
      <c r="H13" s="93" t="s">
        <v>21</v>
      </c>
      <c r="I13" s="94"/>
    </row>
    <row r="14" spans="1:9" ht="15.75" x14ac:dyDescent="0.25">
      <c r="A14" s="8" t="s">
        <v>22</v>
      </c>
      <c r="B14" s="9" t="s">
        <v>23</v>
      </c>
      <c r="C14" s="10">
        <f>SUM('Stavební rozpočet'!AB12:AB230)</f>
        <v>0</v>
      </c>
      <c r="D14" s="102" t="s">
        <v>24</v>
      </c>
      <c r="E14" s="103"/>
      <c r="F14" s="10">
        <f>VORN!I15</f>
        <v>0</v>
      </c>
      <c r="G14" s="102" t="s">
        <v>25</v>
      </c>
      <c r="H14" s="103"/>
      <c r="I14" s="11">
        <f>VORN!I22</f>
        <v>0</v>
      </c>
    </row>
    <row r="15" spans="1:9" ht="15.75" x14ac:dyDescent="0.25">
      <c r="A15" s="12" t="s">
        <v>4</v>
      </c>
      <c r="B15" s="9" t="s">
        <v>26</v>
      </c>
      <c r="C15" s="10">
        <f>SUM('Stavební rozpočet'!AC12:AC230)</f>
        <v>0</v>
      </c>
      <c r="D15" s="102" t="s">
        <v>27</v>
      </c>
      <c r="E15" s="103"/>
      <c r="F15" s="10">
        <f>VORN!I16</f>
        <v>0</v>
      </c>
      <c r="G15" s="102" t="s">
        <v>28</v>
      </c>
      <c r="H15" s="103"/>
      <c r="I15" s="11">
        <f>VORN!I23</f>
        <v>0</v>
      </c>
    </row>
    <row r="16" spans="1:9" ht="15.75" x14ac:dyDescent="0.25">
      <c r="A16" s="8" t="s">
        <v>29</v>
      </c>
      <c r="B16" s="9" t="s">
        <v>23</v>
      </c>
      <c r="C16" s="10">
        <f>SUM('Stavební rozpočet'!AD12:AD230)</f>
        <v>0</v>
      </c>
      <c r="D16" s="102" t="s">
        <v>30</v>
      </c>
      <c r="E16" s="103"/>
      <c r="F16" s="10">
        <f>VORN!I17</f>
        <v>0</v>
      </c>
      <c r="G16" s="102" t="s">
        <v>31</v>
      </c>
      <c r="H16" s="103"/>
      <c r="I16" s="11">
        <f>VORN!I24</f>
        <v>0</v>
      </c>
    </row>
    <row r="17" spans="1:9" ht="15.75" x14ac:dyDescent="0.25">
      <c r="A17" s="12" t="s">
        <v>4</v>
      </c>
      <c r="B17" s="9" t="s">
        <v>26</v>
      </c>
      <c r="C17" s="10">
        <f>SUM('Stavební rozpočet'!AE12:AE230)</f>
        <v>0</v>
      </c>
      <c r="D17" s="102" t="s">
        <v>32</v>
      </c>
      <c r="E17" s="103"/>
      <c r="F17" s="11">
        <f>VORN!I18</f>
        <v>0</v>
      </c>
      <c r="G17" s="102" t="s">
        <v>33</v>
      </c>
      <c r="H17" s="103"/>
      <c r="I17" s="11">
        <f>VORN!I25</f>
        <v>0</v>
      </c>
    </row>
    <row r="18" spans="1:9" ht="15.75" x14ac:dyDescent="0.25">
      <c r="A18" s="8" t="s">
        <v>34</v>
      </c>
      <c r="B18" s="9" t="s">
        <v>23</v>
      </c>
      <c r="C18" s="10">
        <f>SUM('Stavební rozpočet'!AF12:AF230)</f>
        <v>0</v>
      </c>
      <c r="D18" s="102" t="s">
        <v>4</v>
      </c>
      <c r="E18" s="103"/>
      <c r="F18" s="11" t="s">
        <v>4</v>
      </c>
      <c r="G18" s="102" t="s">
        <v>35</v>
      </c>
      <c r="H18" s="103"/>
      <c r="I18" s="11">
        <f>VORN!I26</f>
        <v>0</v>
      </c>
    </row>
    <row r="19" spans="1:9" ht="15.75" x14ac:dyDescent="0.25">
      <c r="A19" s="12" t="s">
        <v>4</v>
      </c>
      <c r="B19" s="9" t="s">
        <v>26</v>
      </c>
      <c r="C19" s="10">
        <f>SUM('Stavební rozpočet'!AG12:AG230)</f>
        <v>0</v>
      </c>
      <c r="D19" s="102" t="s">
        <v>4</v>
      </c>
      <c r="E19" s="103"/>
      <c r="F19" s="11" t="s">
        <v>4</v>
      </c>
      <c r="G19" s="102" t="s">
        <v>36</v>
      </c>
      <c r="H19" s="103"/>
      <c r="I19" s="11">
        <f>VORN!I27</f>
        <v>0</v>
      </c>
    </row>
    <row r="20" spans="1:9" ht="15.75" x14ac:dyDescent="0.25">
      <c r="A20" s="96" t="s">
        <v>37</v>
      </c>
      <c r="B20" s="97"/>
      <c r="C20" s="10">
        <f>SUM('Stavební rozpočet'!AH12:AH230)</f>
        <v>0</v>
      </c>
      <c r="D20" s="102" t="s">
        <v>4</v>
      </c>
      <c r="E20" s="103"/>
      <c r="F20" s="11" t="s">
        <v>4</v>
      </c>
      <c r="G20" s="102" t="s">
        <v>4</v>
      </c>
      <c r="H20" s="103"/>
      <c r="I20" s="11" t="s">
        <v>4</v>
      </c>
    </row>
    <row r="21" spans="1:9" ht="15.75" x14ac:dyDescent="0.25">
      <c r="A21" s="98" t="s">
        <v>38</v>
      </c>
      <c r="B21" s="99"/>
      <c r="C21" s="13">
        <f>SUM('Stavební rozpočet'!Z12:Z230)</f>
        <v>0</v>
      </c>
      <c r="D21" s="104" t="s">
        <v>4</v>
      </c>
      <c r="E21" s="105"/>
      <c r="F21" s="14" t="s">
        <v>4</v>
      </c>
      <c r="G21" s="104" t="s">
        <v>4</v>
      </c>
      <c r="H21" s="105"/>
      <c r="I21" s="14" t="s">
        <v>4</v>
      </c>
    </row>
    <row r="22" spans="1:9" ht="16.5" customHeight="1" x14ac:dyDescent="0.25">
      <c r="A22" s="100" t="s">
        <v>39</v>
      </c>
      <c r="B22" s="101"/>
      <c r="C22" s="15">
        <f>ROUND(SUM(C14:C21),2)</f>
        <v>0</v>
      </c>
      <c r="D22" s="106" t="s">
        <v>40</v>
      </c>
      <c r="E22" s="101"/>
      <c r="F22" s="15">
        <f>SUM(F14:F21)</f>
        <v>0</v>
      </c>
      <c r="G22" s="106" t="s">
        <v>41</v>
      </c>
      <c r="H22" s="101"/>
      <c r="I22" s="15">
        <f>SUM(I14:I21)</f>
        <v>0</v>
      </c>
    </row>
    <row r="23" spans="1:9" ht="15.75" x14ac:dyDescent="0.25">
      <c r="D23" s="96" t="s">
        <v>42</v>
      </c>
      <c r="E23" s="97"/>
      <c r="F23" s="16">
        <v>0</v>
      </c>
      <c r="G23" s="107" t="s">
        <v>43</v>
      </c>
      <c r="H23" s="97"/>
      <c r="I23" s="10">
        <v>0</v>
      </c>
    </row>
    <row r="24" spans="1:9" ht="15.75" x14ac:dyDescent="0.25">
      <c r="G24" s="96" t="s">
        <v>44</v>
      </c>
      <c r="H24" s="97"/>
      <c r="I24" s="13">
        <f>vorn_sum</f>
        <v>0</v>
      </c>
    </row>
    <row r="25" spans="1:9" ht="15.75" x14ac:dyDescent="0.25">
      <c r="G25" s="96" t="s">
        <v>45</v>
      </c>
      <c r="H25" s="97"/>
      <c r="I25" s="15">
        <v>0</v>
      </c>
    </row>
    <row r="27" spans="1:9" ht="15.75" x14ac:dyDescent="0.25">
      <c r="A27" s="108" t="s">
        <v>46</v>
      </c>
      <c r="B27" s="109"/>
      <c r="C27" s="17">
        <f>ROUND(SUM('Stavební rozpočet'!AJ12:AJ230),2)</f>
        <v>0</v>
      </c>
    </row>
    <row r="28" spans="1:9" ht="15.75" x14ac:dyDescent="0.25">
      <c r="A28" s="110" t="s">
        <v>47</v>
      </c>
      <c r="B28" s="111"/>
      <c r="C28" s="18">
        <f>ROUND(SUM('Stavební rozpočet'!AK12:AK230)+(F22+I22+F23+I23+I24+I25),2)</f>
        <v>0</v>
      </c>
      <c r="D28" s="112" t="s">
        <v>48</v>
      </c>
      <c r="E28" s="109"/>
      <c r="F28" s="17">
        <f>ROUND(C28*(12/100),2)</f>
        <v>0</v>
      </c>
      <c r="G28" s="112" t="s">
        <v>49</v>
      </c>
      <c r="H28" s="109"/>
      <c r="I28" s="17">
        <f>ROUND(SUM(C27:C29),2)</f>
        <v>0</v>
      </c>
    </row>
    <row r="29" spans="1:9" ht="15.75" x14ac:dyDescent="0.25">
      <c r="A29" s="110" t="s">
        <v>50</v>
      </c>
      <c r="B29" s="111"/>
      <c r="C29" s="18">
        <f>ROUND(SUM('Stavební rozpočet'!AL12:AL230),2)</f>
        <v>0</v>
      </c>
      <c r="D29" s="113" t="s">
        <v>51</v>
      </c>
      <c r="E29" s="111"/>
      <c r="F29" s="18">
        <f>ROUND(C29*(21/100),2)</f>
        <v>0</v>
      </c>
      <c r="G29" s="113" t="s">
        <v>52</v>
      </c>
      <c r="H29" s="111"/>
      <c r="I29" s="18">
        <f>ROUND(SUM(F28:F29)+I28,2)</f>
        <v>0</v>
      </c>
    </row>
    <row r="31" spans="1:9" x14ac:dyDescent="0.25">
      <c r="A31" s="123" t="s">
        <v>53</v>
      </c>
      <c r="B31" s="115"/>
      <c r="C31" s="116"/>
      <c r="D31" s="114" t="s">
        <v>54</v>
      </c>
      <c r="E31" s="115"/>
      <c r="F31" s="116"/>
      <c r="G31" s="114" t="s">
        <v>55</v>
      </c>
      <c r="H31" s="115"/>
      <c r="I31" s="116"/>
    </row>
    <row r="32" spans="1:9" x14ac:dyDescent="0.25">
      <c r="A32" s="124" t="s">
        <v>4</v>
      </c>
      <c r="B32" s="118"/>
      <c r="C32" s="119"/>
      <c r="D32" s="117" t="s">
        <v>4</v>
      </c>
      <c r="E32" s="118"/>
      <c r="F32" s="119"/>
      <c r="G32" s="117" t="s">
        <v>4</v>
      </c>
      <c r="H32" s="118"/>
      <c r="I32" s="119"/>
    </row>
    <row r="33" spans="1:9" x14ac:dyDescent="0.25">
      <c r="A33" s="124" t="s">
        <v>4</v>
      </c>
      <c r="B33" s="118"/>
      <c r="C33" s="119"/>
      <c r="D33" s="117" t="s">
        <v>4</v>
      </c>
      <c r="E33" s="118"/>
      <c r="F33" s="119"/>
      <c r="G33" s="117" t="s">
        <v>4</v>
      </c>
      <c r="H33" s="118"/>
      <c r="I33" s="119"/>
    </row>
    <row r="34" spans="1:9" x14ac:dyDescent="0.25">
      <c r="A34" s="124" t="s">
        <v>4</v>
      </c>
      <c r="B34" s="118"/>
      <c r="C34" s="119"/>
      <c r="D34" s="117" t="s">
        <v>4</v>
      </c>
      <c r="E34" s="118"/>
      <c r="F34" s="119"/>
      <c r="G34" s="117" t="s">
        <v>4</v>
      </c>
      <c r="H34" s="118"/>
      <c r="I34" s="119"/>
    </row>
    <row r="35" spans="1:9" x14ac:dyDescent="0.25">
      <c r="A35" s="125" t="s">
        <v>56</v>
      </c>
      <c r="B35" s="121"/>
      <c r="C35" s="122"/>
      <c r="D35" s="120" t="s">
        <v>56</v>
      </c>
      <c r="E35" s="121"/>
      <c r="F35" s="122"/>
      <c r="G35" s="120" t="s">
        <v>56</v>
      </c>
      <c r="H35" s="121"/>
      <c r="I35" s="122"/>
    </row>
    <row r="36" spans="1:9" x14ac:dyDescent="0.25">
      <c r="A36" s="19" t="s">
        <v>57</v>
      </c>
    </row>
    <row r="37" spans="1:9" ht="12.75" customHeight="1" x14ac:dyDescent="0.25">
      <c r="A37" s="82" t="s">
        <v>4</v>
      </c>
      <c r="B37" s="79"/>
      <c r="C37" s="79"/>
      <c r="D37" s="79"/>
      <c r="E37" s="79"/>
      <c r="F37" s="79"/>
      <c r="G37" s="79"/>
      <c r="H37" s="79"/>
      <c r="I37" s="79"/>
    </row>
  </sheetData>
  <sheetProtection password="E93C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topLeftCell="A10" workbookViewId="0">
      <selection activeCell="F23" sqref="F23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74" t="s">
        <v>58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76" t="s">
        <v>1</v>
      </c>
      <c r="B2" s="77"/>
      <c r="C2" s="86" t="str">
        <f>'Stavební rozpočet'!C2</f>
        <v>Oprava střešního pláště na objektu Jeřábkovo nám. 456, Česká Lípa</v>
      </c>
      <c r="D2" s="87"/>
      <c r="E2" s="81" t="s">
        <v>2</v>
      </c>
      <c r="F2" s="81" t="str">
        <f>'Stavební rozpočet'!I2</f>
        <v> </v>
      </c>
      <c r="G2" s="77"/>
      <c r="H2" s="81" t="s">
        <v>3</v>
      </c>
      <c r="I2" s="83" t="s">
        <v>4</v>
      </c>
    </row>
    <row r="3" spans="1:9" ht="15" customHeight="1" x14ac:dyDescent="0.25">
      <c r="A3" s="78"/>
      <c r="B3" s="79"/>
      <c r="C3" s="88"/>
      <c r="D3" s="88"/>
      <c r="E3" s="79"/>
      <c r="F3" s="79"/>
      <c r="G3" s="79"/>
      <c r="H3" s="79"/>
      <c r="I3" s="84"/>
    </row>
    <row r="4" spans="1:9" x14ac:dyDescent="0.25">
      <c r="A4" s="80" t="s">
        <v>5</v>
      </c>
      <c r="B4" s="79"/>
      <c r="C4" s="82" t="str">
        <f>'Stavební rozpočet'!C4</f>
        <v xml:space="preserve"> </v>
      </c>
      <c r="D4" s="79"/>
      <c r="E4" s="82" t="s">
        <v>6</v>
      </c>
      <c r="F4" s="82" t="str">
        <f>'Stavební rozpočet'!I4</f>
        <v> </v>
      </c>
      <c r="G4" s="79"/>
      <c r="H4" s="82" t="s">
        <v>3</v>
      </c>
      <c r="I4" s="84" t="s">
        <v>4</v>
      </c>
    </row>
    <row r="5" spans="1:9" ht="15" customHeight="1" x14ac:dyDescent="0.25">
      <c r="A5" s="78"/>
      <c r="B5" s="79"/>
      <c r="C5" s="79"/>
      <c r="D5" s="79"/>
      <c r="E5" s="79"/>
      <c r="F5" s="79"/>
      <c r="G5" s="79"/>
      <c r="H5" s="79"/>
      <c r="I5" s="84"/>
    </row>
    <row r="6" spans="1:9" x14ac:dyDescent="0.25">
      <c r="A6" s="80" t="s">
        <v>7</v>
      </c>
      <c r="B6" s="79"/>
      <c r="C6" s="82" t="str">
        <f>'Stavební rozpočet'!C6</f>
        <v>Česká Lípa</v>
      </c>
      <c r="D6" s="79"/>
      <c r="E6" s="82" t="s">
        <v>8</v>
      </c>
      <c r="F6" s="82" t="str">
        <f>'Stavební rozpočet'!I6</f>
        <v> </v>
      </c>
      <c r="G6" s="79"/>
      <c r="H6" s="82" t="s">
        <v>3</v>
      </c>
      <c r="I6" s="84" t="s">
        <v>4</v>
      </c>
    </row>
    <row r="7" spans="1:9" ht="15" customHeight="1" x14ac:dyDescent="0.25">
      <c r="A7" s="78"/>
      <c r="B7" s="79"/>
      <c r="C7" s="79"/>
      <c r="D7" s="79"/>
      <c r="E7" s="79"/>
      <c r="F7" s="79"/>
      <c r="G7" s="79"/>
      <c r="H7" s="79"/>
      <c r="I7" s="84"/>
    </row>
    <row r="8" spans="1:9" x14ac:dyDescent="0.25">
      <c r="A8" s="80" t="s">
        <v>9</v>
      </c>
      <c r="B8" s="79"/>
      <c r="C8" s="82" t="str">
        <f>'Stavební rozpočet'!G4</f>
        <v>17.12.2024</v>
      </c>
      <c r="D8" s="79"/>
      <c r="E8" s="82" t="s">
        <v>10</v>
      </c>
      <c r="F8" s="82" t="str">
        <f>'Stavební rozpočet'!G6</f>
        <v xml:space="preserve"> </v>
      </c>
      <c r="G8" s="79"/>
      <c r="H8" s="79" t="s">
        <v>11</v>
      </c>
      <c r="I8" s="85">
        <v>107</v>
      </c>
    </row>
    <row r="9" spans="1:9" x14ac:dyDescent="0.25">
      <c r="A9" s="78"/>
      <c r="B9" s="79"/>
      <c r="C9" s="79"/>
      <c r="D9" s="79"/>
      <c r="E9" s="79"/>
      <c r="F9" s="79"/>
      <c r="G9" s="79"/>
      <c r="H9" s="79"/>
      <c r="I9" s="84"/>
    </row>
    <row r="10" spans="1:9" x14ac:dyDescent="0.25">
      <c r="A10" s="80" t="s">
        <v>12</v>
      </c>
      <c r="B10" s="79"/>
      <c r="C10" s="82" t="str">
        <f>'Stavební rozpočet'!C8</f>
        <v xml:space="preserve"> </v>
      </c>
      <c r="D10" s="79"/>
      <c r="E10" s="82" t="s">
        <v>13</v>
      </c>
      <c r="F10" s="82" t="str">
        <f>'Stavební rozpočet'!I8</f>
        <v> </v>
      </c>
      <c r="G10" s="79"/>
      <c r="H10" s="79" t="s">
        <v>14</v>
      </c>
      <c r="I10" s="90" t="str">
        <f>'Stavební rozpočet'!G8</f>
        <v>17.12.2024</v>
      </c>
    </row>
    <row r="11" spans="1:9" x14ac:dyDescent="0.25">
      <c r="A11" s="95"/>
      <c r="B11" s="89"/>
      <c r="C11" s="89"/>
      <c r="D11" s="89"/>
      <c r="E11" s="89"/>
      <c r="F11" s="89"/>
      <c r="G11" s="89"/>
      <c r="H11" s="89"/>
      <c r="I11" s="91"/>
    </row>
    <row r="13" spans="1:9" ht="15.75" x14ac:dyDescent="0.25">
      <c r="A13" s="126" t="s">
        <v>59</v>
      </c>
      <c r="B13" s="126"/>
      <c r="C13" s="126"/>
      <c r="D13" s="126"/>
      <c r="E13" s="126"/>
    </row>
    <row r="14" spans="1:9" x14ac:dyDescent="0.25">
      <c r="A14" s="127" t="s">
        <v>60</v>
      </c>
      <c r="B14" s="128"/>
      <c r="C14" s="128"/>
      <c r="D14" s="128"/>
      <c r="E14" s="129"/>
      <c r="F14" s="20" t="s">
        <v>61</v>
      </c>
      <c r="G14" s="20" t="s">
        <v>62</v>
      </c>
      <c r="H14" s="20" t="s">
        <v>63</v>
      </c>
      <c r="I14" s="20" t="s">
        <v>61</v>
      </c>
    </row>
    <row r="15" spans="1:9" x14ac:dyDescent="0.25">
      <c r="A15" s="130" t="s">
        <v>567</v>
      </c>
      <c r="B15" s="131"/>
      <c r="C15" s="131"/>
      <c r="D15" s="131"/>
      <c r="E15" s="132"/>
      <c r="F15" s="71">
        <v>0</v>
      </c>
      <c r="G15" s="22" t="s">
        <v>4</v>
      </c>
      <c r="H15" s="22" t="s">
        <v>4</v>
      </c>
      <c r="I15" s="21">
        <f>F15</f>
        <v>0</v>
      </c>
    </row>
    <row r="16" spans="1:9" x14ac:dyDescent="0.25">
      <c r="A16" s="130" t="s">
        <v>568</v>
      </c>
      <c r="B16" s="131"/>
      <c r="C16" s="131"/>
      <c r="D16" s="131"/>
      <c r="E16" s="132"/>
      <c r="F16" s="71">
        <v>0</v>
      </c>
      <c r="G16" s="22" t="s">
        <v>4</v>
      </c>
      <c r="H16" s="22" t="s">
        <v>4</v>
      </c>
      <c r="I16" s="21">
        <f>F16</f>
        <v>0</v>
      </c>
    </row>
    <row r="17" spans="1:9" x14ac:dyDescent="0.25">
      <c r="A17" s="130" t="s">
        <v>569</v>
      </c>
      <c r="B17" s="131"/>
      <c r="C17" s="131"/>
      <c r="D17" s="131"/>
      <c r="E17" s="132"/>
      <c r="F17" s="71">
        <v>0</v>
      </c>
      <c r="G17" s="22" t="s">
        <v>4</v>
      </c>
      <c r="H17" s="22" t="s">
        <v>4</v>
      </c>
      <c r="I17" s="21">
        <f>F17</f>
        <v>0</v>
      </c>
    </row>
    <row r="18" spans="1:9" x14ac:dyDescent="0.25">
      <c r="A18" s="133" t="s">
        <v>570</v>
      </c>
      <c r="B18" s="134"/>
      <c r="C18" s="134"/>
      <c r="D18" s="134"/>
      <c r="E18" s="135"/>
      <c r="F18" s="72">
        <v>0</v>
      </c>
      <c r="G18" s="24" t="s">
        <v>4</v>
      </c>
      <c r="H18" s="24" t="s">
        <v>4</v>
      </c>
      <c r="I18" s="23">
        <f>F18</f>
        <v>0</v>
      </c>
    </row>
    <row r="19" spans="1:9" x14ac:dyDescent="0.25">
      <c r="A19" s="136" t="s">
        <v>64</v>
      </c>
      <c r="B19" s="137"/>
      <c r="C19" s="137"/>
      <c r="D19" s="137"/>
      <c r="E19" s="138"/>
      <c r="F19" s="25" t="s">
        <v>4</v>
      </c>
      <c r="G19" s="26" t="s">
        <v>4</v>
      </c>
      <c r="H19" s="26" t="s">
        <v>4</v>
      </c>
      <c r="I19" s="27">
        <f>SUM(I15:I18)</f>
        <v>0</v>
      </c>
    </row>
    <row r="21" spans="1:9" x14ac:dyDescent="0.25">
      <c r="A21" s="139" t="s">
        <v>21</v>
      </c>
      <c r="B21" s="140"/>
      <c r="C21" s="140"/>
      <c r="D21" s="140"/>
      <c r="E21" s="141"/>
      <c r="F21" s="68" t="s">
        <v>61</v>
      </c>
      <c r="G21" s="68" t="s">
        <v>62</v>
      </c>
      <c r="H21" s="20" t="s">
        <v>63</v>
      </c>
      <c r="I21" s="20" t="s">
        <v>61</v>
      </c>
    </row>
    <row r="22" spans="1:9" x14ac:dyDescent="0.25">
      <c r="A22" s="142" t="s">
        <v>571</v>
      </c>
      <c r="B22" s="142"/>
      <c r="C22" s="142"/>
      <c r="D22" s="142"/>
      <c r="E22" s="142"/>
      <c r="F22" s="73">
        <v>0</v>
      </c>
      <c r="G22" s="70"/>
      <c r="H22" s="21"/>
      <c r="I22" s="21">
        <f t="shared" ref="I22:I27" si="0">F22</f>
        <v>0</v>
      </c>
    </row>
    <row r="23" spans="1:9" x14ac:dyDescent="0.25">
      <c r="A23" s="142"/>
      <c r="B23" s="142"/>
      <c r="C23" s="142"/>
      <c r="D23" s="142"/>
      <c r="E23" s="142"/>
      <c r="F23" s="70"/>
      <c r="G23" s="69" t="s">
        <v>4</v>
      </c>
      <c r="H23" s="22" t="s">
        <v>4</v>
      </c>
      <c r="I23" s="21">
        <f t="shared" si="0"/>
        <v>0</v>
      </c>
    </row>
    <row r="24" spans="1:9" x14ac:dyDescent="0.25">
      <c r="A24" s="142"/>
      <c r="B24" s="142"/>
      <c r="C24" s="142"/>
      <c r="D24" s="142"/>
      <c r="E24" s="142"/>
      <c r="F24" s="70"/>
      <c r="G24" s="69" t="s">
        <v>4</v>
      </c>
      <c r="H24" s="22" t="s">
        <v>4</v>
      </c>
      <c r="I24" s="21">
        <f t="shared" si="0"/>
        <v>0</v>
      </c>
    </row>
    <row r="25" spans="1:9" x14ac:dyDescent="0.25">
      <c r="A25" s="130"/>
      <c r="B25" s="131"/>
      <c r="C25" s="131"/>
      <c r="D25" s="131"/>
      <c r="E25" s="132"/>
      <c r="F25" s="21"/>
      <c r="G25" s="22" t="s">
        <v>4</v>
      </c>
      <c r="H25" s="22" t="s">
        <v>4</v>
      </c>
      <c r="I25" s="21">
        <f t="shared" si="0"/>
        <v>0</v>
      </c>
    </row>
    <row r="26" spans="1:9" x14ac:dyDescent="0.25">
      <c r="A26" s="130"/>
      <c r="B26" s="131"/>
      <c r="C26" s="131"/>
      <c r="D26" s="131"/>
      <c r="E26" s="132"/>
      <c r="F26" s="21"/>
      <c r="G26" s="22" t="s">
        <v>4</v>
      </c>
      <c r="H26" s="22" t="s">
        <v>4</v>
      </c>
      <c r="I26" s="21">
        <f t="shared" si="0"/>
        <v>0</v>
      </c>
    </row>
    <row r="27" spans="1:9" x14ac:dyDescent="0.25">
      <c r="A27" s="133"/>
      <c r="B27" s="134"/>
      <c r="C27" s="134"/>
      <c r="D27" s="134"/>
      <c r="E27" s="135"/>
      <c r="F27" s="23"/>
      <c r="G27" s="24" t="s">
        <v>4</v>
      </c>
      <c r="H27" s="24" t="s">
        <v>4</v>
      </c>
      <c r="I27" s="23">
        <f t="shared" si="0"/>
        <v>0</v>
      </c>
    </row>
    <row r="28" spans="1:9" x14ac:dyDescent="0.25">
      <c r="A28" s="136" t="s">
        <v>65</v>
      </c>
      <c r="B28" s="137"/>
      <c r="C28" s="137"/>
      <c r="D28" s="137"/>
      <c r="E28" s="138"/>
      <c r="F28" s="25" t="s">
        <v>4</v>
      </c>
      <c r="G28" s="26" t="s">
        <v>4</v>
      </c>
      <c r="H28" s="26" t="s">
        <v>4</v>
      </c>
      <c r="I28" s="27">
        <f>SUM(I22:I27)</f>
        <v>0</v>
      </c>
    </row>
    <row r="30" spans="1:9" ht="15.75" x14ac:dyDescent="0.25">
      <c r="A30" s="146" t="s">
        <v>66</v>
      </c>
      <c r="B30" s="147"/>
      <c r="C30" s="147"/>
      <c r="D30" s="147"/>
      <c r="E30" s="148"/>
      <c r="F30" s="143">
        <f>I19+I28</f>
        <v>0</v>
      </c>
      <c r="G30" s="144"/>
      <c r="H30" s="144"/>
      <c r="I30" s="145"/>
    </row>
    <row r="32" spans="1:9" ht="15" hidden="1" customHeight="1" x14ac:dyDescent="0.25"/>
    <row r="33" spans="1:9" ht="15" hidden="1" customHeight="1" x14ac:dyDescent="0.25"/>
    <row r="34" spans="1:9" ht="15.75" hidden="1" x14ac:dyDescent="0.25">
      <c r="A34" s="126" t="s">
        <v>67</v>
      </c>
      <c r="B34" s="126"/>
      <c r="C34" s="126"/>
      <c r="D34" s="126"/>
      <c r="E34" s="126"/>
    </row>
    <row r="35" spans="1:9" hidden="1" x14ac:dyDescent="0.25">
      <c r="A35" s="127" t="s">
        <v>68</v>
      </c>
      <c r="B35" s="128"/>
      <c r="C35" s="128"/>
      <c r="D35" s="128"/>
      <c r="E35" s="129"/>
      <c r="F35" s="20" t="s">
        <v>61</v>
      </c>
      <c r="G35" s="20" t="s">
        <v>62</v>
      </c>
      <c r="H35" s="20" t="s">
        <v>63</v>
      </c>
      <c r="I35" s="20" t="s">
        <v>61</v>
      </c>
    </row>
    <row r="36" spans="1:9" hidden="1" x14ac:dyDescent="0.25">
      <c r="A36" s="130"/>
      <c r="B36" s="131"/>
      <c r="C36" s="131"/>
      <c r="D36" s="131"/>
      <c r="E36" s="132"/>
      <c r="F36" s="21"/>
      <c r="G36" s="22" t="s">
        <v>4</v>
      </c>
      <c r="H36" s="22" t="s">
        <v>4</v>
      </c>
      <c r="I36" s="21">
        <f>F36</f>
        <v>0</v>
      </c>
    </row>
    <row r="37" spans="1:9" hidden="1" x14ac:dyDescent="0.25">
      <c r="A37" s="133"/>
      <c r="B37" s="134"/>
      <c r="C37" s="134"/>
      <c r="D37" s="134"/>
      <c r="E37" s="135"/>
      <c r="F37" s="23"/>
      <c r="G37" s="24" t="s">
        <v>4</v>
      </c>
      <c r="H37" s="24" t="s">
        <v>4</v>
      </c>
      <c r="I37" s="23">
        <f>F37</f>
        <v>0</v>
      </c>
    </row>
    <row r="38" spans="1:9" hidden="1" x14ac:dyDescent="0.25">
      <c r="A38" s="136" t="s">
        <v>69</v>
      </c>
      <c r="B38" s="137"/>
      <c r="C38" s="137"/>
      <c r="D38" s="137"/>
      <c r="E38" s="138"/>
      <c r="F38" s="25" t="s">
        <v>4</v>
      </c>
      <c r="G38" s="26" t="s">
        <v>4</v>
      </c>
      <c r="H38" s="26" t="s">
        <v>4</v>
      </c>
      <c r="I38" s="27">
        <f>SUM(I36:I37)</f>
        <v>0</v>
      </c>
    </row>
    <row r="39" spans="1:9" ht="15" hidden="1" customHeight="1" x14ac:dyDescent="0.25"/>
  </sheetData>
  <sheetProtection algorithmName="SHA-512" hashValue="1/TjEyrljMgPBlSCKD765wstGApUeIbbmlPwu8VSt3a8ni83frkSRYHhNKZ4PJZuA5Dw9Puq9lAvPIDZsQl/kA==" saltValue="27ByT/aD+RRaMBrrE4HdVQ==" spinCount="100000" sheet="1"/>
  <protectedRanges>
    <protectedRange sqref="F22 F18 F17 F16 F15" name="Oblast1"/>
  </protectedRanges>
  <mergeCells count="53">
    <mergeCell ref="A36:E36"/>
    <mergeCell ref="A37:E37"/>
    <mergeCell ref="A38:E38"/>
    <mergeCell ref="A28:E28"/>
    <mergeCell ref="A30:E30"/>
    <mergeCell ref="F30:I30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19:E19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233"/>
  <sheetViews>
    <sheetView workbookViewId="0">
      <pane ySplit="11" topLeftCell="A12" activePane="bottomLeft" state="frozen"/>
      <selection pane="bottomLeft" activeCell="C15" sqref="C15:J15"/>
    </sheetView>
  </sheetViews>
  <sheetFormatPr defaultColWidth="12.140625" defaultRowHeight="15" customHeight="1" x14ac:dyDescent="0.25"/>
  <cols>
    <col min="1" max="1" width="3.140625" customWidth="1"/>
    <col min="2" max="2" width="17.85546875" customWidth="1"/>
    <col min="3" max="3" width="28.5703125" customWidth="1"/>
    <col min="4" max="4" width="35.7109375" customWidth="1"/>
    <col min="5" max="5" width="4.28515625" customWidth="1"/>
    <col min="6" max="6" width="12.85546875" customWidth="1"/>
    <col min="7" max="7" width="12" customWidth="1"/>
    <col min="8" max="8" width="15.7109375" customWidth="1"/>
    <col min="9" max="9" width="13.42578125" customWidth="1"/>
    <col min="25" max="75" width="12.140625" hidden="1"/>
    <col min="76" max="76" width="64.28515625" hidden="1" customWidth="1"/>
    <col min="77" max="78" width="12.140625" hidden="1"/>
  </cols>
  <sheetData>
    <row r="1" spans="1:76" ht="54.75" customHeight="1" x14ac:dyDescent="0.25">
      <c r="A1" s="75" t="s">
        <v>70</v>
      </c>
      <c r="B1" s="75"/>
      <c r="C1" s="75"/>
      <c r="D1" s="75"/>
      <c r="E1" s="75"/>
      <c r="F1" s="75"/>
      <c r="G1" s="75"/>
      <c r="H1" s="75"/>
      <c r="I1" s="75"/>
      <c r="J1" s="75"/>
      <c r="AS1" s="28">
        <f>SUM(AJ1:AJ2)</f>
        <v>0</v>
      </c>
      <c r="AT1" s="28">
        <f>SUM(AK1:AK2)</f>
        <v>0</v>
      </c>
      <c r="AU1" s="28">
        <f>SUM(AL1:AL2)</f>
        <v>0</v>
      </c>
    </row>
    <row r="2" spans="1:76" x14ac:dyDescent="0.25">
      <c r="A2" s="76" t="s">
        <v>1</v>
      </c>
      <c r="B2" s="77"/>
      <c r="C2" s="86" t="s">
        <v>71</v>
      </c>
      <c r="D2" s="87"/>
      <c r="E2" s="77" t="s">
        <v>72</v>
      </c>
      <c r="F2" s="77"/>
      <c r="G2" s="167" t="s">
        <v>73</v>
      </c>
      <c r="H2" s="81" t="s">
        <v>2</v>
      </c>
      <c r="I2" s="77" t="s">
        <v>74</v>
      </c>
      <c r="J2" s="83"/>
    </row>
    <row r="3" spans="1:76" x14ac:dyDescent="0.25">
      <c r="A3" s="78"/>
      <c r="B3" s="79"/>
      <c r="C3" s="88"/>
      <c r="D3" s="88"/>
      <c r="E3" s="79"/>
      <c r="F3" s="79"/>
      <c r="G3" s="161"/>
      <c r="H3" s="79"/>
      <c r="I3" s="79"/>
      <c r="J3" s="84"/>
    </row>
    <row r="4" spans="1:76" x14ac:dyDescent="0.25">
      <c r="A4" s="80" t="s">
        <v>5</v>
      </c>
      <c r="B4" s="79"/>
      <c r="C4" s="82" t="s">
        <v>73</v>
      </c>
      <c r="D4" s="79"/>
      <c r="E4" s="79" t="s">
        <v>9</v>
      </c>
      <c r="F4" s="79"/>
      <c r="G4" s="161" t="s">
        <v>75</v>
      </c>
      <c r="H4" s="82" t="s">
        <v>6</v>
      </c>
      <c r="I4" s="79" t="s">
        <v>74</v>
      </c>
      <c r="J4" s="84"/>
    </row>
    <row r="5" spans="1:76" x14ac:dyDescent="0.25">
      <c r="A5" s="78"/>
      <c r="B5" s="79"/>
      <c r="C5" s="79"/>
      <c r="D5" s="79"/>
      <c r="E5" s="79"/>
      <c r="F5" s="79"/>
      <c r="G5" s="161"/>
      <c r="H5" s="79"/>
      <c r="I5" s="79"/>
      <c r="J5" s="84"/>
    </row>
    <row r="6" spans="1:76" x14ac:dyDescent="0.25">
      <c r="A6" s="80" t="s">
        <v>7</v>
      </c>
      <c r="B6" s="79"/>
      <c r="C6" s="82" t="s">
        <v>76</v>
      </c>
      <c r="D6" s="79"/>
      <c r="E6" s="79" t="s">
        <v>10</v>
      </c>
      <c r="F6" s="79"/>
      <c r="G6" s="161" t="s">
        <v>73</v>
      </c>
      <c r="H6" s="82" t="s">
        <v>8</v>
      </c>
      <c r="I6" s="161" t="s">
        <v>74</v>
      </c>
      <c r="J6" s="162"/>
    </row>
    <row r="7" spans="1:76" x14ac:dyDescent="0.25">
      <c r="A7" s="78"/>
      <c r="B7" s="79"/>
      <c r="C7" s="79"/>
      <c r="D7" s="79"/>
      <c r="E7" s="79"/>
      <c r="F7" s="79"/>
      <c r="G7" s="161"/>
      <c r="H7" s="79"/>
      <c r="I7" s="161"/>
      <c r="J7" s="162"/>
    </row>
    <row r="8" spans="1:76" x14ac:dyDescent="0.25">
      <c r="A8" s="80" t="s">
        <v>12</v>
      </c>
      <c r="B8" s="79"/>
      <c r="C8" s="82" t="s">
        <v>73</v>
      </c>
      <c r="D8" s="79"/>
      <c r="E8" s="79" t="s">
        <v>77</v>
      </c>
      <c r="F8" s="79"/>
      <c r="G8" s="161" t="s">
        <v>75</v>
      </c>
      <c r="H8" s="82" t="s">
        <v>13</v>
      </c>
      <c r="I8" s="161" t="s">
        <v>74</v>
      </c>
      <c r="J8" s="162"/>
    </row>
    <row r="9" spans="1:76" x14ac:dyDescent="0.25">
      <c r="A9" s="149"/>
      <c r="B9" s="150"/>
      <c r="C9" s="150"/>
      <c r="D9" s="150"/>
      <c r="E9" s="150"/>
      <c r="F9" s="150"/>
      <c r="G9" s="163"/>
      <c r="H9" s="150"/>
      <c r="I9" s="163"/>
      <c r="J9" s="164"/>
    </row>
    <row r="10" spans="1:76" x14ac:dyDescent="0.25">
      <c r="A10" s="29" t="s">
        <v>78</v>
      </c>
      <c r="B10" s="30" t="s">
        <v>79</v>
      </c>
      <c r="C10" s="165" t="s">
        <v>80</v>
      </c>
      <c r="D10" s="166"/>
      <c r="E10" s="30" t="s">
        <v>81</v>
      </c>
      <c r="F10" s="31" t="s">
        <v>82</v>
      </c>
      <c r="G10" s="32" t="s">
        <v>83</v>
      </c>
      <c r="H10" s="33" t="s">
        <v>84</v>
      </c>
      <c r="I10" s="34" t="s">
        <v>85</v>
      </c>
      <c r="J10" s="35"/>
      <c r="BK10" s="36" t="s">
        <v>86</v>
      </c>
      <c r="BL10" s="37" t="s">
        <v>87</v>
      </c>
      <c r="BW10" s="37" t="s">
        <v>88</v>
      </c>
    </row>
    <row r="11" spans="1:76" x14ac:dyDescent="0.25">
      <c r="A11" s="38" t="s">
        <v>73</v>
      </c>
      <c r="B11" s="39" t="s">
        <v>73</v>
      </c>
      <c r="C11" s="151" t="s">
        <v>89</v>
      </c>
      <c r="D11" s="152"/>
      <c r="E11" s="39" t="s">
        <v>73</v>
      </c>
      <c r="F11" s="39" t="s">
        <v>73</v>
      </c>
      <c r="G11" s="40" t="s">
        <v>90</v>
      </c>
      <c r="H11" s="41" t="s">
        <v>91</v>
      </c>
      <c r="I11" s="42" t="s">
        <v>92</v>
      </c>
      <c r="J11" s="43"/>
      <c r="Z11" s="36" t="s">
        <v>93</v>
      </c>
      <c r="AA11" s="36" t="s">
        <v>94</v>
      </c>
      <c r="AB11" s="36" t="s">
        <v>95</v>
      </c>
      <c r="AC11" s="36" t="s">
        <v>96</v>
      </c>
      <c r="AD11" s="36" t="s">
        <v>97</v>
      </c>
      <c r="AE11" s="36" t="s">
        <v>98</v>
      </c>
      <c r="AF11" s="36" t="s">
        <v>99</v>
      </c>
      <c r="AG11" s="36" t="s">
        <v>100</v>
      </c>
      <c r="AH11" s="36" t="s">
        <v>101</v>
      </c>
      <c r="BH11" s="36" t="s">
        <v>102</v>
      </c>
      <c r="BI11" s="36" t="s">
        <v>103</v>
      </c>
      <c r="BJ11" s="36" t="s">
        <v>104</v>
      </c>
    </row>
    <row r="12" spans="1:76" x14ac:dyDescent="0.25">
      <c r="A12" s="44" t="s">
        <v>4</v>
      </c>
      <c r="B12" s="45" t="s">
        <v>4</v>
      </c>
      <c r="C12" s="153" t="s">
        <v>105</v>
      </c>
      <c r="D12" s="154"/>
      <c r="E12" s="46" t="s">
        <v>73</v>
      </c>
      <c r="F12" s="46" t="s">
        <v>73</v>
      </c>
      <c r="G12" s="47" t="s">
        <v>73</v>
      </c>
      <c r="H12" s="48">
        <f>H13+H17+H20+H33+H49+H109+H128+H136+H141+H148+H160+H164+H166+H199+H210+H216</f>
        <v>0</v>
      </c>
      <c r="I12" s="49" t="s">
        <v>4</v>
      </c>
      <c r="J12" s="50"/>
    </row>
    <row r="13" spans="1:76" x14ac:dyDescent="0.25">
      <c r="A13" s="51" t="s">
        <v>4</v>
      </c>
      <c r="B13" s="52" t="s">
        <v>106</v>
      </c>
      <c r="C13" s="155" t="s">
        <v>107</v>
      </c>
      <c r="D13" s="156"/>
      <c r="E13" s="53" t="s">
        <v>73</v>
      </c>
      <c r="F13" s="53" t="s">
        <v>73</v>
      </c>
      <c r="G13" s="54" t="s">
        <v>73</v>
      </c>
      <c r="H13" s="28">
        <f>SUM(H14:H14)</f>
        <v>0</v>
      </c>
      <c r="I13" s="36" t="s">
        <v>4</v>
      </c>
      <c r="J13" s="50"/>
      <c r="AI13" s="36" t="s">
        <v>4</v>
      </c>
      <c r="AS13" s="28">
        <f>SUM(AJ14:AJ14)</f>
        <v>0</v>
      </c>
      <c r="AT13" s="28">
        <f>SUM(AK14:AK14)</f>
        <v>0</v>
      </c>
      <c r="AU13" s="28">
        <f>SUM(AL14:AL14)</f>
        <v>0</v>
      </c>
    </row>
    <row r="14" spans="1:76" x14ac:dyDescent="0.25">
      <c r="A14" s="1" t="s">
        <v>108</v>
      </c>
      <c r="B14" s="2" t="s">
        <v>109</v>
      </c>
      <c r="C14" s="82" t="s">
        <v>110</v>
      </c>
      <c r="D14" s="79"/>
      <c r="E14" s="2" t="s">
        <v>111</v>
      </c>
      <c r="F14" s="55">
        <v>0.11</v>
      </c>
      <c r="G14" s="56">
        <v>0</v>
      </c>
      <c r="H14" s="55">
        <f>ROUND(F14*G14,2)</f>
        <v>0</v>
      </c>
      <c r="I14" s="57" t="s">
        <v>112</v>
      </c>
      <c r="J14" s="50"/>
      <c r="Z14" s="55">
        <f>ROUND(IF(AQ14="5",BJ14,0),2)</f>
        <v>0</v>
      </c>
      <c r="AB14" s="55">
        <f>ROUND(IF(AQ14="1",BH14,0),2)</f>
        <v>0</v>
      </c>
      <c r="AC14" s="55">
        <f>ROUND(IF(AQ14="1",BI14,0),2)</f>
        <v>0</v>
      </c>
      <c r="AD14" s="55">
        <f>ROUND(IF(AQ14="7",BH14,0),2)</f>
        <v>0</v>
      </c>
      <c r="AE14" s="55">
        <f>ROUND(IF(AQ14="7",BI14,0),2)</f>
        <v>0</v>
      </c>
      <c r="AF14" s="55">
        <f>ROUND(IF(AQ14="2",BH14,0),2)</f>
        <v>0</v>
      </c>
      <c r="AG14" s="55">
        <f>ROUND(IF(AQ14="2",BI14,0),2)</f>
        <v>0</v>
      </c>
      <c r="AH14" s="55">
        <f>ROUND(IF(AQ14="0",BJ14,0),2)</f>
        <v>0</v>
      </c>
      <c r="AI14" s="36" t="s">
        <v>4</v>
      </c>
      <c r="AJ14" s="55">
        <f>IF(AN14=0,H14,0)</f>
        <v>0</v>
      </c>
      <c r="AK14" s="55">
        <f>IF(AN14=12,H14,0)</f>
        <v>0</v>
      </c>
      <c r="AL14" s="55">
        <f>IF(AN14=21,H14,0)</f>
        <v>0</v>
      </c>
      <c r="AN14" s="55">
        <v>12</v>
      </c>
      <c r="AO14" s="55">
        <f>G14*0.946933972</f>
        <v>0</v>
      </c>
      <c r="AP14" s="55">
        <f>G14*(1-0.946933972)</f>
        <v>0</v>
      </c>
      <c r="AQ14" s="57" t="s">
        <v>108</v>
      </c>
      <c r="AV14" s="55">
        <f>ROUND(AW14+AX14,2)</f>
        <v>0</v>
      </c>
      <c r="AW14" s="55">
        <f>ROUND(F14*AO14,2)</f>
        <v>0</v>
      </c>
      <c r="AX14" s="55">
        <f>ROUND(F14*AP14,2)</f>
        <v>0</v>
      </c>
      <c r="AY14" s="57" t="s">
        <v>113</v>
      </c>
      <c r="AZ14" s="57" t="s">
        <v>114</v>
      </c>
      <c r="BA14" s="36" t="s">
        <v>115</v>
      </c>
      <c r="BC14" s="55">
        <f>AW14+AX14</f>
        <v>0</v>
      </c>
      <c r="BD14" s="55">
        <f>G14/(100-BE14)*100</f>
        <v>0</v>
      </c>
      <c r="BE14" s="55">
        <v>0</v>
      </c>
      <c r="BF14" s="55">
        <f>14</f>
        <v>14</v>
      </c>
      <c r="BH14" s="55">
        <f>F14*AO14</f>
        <v>0</v>
      </c>
      <c r="BI14" s="55">
        <f>F14*AP14</f>
        <v>0</v>
      </c>
      <c r="BJ14" s="55">
        <f>F14*G14</f>
        <v>0</v>
      </c>
      <c r="BK14" s="55"/>
      <c r="BL14" s="55">
        <v>41</v>
      </c>
      <c r="BW14" s="55">
        <v>12</v>
      </c>
      <c r="BX14" s="3" t="s">
        <v>110</v>
      </c>
    </row>
    <row r="15" spans="1:76" ht="13.5" customHeight="1" x14ac:dyDescent="0.25">
      <c r="A15" s="58"/>
      <c r="B15" s="59" t="s">
        <v>116</v>
      </c>
      <c r="C15" s="157" t="s">
        <v>117</v>
      </c>
      <c r="D15" s="158"/>
      <c r="E15" s="158"/>
      <c r="F15" s="158"/>
      <c r="G15" s="159"/>
      <c r="H15" s="158"/>
      <c r="I15" s="158"/>
      <c r="J15" s="160"/>
    </row>
    <row r="16" spans="1:76" x14ac:dyDescent="0.25">
      <c r="A16" s="58"/>
      <c r="C16" s="60" t="s">
        <v>118</v>
      </c>
      <c r="D16" s="60" t="s">
        <v>4</v>
      </c>
      <c r="F16" s="61">
        <v>0.11</v>
      </c>
      <c r="J16" s="50"/>
    </row>
    <row r="17" spans="1:76" x14ac:dyDescent="0.25">
      <c r="A17" s="51" t="s">
        <v>4</v>
      </c>
      <c r="B17" s="52" t="s">
        <v>119</v>
      </c>
      <c r="C17" s="155" t="s">
        <v>120</v>
      </c>
      <c r="D17" s="156"/>
      <c r="E17" s="53" t="s">
        <v>73</v>
      </c>
      <c r="F17" s="53" t="s">
        <v>73</v>
      </c>
      <c r="G17" s="54" t="s">
        <v>73</v>
      </c>
      <c r="H17" s="28">
        <f>SUM(H18:H18)</f>
        <v>0</v>
      </c>
      <c r="I17" s="36" t="s">
        <v>4</v>
      </c>
      <c r="J17" s="50"/>
      <c r="AI17" s="36" t="s">
        <v>4</v>
      </c>
      <c r="AS17" s="28">
        <f>SUM(AJ18:AJ18)</f>
        <v>0</v>
      </c>
      <c r="AT17" s="28">
        <f>SUM(AK18:AK18)</f>
        <v>0</v>
      </c>
      <c r="AU17" s="28">
        <f>SUM(AL18:AL18)</f>
        <v>0</v>
      </c>
    </row>
    <row r="18" spans="1:76" ht="25.5" x14ac:dyDescent="0.25">
      <c r="A18" s="1" t="s">
        <v>121</v>
      </c>
      <c r="B18" s="2" t="s">
        <v>122</v>
      </c>
      <c r="C18" s="82" t="s">
        <v>123</v>
      </c>
      <c r="D18" s="79"/>
      <c r="E18" s="2" t="s">
        <v>124</v>
      </c>
      <c r="F18" s="55">
        <v>118</v>
      </c>
      <c r="G18" s="56">
        <v>0</v>
      </c>
      <c r="H18" s="55">
        <f>ROUND(F18*G18,2)</f>
        <v>0</v>
      </c>
      <c r="I18" s="57" t="s">
        <v>112</v>
      </c>
      <c r="J18" s="50"/>
      <c r="Z18" s="55">
        <f>ROUND(IF(AQ18="5",BJ18,0),2)</f>
        <v>0</v>
      </c>
      <c r="AB18" s="55">
        <f>ROUND(IF(AQ18="1",BH18,0),2)</f>
        <v>0</v>
      </c>
      <c r="AC18" s="55">
        <f>ROUND(IF(AQ18="1",BI18,0),2)</f>
        <v>0</v>
      </c>
      <c r="AD18" s="55">
        <f>ROUND(IF(AQ18="7",BH18,0),2)</f>
        <v>0</v>
      </c>
      <c r="AE18" s="55">
        <f>ROUND(IF(AQ18="7",BI18,0),2)</f>
        <v>0</v>
      </c>
      <c r="AF18" s="55">
        <f>ROUND(IF(AQ18="2",BH18,0),2)</f>
        <v>0</v>
      </c>
      <c r="AG18" s="55">
        <f>ROUND(IF(AQ18="2",BI18,0),2)</f>
        <v>0</v>
      </c>
      <c r="AH18" s="55">
        <f>ROUND(IF(AQ18="0",BJ18,0),2)</f>
        <v>0</v>
      </c>
      <c r="AI18" s="36" t="s">
        <v>4</v>
      </c>
      <c r="AJ18" s="55">
        <f>IF(AN18=0,H18,0)</f>
        <v>0</v>
      </c>
      <c r="AK18" s="55">
        <f>IF(AN18=12,H18,0)</f>
        <v>0</v>
      </c>
      <c r="AL18" s="55">
        <f>IF(AN18=21,H18,0)</f>
        <v>0</v>
      </c>
      <c r="AN18" s="55">
        <v>12</v>
      </c>
      <c r="AO18" s="55">
        <f>G18*0</f>
        <v>0</v>
      </c>
      <c r="AP18" s="55">
        <f>G18*(1-0)</f>
        <v>0</v>
      </c>
      <c r="AQ18" s="57" t="s">
        <v>125</v>
      </c>
      <c r="AV18" s="55">
        <f>ROUND(AW18+AX18,2)</f>
        <v>0</v>
      </c>
      <c r="AW18" s="55">
        <f>ROUND(F18*AO18,2)</f>
        <v>0</v>
      </c>
      <c r="AX18" s="55">
        <f>ROUND(F18*AP18,2)</f>
        <v>0</v>
      </c>
      <c r="AY18" s="57" t="s">
        <v>126</v>
      </c>
      <c r="AZ18" s="57" t="s">
        <v>127</v>
      </c>
      <c r="BA18" s="36" t="s">
        <v>115</v>
      </c>
      <c r="BC18" s="55">
        <f>AW18+AX18</f>
        <v>0</v>
      </c>
      <c r="BD18" s="55">
        <f>G18/(100-BE18)*100</f>
        <v>0</v>
      </c>
      <c r="BE18" s="55">
        <v>0</v>
      </c>
      <c r="BF18" s="55">
        <f>18</f>
        <v>18</v>
      </c>
      <c r="BH18" s="55">
        <f>F18*AO18</f>
        <v>0</v>
      </c>
      <c r="BI18" s="55">
        <f>F18*AP18</f>
        <v>0</v>
      </c>
      <c r="BJ18" s="55">
        <f>F18*G18</f>
        <v>0</v>
      </c>
      <c r="BK18" s="55"/>
      <c r="BL18" s="55">
        <v>711</v>
      </c>
      <c r="BW18" s="55">
        <v>12</v>
      </c>
      <c r="BX18" s="3" t="s">
        <v>123</v>
      </c>
    </row>
    <row r="19" spans="1:76" x14ac:dyDescent="0.25">
      <c r="A19" s="58"/>
      <c r="C19" s="60" t="s">
        <v>128</v>
      </c>
      <c r="D19" s="60" t="s">
        <v>4</v>
      </c>
      <c r="F19" s="61">
        <v>118</v>
      </c>
      <c r="J19" s="50"/>
    </row>
    <row r="20" spans="1:76" x14ac:dyDescent="0.25">
      <c r="A20" s="51" t="s">
        <v>4</v>
      </c>
      <c r="B20" s="52" t="s">
        <v>129</v>
      </c>
      <c r="C20" s="155" t="s">
        <v>130</v>
      </c>
      <c r="D20" s="156"/>
      <c r="E20" s="53" t="s">
        <v>73</v>
      </c>
      <c r="F20" s="53" t="s">
        <v>73</v>
      </c>
      <c r="G20" s="54" t="s">
        <v>73</v>
      </c>
      <c r="H20" s="28">
        <f>SUM(H21:H30)</f>
        <v>0</v>
      </c>
      <c r="I20" s="36" t="s">
        <v>4</v>
      </c>
      <c r="J20" s="50"/>
      <c r="AI20" s="36" t="s">
        <v>4</v>
      </c>
      <c r="AS20" s="28">
        <f>SUM(AJ21:AJ30)</f>
        <v>0</v>
      </c>
      <c r="AT20" s="28">
        <f>SUM(AK21:AK30)</f>
        <v>0</v>
      </c>
      <c r="AU20" s="28">
        <f>SUM(AL21:AL30)</f>
        <v>0</v>
      </c>
    </row>
    <row r="21" spans="1:76" x14ac:dyDescent="0.25">
      <c r="A21" s="1" t="s">
        <v>131</v>
      </c>
      <c r="B21" s="2" t="s">
        <v>132</v>
      </c>
      <c r="C21" s="82" t="s">
        <v>133</v>
      </c>
      <c r="D21" s="79"/>
      <c r="E21" s="2" t="s">
        <v>124</v>
      </c>
      <c r="F21" s="55">
        <v>132</v>
      </c>
      <c r="G21" s="56">
        <v>0</v>
      </c>
      <c r="H21" s="55">
        <f>ROUND(F21*G21,2)</f>
        <v>0</v>
      </c>
      <c r="I21" s="57" t="s">
        <v>112</v>
      </c>
      <c r="J21" s="50"/>
      <c r="Z21" s="55">
        <f>ROUND(IF(AQ21="5",BJ21,0),2)</f>
        <v>0</v>
      </c>
      <c r="AB21" s="55">
        <f>ROUND(IF(AQ21="1",BH21,0),2)</f>
        <v>0</v>
      </c>
      <c r="AC21" s="55">
        <f>ROUND(IF(AQ21="1",BI21,0),2)</f>
        <v>0</v>
      </c>
      <c r="AD21" s="55">
        <f>ROUND(IF(AQ21="7",BH21,0),2)</f>
        <v>0</v>
      </c>
      <c r="AE21" s="55">
        <f>ROUND(IF(AQ21="7",BI21,0),2)</f>
        <v>0</v>
      </c>
      <c r="AF21" s="55">
        <f>ROUND(IF(AQ21="2",BH21,0),2)</f>
        <v>0</v>
      </c>
      <c r="AG21" s="55">
        <f>ROUND(IF(AQ21="2",BI21,0),2)</f>
        <v>0</v>
      </c>
      <c r="AH21" s="55">
        <f>ROUND(IF(AQ21="0",BJ21,0),2)</f>
        <v>0</v>
      </c>
      <c r="AI21" s="36" t="s">
        <v>4</v>
      </c>
      <c r="AJ21" s="55">
        <f>IF(AN21=0,H21,0)</f>
        <v>0</v>
      </c>
      <c r="AK21" s="55">
        <f>IF(AN21=12,H21,0)</f>
        <v>0</v>
      </c>
      <c r="AL21" s="55">
        <f>IF(AN21=21,H21,0)</f>
        <v>0</v>
      </c>
      <c r="AN21" s="55">
        <v>12</v>
      </c>
      <c r="AO21" s="55">
        <f>G21*0.754333999</f>
        <v>0</v>
      </c>
      <c r="AP21" s="55">
        <f>G21*(1-0.754333999)</f>
        <v>0</v>
      </c>
      <c r="AQ21" s="57" t="s">
        <v>125</v>
      </c>
      <c r="AV21" s="55">
        <f>ROUND(AW21+AX21,2)</f>
        <v>0</v>
      </c>
      <c r="AW21" s="55">
        <f>ROUND(F21*AO21,2)</f>
        <v>0</v>
      </c>
      <c r="AX21" s="55">
        <f>ROUND(F21*AP21,2)</f>
        <v>0</v>
      </c>
      <c r="AY21" s="57" t="s">
        <v>134</v>
      </c>
      <c r="AZ21" s="57" t="s">
        <v>127</v>
      </c>
      <c r="BA21" s="36" t="s">
        <v>115</v>
      </c>
      <c r="BC21" s="55">
        <f>AW21+AX21</f>
        <v>0</v>
      </c>
      <c r="BD21" s="55">
        <f>G21/(100-BE21)*100</f>
        <v>0</v>
      </c>
      <c r="BE21" s="55">
        <v>0</v>
      </c>
      <c r="BF21" s="55">
        <f>21</f>
        <v>21</v>
      </c>
      <c r="BH21" s="55">
        <f>F21*AO21</f>
        <v>0</v>
      </c>
      <c r="BI21" s="55">
        <f>F21*AP21</f>
        <v>0</v>
      </c>
      <c r="BJ21" s="55">
        <f>F21*G21</f>
        <v>0</v>
      </c>
      <c r="BK21" s="55"/>
      <c r="BL21" s="55">
        <v>712</v>
      </c>
      <c r="BW21" s="55">
        <v>12</v>
      </c>
      <c r="BX21" s="3" t="s">
        <v>133</v>
      </c>
    </row>
    <row r="22" spans="1:76" ht="13.5" customHeight="1" x14ac:dyDescent="0.25">
      <c r="A22" s="58"/>
      <c r="B22" s="59" t="s">
        <v>116</v>
      </c>
      <c r="C22" s="157" t="s">
        <v>135</v>
      </c>
      <c r="D22" s="158"/>
      <c r="E22" s="158"/>
      <c r="F22" s="158"/>
      <c r="G22" s="159"/>
      <c r="H22" s="158"/>
      <c r="I22" s="158"/>
      <c r="J22" s="160"/>
    </row>
    <row r="23" spans="1:76" x14ac:dyDescent="0.25">
      <c r="A23" s="58"/>
      <c r="C23" s="60" t="s">
        <v>136</v>
      </c>
      <c r="D23" s="60" t="s">
        <v>4</v>
      </c>
      <c r="F23" s="61">
        <v>132</v>
      </c>
      <c r="J23" s="50"/>
    </row>
    <row r="24" spans="1:76" ht="25.5" x14ac:dyDescent="0.25">
      <c r="A24" s="1" t="s">
        <v>137</v>
      </c>
      <c r="B24" s="2" t="s">
        <v>138</v>
      </c>
      <c r="C24" s="82" t="s">
        <v>139</v>
      </c>
      <c r="D24" s="79"/>
      <c r="E24" s="2" t="s">
        <v>124</v>
      </c>
      <c r="F24" s="55">
        <v>132</v>
      </c>
      <c r="G24" s="56">
        <v>0</v>
      </c>
      <c r="H24" s="55">
        <f>ROUND(F24*G24,2)</f>
        <v>0</v>
      </c>
      <c r="I24" s="57" t="s">
        <v>112</v>
      </c>
      <c r="J24" s="50"/>
      <c r="Z24" s="55">
        <f>ROUND(IF(AQ24="5",BJ24,0),2)</f>
        <v>0</v>
      </c>
      <c r="AB24" s="55">
        <f>ROUND(IF(AQ24="1",BH24,0),2)</f>
        <v>0</v>
      </c>
      <c r="AC24" s="55">
        <f>ROUND(IF(AQ24="1",BI24,0),2)</f>
        <v>0</v>
      </c>
      <c r="AD24" s="55">
        <f>ROUND(IF(AQ24="7",BH24,0),2)</f>
        <v>0</v>
      </c>
      <c r="AE24" s="55">
        <f>ROUND(IF(AQ24="7",BI24,0),2)</f>
        <v>0</v>
      </c>
      <c r="AF24" s="55">
        <f>ROUND(IF(AQ24="2",BH24,0),2)</f>
        <v>0</v>
      </c>
      <c r="AG24" s="55">
        <f>ROUND(IF(AQ24="2",BI24,0),2)</f>
        <v>0</v>
      </c>
      <c r="AH24" s="55">
        <f>ROUND(IF(AQ24="0",BJ24,0),2)</f>
        <v>0</v>
      </c>
      <c r="AI24" s="36" t="s">
        <v>4</v>
      </c>
      <c r="AJ24" s="55">
        <f>IF(AN24=0,H24,0)</f>
        <v>0</v>
      </c>
      <c r="AK24" s="55">
        <f>IF(AN24=12,H24,0)</f>
        <v>0</v>
      </c>
      <c r="AL24" s="55">
        <f>IF(AN24=21,H24,0)</f>
        <v>0</v>
      </c>
      <c r="AN24" s="55">
        <v>12</v>
      </c>
      <c r="AO24" s="55">
        <f>G24*0.822271293</f>
        <v>0</v>
      </c>
      <c r="AP24" s="55">
        <f>G24*(1-0.822271293)</f>
        <v>0</v>
      </c>
      <c r="AQ24" s="57" t="s">
        <v>125</v>
      </c>
      <c r="AV24" s="55">
        <f>ROUND(AW24+AX24,2)</f>
        <v>0</v>
      </c>
      <c r="AW24" s="55">
        <f>ROUND(F24*AO24,2)</f>
        <v>0</v>
      </c>
      <c r="AX24" s="55">
        <f>ROUND(F24*AP24,2)</f>
        <v>0</v>
      </c>
      <c r="AY24" s="57" t="s">
        <v>134</v>
      </c>
      <c r="AZ24" s="57" t="s">
        <v>127</v>
      </c>
      <c r="BA24" s="36" t="s">
        <v>115</v>
      </c>
      <c r="BC24" s="55">
        <f>AW24+AX24</f>
        <v>0</v>
      </c>
      <c r="BD24" s="55">
        <f>G24/(100-BE24)*100</f>
        <v>0</v>
      </c>
      <c r="BE24" s="55">
        <v>0</v>
      </c>
      <c r="BF24" s="55">
        <f>24</f>
        <v>24</v>
      </c>
      <c r="BH24" s="55">
        <f>F24*AO24</f>
        <v>0</v>
      </c>
      <c r="BI24" s="55">
        <f>F24*AP24</f>
        <v>0</v>
      </c>
      <c r="BJ24" s="55">
        <f>F24*G24</f>
        <v>0</v>
      </c>
      <c r="BK24" s="55"/>
      <c r="BL24" s="55">
        <v>712</v>
      </c>
      <c r="BW24" s="55">
        <v>12</v>
      </c>
      <c r="BX24" s="3" t="s">
        <v>139</v>
      </c>
    </row>
    <row r="25" spans="1:76" ht="13.5" customHeight="1" x14ac:dyDescent="0.25">
      <c r="A25" s="58"/>
      <c r="B25" s="59" t="s">
        <v>116</v>
      </c>
      <c r="C25" s="157" t="s">
        <v>140</v>
      </c>
      <c r="D25" s="158"/>
      <c r="E25" s="158"/>
      <c r="F25" s="158"/>
      <c r="G25" s="159"/>
      <c r="H25" s="158"/>
      <c r="I25" s="158"/>
      <c r="J25" s="160"/>
    </row>
    <row r="26" spans="1:76" x14ac:dyDescent="0.25">
      <c r="A26" s="58"/>
      <c r="C26" s="60" t="s">
        <v>136</v>
      </c>
      <c r="D26" s="60" t="s">
        <v>4</v>
      </c>
      <c r="F26" s="61">
        <v>132</v>
      </c>
      <c r="J26" s="50"/>
    </row>
    <row r="27" spans="1:76" x14ac:dyDescent="0.25">
      <c r="A27" s="1" t="s">
        <v>141</v>
      </c>
      <c r="B27" s="2" t="s">
        <v>142</v>
      </c>
      <c r="C27" s="82" t="s">
        <v>143</v>
      </c>
      <c r="D27" s="79"/>
      <c r="E27" s="2" t="s">
        <v>124</v>
      </c>
      <c r="F27" s="55">
        <v>14</v>
      </c>
      <c r="G27" s="56">
        <v>0</v>
      </c>
      <c r="H27" s="55">
        <f>ROUND(F27*G27,2)</f>
        <v>0</v>
      </c>
      <c r="I27" s="57" t="s">
        <v>144</v>
      </c>
      <c r="J27" s="50"/>
      <c r="Z27" s="55">
        <f>ROUND(IF(AQ27="5",BJ27,0),2)</f>
        <v>0</v>
      </c>
      <c r="AB27" s="55">
        <f>ROUND(IF(AQ27="1",BH27,0),2)</f>
        <v>0</v>
      </c>
      <c r="AC27" s="55">
        <f>ROUND(IF(AQ27="1",BI27,0),2)</f>
        <v>0</v>
      </c>
      <c r="AD27" s="55">
        <f>ROUND(IF(AQ27="7",BH27,0),2)</f>
        <v>0</v>
      </c>
      <c r="AE27" s="55">
        <f>ROUND(IF(AQ27="7",BI27,0),2)</f>
        <v>0</v>
      </c>
      <c r="AF27" s="55">
        <f>ROUND(IF(AQ27="2",BH27,0),2)</f>
        <v>0</v>
      </c>
      <c r="AG27" s="55">
        <f>ROUND(IF(AQ27="2",BI27,0),2)</f>
        <v>0</v>
      </c>
      <c r="AH27" s="55">
        <f>ROUND(IF(AQ27="0",BJ27,0),2)</f>
        <v>0</v>
      </c>
      <c r="AI27" s="36" t="s">
        <v>4</v>
      </c>
      <c r="AJ27" s="55">
        <f>IF(AN27=0,H27,0)</f>
        <v>0</v>
      </c>
      <c r="AK27" s="55">
        <f>IF(AN27=12,H27,0)</f>
        <v>0</v>
      </c>
      <c r="AL27" s="55">
        <f>IF(AN27=21,H27,0)</f>
        <v>0</v>
      </c>
      <c r="AN27" s="55">
        <v>12</v>
      </c>
      <c r="AO27" s="55">
        <f>G27*0.702753346</f>
        <v>0</v>
      </c>
      <c r="AP27" s="55">
        <f>G27*(1-0.702753346)</f>
        <v>0</v>
      </c>
      <c r="AQ27" s="57" t="s">
        <v>125</v>
      </c>
      <c r="AV27" s="55">
        <f>ROUND(AW27+AX27,2)</f>
        <v>0</v>
      </c>
      <c r="AW27" s="55">
        <f>ROUND(F27*AO27,2)</f>
        <v>0</v>
      </c>
      <c r="AX27" s="55">
        <f>ROUND(F27*AP27,2)</f>
        <v>0</v>
      </c>
      <c r="AY27" s="57" t="s">
        <v>134</v>
      </c>
      <c r="AZ27" s="57" t="s">
        <v>127</v>
      </c>
      <c r="BA27" s="36" t="s">
        <v>115</v>
      </c>
      <c r="BC27" s="55">
        <f>AW27+AX27</f>
        <v>0</v>
      </c>
      <c r="BD27" s="55">
        <f>G27/(100-BE27)*100</f>
        <v>0</v>
      </c>
      <c r="BE27" s="55">
        <v>0</v>
      </c>
      <c r="BF27" s="55">
        <f>27</f>
        <v>27</v>
      </c>
      <c r="BH27" s="55">
        <f>F27*AO27</f>
        <v>0</v>
      </c>
      <c r="BI27" s="55">
        <f>F27*AP27</f>
        <v>0</v>
      </c>
      <c r="BJ27" s="55">
        <f>F27*G27</f>
        <v>0</v>
      </c>
      <c r="BK27" s="55"/>
      <c r="BL27" s="55">
        <v>712</v>
      </c>
      <c r="BW27" s="55">
        <v>12</v>
      </c>
      <c r="BX27" s="3" t="s">
        <v>143</v>
      </c>
    </row>
    <row r="28" spans="1:76" x14ac:dyDescent="0.25">
      <c r="A28" s="58"/>
      <c r="C28" s="60" t="s">
        <v>145</v>
      </c>
      <c r="D28" s="60" t="s">
        <v>4</v>
      </c>
      <c r="F28" s="61">
        <v>14</v>
      </c>
      <c r="J28" s="50"/>
    </row>
    <row r="29" spans="1:76" x14ac:dyDescent="0.25">
      <c r="A29" s="1" t="s">
        <v>146</v>
      </c>
      <c r="B29" s="2" t="s">
        <v>147</v>
      </c>
      <c r="C29" s="82" t="s">
        <v>148</v>
      </c>
      <c r="D29" s="79"/>
      <c r="E29" s="2" t="s">
        <v>149</v>
      </c>
      <c r="F29" s="55">
        <v>1.2329600000000001</v>
      </c>
      <c r="G29" s="56">
        <v>0</v>
      </c>
      <c r="H29" s="55">
        <f>ROUND(F29*G29,2)</f>
        <v>0</v>
      </c>
      <c r="I29" s="57" t="s">
        <v>112</v>
      </c>
      <c r="J29" s="50"/>
      <c r="Z29" s="55">
        <f>ROUND(IF(AQ29="5",BJ29,0),2)</f>
        <v>0</v>
      </c>
      <c r="AB29" s="55">
        <f>ROUND(IF(AQ29="1",BH29,0),2)</f>
        <v>0</v>
      </c>
      <c r="AC29" s="55">
        <f>ROUND(IF(AQ29="1",BI29,0),2)</f>
        <v>0</v>
      </c>
      <c r="AD29" s="55">
        <f>ROUND(IF(AQ29="7",BH29,0),2)</f>
        <v>0</v>
      </c>
      <c r="AE29" s="55">
        <f>ROUND(IF(AQ29="7",BI29,0),2)</f>
        <v>0</v>
      </c>
      <c r="AF29" s="55">
        <f>ROUND(IF(AQ29="2",BH29,0),2)</f>
        <v>0</v>
      </c>
      <c r="AG29" s="55">
        <f>ROUND(IF(AQ29="2",BI29,0),2)</f>
        <v>0</v>
      </c>
      <c r="AH29" s="55">
        <f>ROUND(IF(AQ29="0",BJ29,0),2)</f>
        <v>0</v>
      </c>
      <c r="AI29" s="36" t="s">
        <v>4</v>
      </c>
      <c r="AJ29" s="55">
        <f>IF(AN29=0,H29,0)</f>
        <v>0</v>
      </c>
      <c r="AK29" s="55">
        <f>IF(AN29=12,H29,0)</f>
        <v>0</v>
      </c>
      <c r="AL29" s="55">
        <f>IF(AN29=21,H29,0)</f>
        <v>0</v>
      </c>
      <c r="AN29" s="55">
        <v>12</v>
      </c>
      <c r="AO29" s="55">
        <f>G29*0</f>
        <v>0</v>
      </c>
      <c r="AP29" s="55">
        <f>G29*(1-0)</f>
        <v>0</v>
      </c>
      <c r="AQ29" s="57" t="s">
        <v>141</v>
      </c>
      <c r="AV29" s="55">
        <f>ROUND(AW29+AX29,2)</f>
        <v>0</v>
      </c>
      <c r="AW29" s="55">
        <f>ROUND(F29*AO29,2)</f>
        <v>0</v>
      </c>
      <c r="AX29" s="55">
        <f>ROUND(F29*AP29,2)</f>
        <v>0</v>
      </c>
      <c r="AY29" s="57" t="s">
        <v>134</v>
      </c>
      <c r="AZ29" s="57" t="s">
        <v>127</v>
      </c>
      <c r="BA29" s="36" t="s">
        <v>115</v>
      </c>
      <c r="BC29" s="55">
        <f>AW29+AX29</f>
        <v>0</v>
      </c>
      <c r="BD29" s="55">
        <f>G29/(100-BE29)*100</f>
        <v>0</v>
      </c>
      <c r="BE29" s="55">
        <v>0</v>
      </c>
      <c r="BF29" s="55">
        <f>29</f>
        <v>29</v>
      </c>
      <c r="BH29" s="55">
        <f>F29*AO29</f>
        <v>0</v>
      </c>
      <c r="BI29" s="55">
        <f>F29*AP29</f>
        <v>0</v>
      </c>
      <c r="BJ29" s="55">
        <f>F29*G29</f>
        <v>0</v>
      </c>
      <c r="BK29" s="55"/>
      <c r="BL29" s="55">
        <v>712</v>
      </c>
      <c r="BW29" s="55">
        <v>12</v>
      </c>
      <c r="BX29" s="3" t="s">
        <v>148</v>
      </c>
    </row>
    <row r="30" spans="1:76" ht="25.5" x14ac:dyDescent="0.25">
      <c r="A30" s="1" t="s">
        <v>125</v>
      </c>
      <c r="B30" s="2" t="s">
        <v>150</v>
      </c>
      <c r="C30" s="82" t="s">
        <v>151</v>
      </c>
      <c r="D30" s="79"/>
      <c r="E30" s="2" t="s">
        <v>152</v>
      </c>
      <c r="F30" s="55">
        <v>1</v>
      </c>
      <c r="G30" s="56">
        <v>0</v>
      </c>
      <c r="H30" s="55">
        <f>ROUND(F30*G30,2)</f>
        <v>0</v>
      </c>
      <c r="I30" s="57" t="s">
        <v>112</v>
      </c>
      <c r="J30" s="50"/>
      <c r="Z30" s="55">
        <f>ROUND(IF(AQ30="5",BJ30,0),2)</f>
        <v>0</v>
      </c>
      <c r="AB30" s="55">
        <f>ROUND(IF(AQ30="1",BH30,0),2)</f>
        <v>0</v>
      </c>
      <c r="AC30" s="55">
        <f>ROUND(IF(AQ30="1",BI30,0),2)</f>
        <v>0</v>
      </c>
      <c r="AD30" s="55">
        <f>ROUND(IF(AQ30="7",BH30,0),2)</f>
        <v>0</v>
      </c>
      <c r="AE30" s="55">
        <f>ROUND(IF(AQ30="7",BI30,0),2)</f>
        <v>0</v>
      </c>
      <c r="AF30" s="55">
        <f>ROUND(IF(AQ30="2",BH30,0),2)</f>
        <v>0</v>
      </c>
      <c r="AG30" s="55">
        <f>ROUND(IF(AQ30="2",BI30,0),2)</f>
        <v>0</v>
      </c>
      <c r="AH30" s="55">
        <f>ROUND(IF(AQ30="0",BJ30,0),2)</f>
        <v>0</v>
      </c>
      <c r="AI30" s="36" t="s">
        <v>4</v>
      </c>
      <c r="AJ30" s="55">
        <f>IF(AN30=0,H30,0)</f>
        <v>0</v>
      </c>
      <c r="AK30" s="55">
        <f>IF(AN30=12,H30,0)</f>
        <v>0</v>
      </c>
      <c r="AL30" s="55">
        <f>IF(AN30=21,H30,0)</f>
        <v>0</v>
      </c>
      <c r="AN30" s="55">
        <v>12</v>
      </c>
      <c r="AO30" s="55">
        <f>G30*0.762062756</f>
        <v>0</v>
      </c>
      <c r="AP30" s="55">
        <f>G30*(1-0.762062756)</f>
        <v>0</v>
      </c>
      <c r="AQ30" s="57" t="s">
        <v>125</v>
      </c>
      <c r="AV30" s="55">
        <f>ROUND(AW30+AX30,2)</f>
        <v>0</v>
      </c>
      <c r="AW30" s="55">
        <f>ROUND(F30*AO30,2)</f>
        <v>0</v>
      </c>
      <c r="AX30" s="55">
        <f>ROUND(F30*AP30,2)</f>
        <v>0</v>
      </c>
      <c r="AY30" s="57" t="s">
        <v>134</v>
      </c>
      <c r="AZ30" s="57" t="s">
        <v>127</v>
      </c>
      <c r="BA30" s="36" t="s">
        <v>115</v>
      </c>
      <c r="BC30" s="55">
        <f>AW30+AX30</f>
        <v>0</v>
      </c>
      <c r="BD30" s="55">
        <f>G30/(100-BE30)*100</f>
        <v>0</v>
      </c>
      <c r="BE30" s="55">
        <v>0</v>
      </c>
      <c r="BF30" s="55">
        <f>30</f>
        <v>30</v>
      </c>
      <c r="BH30" s="55">
        <f>F30*AO30</f>
        <v>0</v>
      </c>
      <c r="BI30" s="55">
        <f>F30*AP30</f>
        <v>0</v>
      </c>
      <c r="BJ30" s="55">
        <f>F30*G30</f>
        <v>0</v>
      </c>
      <c r="BK30" s="55"/>
      <c r="BL30" s="55">
        <v>712</v>
      </c>
      <c r="BW30" s="55">
        <v>12</v>
      </c>
      <c r="BX30" s="3" t="s">
        <v>151</v>
      </c>
    </row>
    <row r="31" spans="1:76" ht="13.5" customHeight="1" x14ac:dyDescent="0.25">
      <c r="A31" s="58"/>
      <c r="B31" s="59" t="s">
        <v>116</v>
      </c>
      <c r="C31" s="157" t="s">
        <v>153</v>
      </c>
      <c r="D31" s="158"/>
      <c r="E31" s="158"/>
      <c r="F31" s="158"/>
      <c r="G31" s="159"/>
      <c r="H31" s="158"/>
      <c r="I31" s="158"/>
      <c r="J31" s="160"/>
    </row>
    <row r="32" spans="1:76" x14ac:dyDescent="0.25">
      <c r="A32" s="58"/>
      <c r="C32" s="60" t="s">
        <v>108</v>
      </c>
      <c r="D32" s="60" t="s">
        <v>4</v>
      </c>
      <c r="F32" s="61">
        <v>1</v>
      </c>
      <c r="J32" s="50"/>
    </row>
    <row r="33" spans="1:76" x14ac:dyDescent="0.25">
      <c r="A33" s="51" t="s">
        <v>4</v>
      </c>
      <c r="B33" s="52" t="s">
        <v>154</v>
      </c>
      <c r="C33" s="155" t="s">
        <v>155</v>
      </c>
      <c r="D33" s="156"/>
      <c r="E33" s="53" t="s">
        <v>73</v>
      </c>
      <c r="F33" s="53" t="s">
        <v>73</v>
      </c>
      <c r="G33" s="54" t="s">
        <v>73</v>
      </c>
      <c r="H33" s="28">
        <f>SUM(H34:H48)</f>
        <v>0</v>
      </c>
      <c r="I33" s="36" t="s">
        <v>4</v>
      </c>
      <c r="J33" s="50"/>
      <c r="AI33" s="36" t="s">
        <v>4</v>
      </c>
      <c r="AS33" s="28">
        <f>SUM(AJ34:AJ48)</f>
        <v>0</v>
      </c>
      <c r="AT33" s="28">
        <f>SUM(AK34:AK48)</f>
        <v>0</v>
      </c>
      <c r="AU33" s="28">
        <f>SUM(AL34:AL48)</f>
        <v>0</v>
      </c>
    </row>
    <row r="34" spans="1:76" x14ac:dyDescent="0.25">
      <c r="A34" s="1" t="s">
        <v>156</v>
      </c>
      <c r="B34" s="2" t="s">
        <v>157</v>
      </c>
      <c r="C34" s="82" t="s">
        <v>158</v>
      </c>
      <c r="D34" s="79"/>
      <c r="E34" s="2" t="s">
        <v>124</v>
      </c>
      <c r="F34" s="55">
        <v>23.6</v>
      </c>
      <c r="G34" s="56">
        <v>0</v>
      </c>
      <c r="H34" s="55">
        <f>ROUND(F34*G34,2)</f>
        <v>0</v>
      </c>
      <c r="I34" s="57" t="s">
        <v>112</v>
      </c>
      <c r="J34" s="50"/>
      <c r="Z34" s="55">
        <f>ROUND(IF(AQ34="5",BJ34,0),2)</f>
        <v>0</v>
      </c>
      <c r="AB34" s="55">
        <f>ROUND(IF(AQ34="1",BH34,0),2)</f>
        <v>0</v>
      </c>
      <c r="AC34" s="55">
        <f>ROUND(IF(AQ34="1",BI34,0),2)</f>
        <v>0</v>
      </c>
      <c r="AD34" s="55">
        <f>ROUND(IF(AQ34="7",BH34,0),2)</f>
        <v>0</v>
      </c>
      <c r="AE34" s="55">
        <f>ROUND(IF(AQ34="7",BI34,0),2)</f>
        <v>0</v>
      </c>
      <c r="AF34" s="55">
        <f>ROUND(IF(AQ34="2",BH34,0),2)</f>
        <v>0</v>
      </c>
      <c r="AG34" s="55">
        <f>ROUND(IF(AQ34="2",BI34,0),2)</f>
        <v>0</v>
      </c>
      <c r="AH34" s="55">
        <f>ROUND(IF(AQ34="0",BJ34,0),2)</f>
        <v>0</v>
      </c>
      <c r="AI34" s="36" t="s">
        <v>4</v>
      </c>
      <c r="AJ34" s="55">
        <f>IF(AN34=0,H34,0)</f>
        <v>0</v>
      </c>
      <c r="AK34" s="55">
        <f>IF(AN34=12,H34,0)</f>
        <v>0</v>
      </c>
      <c r="AL34" s="55">
        <f>IF(AN34=21,H34,0)</f>
        <v>0</v>
      </c>
      <c r="AN34" s="55">
        <v>12</v>
      </c>
      <c r="AO34" s="55">
        <f>G34*0</f>
        <v>0</v>
      </c>
      <c r="AP34" s="55">
        <f>G34*(1-0)</f>
        <v>0</v>
      </c>
      <c r="AQ34" s="57" t="s">
        <v>125</v>
      </c>
      <c r="AV34" s="55">
        <f>ROUND(AW34+AX34,2)</f>
        <v>0</v>
      </c>
      <c r="AW34" s="55">
        <f>ROUND(F34*AO34,2)</f>
        <v>0</v>
      </c>
      <c r="AX34" s="55">
        <f>ROUND(F34*AP34,2)</f>
        <v>0</v>
      </c>
      <c r="AY34" s="57" t="s">
        <v>159</v>
      </c>
      <c r="AZ34" s="57" t="s">
        <v>160</v>
      </c>
      <c r="BA34" s="36" t="s">
        <v>115</v>
      </c>
      <c r="BC34" s="55">
        <f>AW34+AX34</f>
        <v>0</v>
      </c>
      <c r="BD34" s="55">
        <f>G34/(100-BE34)*100</f>
        <v>0</v>
      </c>
      <c r="BE34" s="55">
        <v>0</v>
      </c>
      <c r="BF34" s="55">
        <f>34</f>
        <v>34</v>
      </c>
      <c r="BH34" s="55">
        <f>F34*AO34</f>
        <v>0</v>
      </c>
      <c r="BI34" s="55">
        <f>F34*AP34</f>
        <v>0</v>
      </c>
      <c r="BJ34" s="55">
        <f>F34*G34</f>
        <v>0</v>
      </c>
      <c r="BK34" s="55"/>
      <c r="BL34" s="55">
        <v>762</v>
      </c>
      <c r="BW34" s="55">
        <v>12</v>
      </c>
      <c r="BX34" s="3" t="s">
        <v>158</v>
      </c>
    </row>
    <row r="35" spans="1:76" x14ac:dyDescent="0.25">
      <c r="A35" s="58"/>
      <c r="C35" s="60" t="s">
        <v>161</v>
      </c>
      <c r="D35" s="60" t="s">
        <v>162</v>
      </c>
      <c r="F35" s="61">
        <v>23.6</v>
      </c>
      <c r="J35" s="50"/>
    </row>
    <row r="36" spans="1:76" x14ac:dyDescent="0.25">
      <c r="A36" s="1" t="s">
        <v>163</v>
      </c>
      <c r="B36" s="2" t="s">
        <v>164</v>
      </c>
      <c r="C36" s="82" t="s">
        <v>165</v>
      </c>
      <c r="D36" s="79"/>
      <c r="E36" s="2" t="s">
        <v>124</v>
      </c>
      <c r="F36" s="55">
        <v>23.6</v>
      </c>
      <c r="G36" s="56">
        <v>0</v>
      </c>
      <c r="H36" s="55">
        <f>ROUND(F36*G36,2)</f>
        <v>0</v>
      </c>
      <c r="I36" s="57" t="s">
        <v>112</v>
      </c>
      <c r="J36" s="50"/>
      <c r="Z36" s="55">
        <f>ROUND(IF(AQ36="5",BJ36,0),2)</f>
        <v>0</v>
      </c>
      <c r="AB36" s="55">
        <f>ROUND(IF(AQ36="1",BH36,0),2)</f>
        <v>0</v>
      </c>
      <c r="AC36" s="55">
        <f>ROUND(IF(AQ36="1",BI36,0),2)</f>
        <v>0</v>
      </c>
      <c r="AD36" s="55">
        <f>ROUND(IF(AQ36="7",BH36,0),2)</f>
        <v>0</v>
      </c>
      <c r="AE36" s="55">
        <f>ROUND(IF(AQ36="7",BI36,0),2)</f>
        <v>0</v>
      </c>
      <c r="AF36" s="55">
        <f>ROUND(IF(AQ36="2",BH36,0),2)</f>
        <v>0</v>
      </c>
      <c r="AG36" s="55">
        <f>ROUND(IF(AQ36="2",BI36,0),2)</f>
        <v>0</v>
      </c>
      <c r="AH36" s="55">
        <f>ROUND(IF(AQ36="0",BJ36,0),2)</f>
        <v>0</v>
      </c>
      <c r="AI36" s="36" t="s">
        <v>4</v>
      </c>
      <c r="AJ36" s="55">
        <f>IF(AN36=0,H36,0)</f>
        <v>0</v>
      </c>
      <c r="AK36" s="55">
        <f>IF(AN36=12,H36,0)</f>
        <v>0</v>
      </c>
      <c r="AL36" s="55">
        <f>IF(AN36=21,H36,0)</f>
        <v>0</v>
      </c>
      <c r="AN36" s="55">
        <v>12</v>
      </c>
      <c r="AO36" s="55">
        <f>G36*0.486051445</f>
        <v>0</v>
      </c>
      <c r="AP36" s="55">
        <f>G36*(1-0.486051445)</f>
        <v>0</v>
      </c>
      <c r="AQ36" s="57" t="s">
        <v>125</v>
      </c>
      <c r="AV36" s="55">
        <f>ROUND(AW36+AX36,2)</f>
        <v>0</v>
      </c>
      <c r="AW36" s="55">
        <f>ROUND(F36*AO36,2)</f>
        <v>0</v>
      </c>
      <c r="AX36" s="55">
        <f>ROUND(F36*AP36,2)</f>
        <v>0</v>
      </c>
      <c r="AY36" s="57" t="s">
        <v>159</v>
      </c>
      <c r="AZ36" s="57" t="s">
        <v>160</v>
      </c>
      <c r="BA36" s="36" t="s">
        <v>115</v>
      </c>
      <c r="BC36" s="55">
        <f>AW36+AX36</f>
        <v>0</v>
      </c>
      <c r="BD36" s="55">
        <f>G36/(100-BE36)*100</f>
        <v>0</v>
      </c>
      <c r="BE36" s="55">
        <v>0</v>
      </c>
      <c r="BF36" s="55">
        <f>36</f>
        <v>36</v>
      </c>
      <c r="BH36" s="55">
        <f>F36*AO36</f>
        <v>0</v>
      </c>
      <c r="BI36" s="55">
        <f>F36*AP36</f>
        <v>0</v>
      </c>
      <c r="BJ36" s="55">
        <f>F36*G36</f>
        <v>0</v>
      </c>
      <c r="BK36" s="55"/>
      <c r="BL36" s="55">
        <v>762</v>
      </c>
      <c r="BW36" s="55">
        <v>12</v>
      </c>
      <c r="BX36" s="3" t="s">
        <v>165</v>
      </c>
    </row>
    <row r="37" spans="1:76" ht="13.5" customHeight="1" x14ac:dyDescent="0.25">
      <c r="A37" s="58"/>
      <c r="B37" s="59" t="s">
        <v>116</v>
      </c>
      <c r="C37" s="157" t="s">
        <v>166</v>
      </c>
      <c r="D37" s="158"/>
      <c r="E37" s="158"/>
      <c r="F37" s="158"/>
      <c r="G37" s="159"/>
      <c r="H37" s="158"/>
      <c r="I37" s="158"/>
      <c r="J37" s="160"/>
    </row>
    <row r="38" spans="1:76" x14ac:dyDescent="0.25">
      <c r="A38" s="58"/>
      <c r="C38" s="60" t="s">
        <v>161</v>
      </c>
      <c r="D38" s="60" t="s">
        <v>4</v>
      </c>
      <c r="F38" s="61">
        <v>23.6</v>
      </c>
      <c r="J38" s="50"/>
    </row>
    <row r="39" spans="1:76" x14ac:dyDescent="0.25">
      <c r="A39" s="1" t="s">
        <v>167</v>
      </c>
      <c r="B39" s="2" t="s">
        <v>168</v>
      </c>
      <c r="C39" s="82" t="s">
        <v>169</v>
      </c>
      <c r="D39" s="79"/>
      <c r="E39" s="2" t="s">
        <v>124</v>
      </c>
      <c r="F39" s="55">
        <v>100</v>
      </c>
      <c r="G39" s="56">
        <v>0</v>
      </c>
      <c r="H39" s="55">
        <f>ROUND(F39*G39,2)</f>
        <v>0</v>
      </c>
      <c r="I39" s="57" t="s">
        <v>112</v>
      </c>
      <c r="J39" s="50"/>
      <c r="Z39" s="55">
        <f>ROUND(IF(AQ39="5",BJ39,0),2)</f>
        <v>0</v>
      </c>
      <c r="AB39" s="55">
        <f>ROUND(IF(AQ39="1",BH39,0),2)</f>
        <v>0</v>
      </c>
      <c r="AC39" s="55">
        <f>ROUND(IF(AQ39="1",BI39,0),2)</f>
        <v>0</v>
      </c>
      <c r="AD39" s="55">
        <f>ROUND(IF(AQ39="7",BH39,0),2)</f>
        <v>0</v>
      </c>
      <c r="AE39" s="55">
        <f>ROUND(IF(AQ39="7",BI39,0),2)</f>
        <v>0</v>
      </c>
      <c r="AF39" s="55">
        <f>ROUND(IF(AQ39="2",BH39,0),2)</f>
        <v>0</v>
      </c>
      <c r="AG39" s="55">
        <f>ROUND(IF(AQ39="2",BI39,0),2)</f>
        <v>0</v>
      </c>
      <c r="AH39" s="55">
        <f>ROUND(IF(AQ39="0",BJ39,0),2)</f>
        <v>0</v>
      </c>
      <c r="AI39" s="36" t="s">
        <v>4</v>
      </c>
      <c r="AJ39" s="55">
        <f>IF(AN39=0,H39,0)</f>
        <v>0</v>
      </c>
      <c r="AK39" s="55">
        <f>IF(AN39=12,H39,0)</f>
        <v>0</v>
      </c>
      <c r="AL39" s="55">
        <f>IF(AN39=21,H39,0)</f>
        <v>0</v>
      </c>
      <c r="AN39" s="55">
        <v>12</v>
      </c>
      <c r="AO39" s="55">
        <f>G39*0.467230444</f>
        <v>0</v>
      </c>
      <c r="AP39" s="55">
        <f>G39*(1-0.467230444)</f>
        <v>0</v>
      </c>
      <c r="AQ39" s="57" t="s">
        <v>125</v>
      </c>
      <c r="AV39" s="55">
        <f>ROUND(AW39+AX39,2)</f>
        <v>0</v>
      </c>
      <c r="AW39" s="55">
        <f>ROUND(F39*AO39,2)</f>
        <v>0</v>
      </c>
      <c r="AX39" s="55">
        <f>ROUND(F39*AP39,2)</f>
        <v>0</v>
      </c>
      <c r="AY39" s="57" t="s">
        <v>159</v>
      </c>
      <c r="AZ39" s="57" t="s">
        <v>160</v>
      </c>
      <c r="BA39" s="36" t="s">
        <v>115</v>
      </c>
      <c r="BC39" s="55">
        <f>AW39+AX39</f>
        <v>0</v>
      </c>
      <c r="BD39" s="55">
        <f>G39/(100-BE39)*100</f>
        <v>0</v>
      </c>
      <c r="BE39" s="55">
        <v>0</v>
      </c>
      <c r="BF39" s="55">
        <f>39</f>
        <v>39</v>
      </c>
      <c r="BH39" s="55">
        <f>F39*AO39</f>
        <v>0</v>
      </c>
      <c r="BI39" s="55">
        <f>F39*AP39</f>
        <v>0</v>
      </c>
      <c r="BJ39" s="55">
        <f>F39*G39</f>
        <v>0</v>
      </c>
      <c r="BK39" s="55"/>
      <c r="BL39" s="55">
        <v>762</v>
      </c>
      <c r="BW39" s="55">
        <v>12</v>
      </c>
      <c r="BX39" s="3" t="s">
        <v>169</v>
      </c>
    </row>
    <row r="40" spans="1:76" ht="13.5" customHeight="1" x14ac:dyDescent="0.25">
      <c r="A40" s="58"/>
      <c r="B40" s="59" t="s">
        <v>116</v>
      </c>
      <c r="C40" s="157" t="s">
        <v>170</v>
      </c>
      <c r="D40" s="158"/>
      <c r="E40" s="158"/>
      <c r="F40" s="158"/>
      <c r="G40" s="159"/>
      <c r="H40" s="158"/>
      <c r="I40" s="158"/>
      <c r="J40" s="160"/>
    </row>
    <row r="41" spans="1:76" x14ac:dyDescent="0.25">
      <c r="A41" s="58"/>
      <c r="C41" s="60" t="s">
        <v>171</v>
      </c>
      <c r="D41" s="60" t="s">
        <v>4</v>
      </c>
      <c r="F41" s="61">
        <v>100</v>
      </c>
      <c r="J41" s="50"/>
    </row>
    <row r="42" spans="1:76" x14ac:dyDescent="0.25">
      <c r="A42" s="1" t="s">
        <v>172</v>
      </c>
      <c r="B42" s="2" t="s">
        <v>173</v>
      </c>
      <c r="C42" s="82" t="s">
        <v>174</v>
      </c>
      <c r="D42" s="79"/>
      <c r="E42" s="2" t="s">
        <v>124</v>
      </c>
      <c r="F42" s="55">
        <v>100</v>
      </c>
      <c r="G42" s="56">
        <v>0</v>
      </c>
      <c r="H42" s="55">
        <f>ROUND(F42*G42,2)</f>
        <v>0</v>
      </c>
      <c r="I42" s="57" t="s">
        <v>112</v>
      </c>
      <c r="J42" s="50"/>
      <c r="Z42" s="55">
        <f>ROUND(IF(AQ42="5",BJ42,0),2)</f>
        <v>0</v>
      </c>
      <c r="AB42" s="55">
        <f>ROUND(IF(AQ42="1",BH42,0),2)</f>
        <v>0</v>
      </c>
      <c r="AC42" s="55">
        <f>ROUND(IF(AQ42="1",BI42,0),2)</f>
        <v>0</v>
      </c>
      <c r="AD42" s="55">
        <f>ROUND(IF(AQ42="7",BH42,0),2)</f>
        <v>0</v>
      </c>
      <c r="AE42" s="55">
        <f>ROUND(IF(AQ42="7",BI42,0),2)</f>
        <v>0</v>
      </c>
      <c r="AF42" s="55">
        <f>ROUND(IF(AQ42="2",BH42,0),2)</f>
        <v>0</v>
      </c>
      <c r="AG42" s="55">
        <f>ROUND(IF(AQ42="2",BI42,0),2)</f>
        <v>0</v>
      </c>
      <c r="AH42" s="55">
        <f>ROUND(IF(AQ42="0",BJ42,0),2)</f>
        <v>0</v>
      </c>
      <c r="AI42" s="36" t="s">
        <v>4</v>
      </c>
      <c r="AJ42" s="55">
        <f>IF(AN42=0,H42,0)</f>
        <v>0</v>
      </c>
      <c r="AK42" s="55">
        <f>IF(AN42=12,H42,0)</f>
        <v>0</v>
      </c>
      <c r="AL42" s="55">
        <f>IF(AN42=21,H42,0)</f>
        <v>0</v>
      </c>
      <c r="AN42" s="55">
        <v>12</v>
      </c>
      <c r="AO42" s="55">
        <f>G42*0.490751394</f>
        <v>0</v>
      </c>
      <c r="AP42" s="55">
        <f>G42*(1-0.490751394)</f>
        <v>0</v>
      </c>
      <c r="AQ42" s="57" t="s">
        <v>125</v>
      </c>
      <c r="AV42" s="55">
        <f>ROUND(AW42+AX42,2)</f>
        <v>0</v>
      </c>
      <c r="AW42" s="55">
        <f>ROUND(F42*AO42,2)</f>
        <v>0</v>
      </c>
      <c r="AX42" s="55">
        <f>ROUND(F42*AP42,2)</f>
        <v>0</v>
      </c>
      <c r="AY42" s="57" t="s">
        <v>159</v>
      </c>
      <c r="AZ42" s="57" t="s">
        <v>160</v>
      </c>
      <c r="BA42" s="36" t="s">
        <v>115</v>
      </c>
      <c r="BC42" s="55">
        <f>AW42+AX42</f>
        <v>0</v>
      </c>
      <c r="BD42" s="55">
        <f>G42/(100-BE42)*100</f>
        <v>0</v>
      </c>
      <c r="BE42" s="55">
        <v>0</v>
      </c>
      <c r="BF42" s="55">
        <f>42</f>
        <v>42</v>
      </c>
      <c r="BH42" s="55">
        <f>F42*AO42</f>
        <v>0</v>
      </c>
      <c r="BI42" s="55">
        <f>F42*AP42</f>
        <v>0</v>
      </c>
      <c r="BJ42" s="55">
        <f>F42*G42</f>
        <v>0</v>
      </c>
      <c r="BK42" s="55"/>
      <c r="BL42" s="55">
        <v>762</v>
      </c>
      <c r="BW42" s="55">
        <v>12</v>
      </c>
      <c r="BX42" s="3" t="s">
        <v>174</v>
      </c>
    </row>
    <row r="43" spans="1:76" ht="13.5" customHeight="1" x14ac:dyDescent="0.25">
      <c r="A43" s="58"/>
      <c r="B43" s="59" t="s">
        <v>116</v>
      </c>
      <c r="C43" s="157" t="s">
        <v>175</v>
      </c>
      <c r="D43" s="158"/>
      <c r="E43" s="158"/>
      <c r="F43" s="158"/>
      <c r="G43" s="159"/>
      <c r="H43" s="158"/>
      <c r="I43" s="158"/>
      <c r="J43" s="160"/>
    </row>
    <row r="44" spans="1:76" x14ac:dyDescent="0.25">
      <c r="A44" s="58"/>
      <c r="C44" s="60" t="s">
        <v>171</v>
      </c>
      <c r="D44" s="60" t="s">
        <v>4</v>
      </c>
      <c r="F44" s="61">
        <v>100</v>
      </c>
      <c r="J44" s="50"/>
    </row>
    <row r="45" spans="1:76" x14ac:dyDescent="0.25">
      <c r="A45" s="1" t="s">
        <v>176</v>
      </c>
      <c r="B45" s="2" t="s">
        <v>177</v>
      </c>
      <c r="C45" s="82" t="s">
        <v>178</v>
      </c>
      <c r="D45" s="79"/>
      <c r="E45" s="2" t="s">
        <v>179</v>
      </c>
      <c r="F45" s="55">
        <v>2</v>
      </c>
      <c r="G45" s="56">
        <v>0</v>
      </c>
      <c r="H45" s="55">
        <f>ROUND(F45*G45,2)</f>
        <v>0</v>
      </c>
      <c r="I45" s="57" t="s">
        <v>112</v>
      </c>
      <c r="J45" s="50"/>
      <c r="Z45" s="55">
        <f>ROUND(IF(AQ45="5",BJ45,0),2)</f>
        <v>0</v>
      </c>
      <c r="AB45" s="55">
        <f>ROUND(IF(AQ45="1",BH45,0),2)</f>
        <v>0</v>
      </c>
      <c r="AC45" s="55">
        <f>ROUND(IF(AQ45="1",BI45,0),2)</f>
        <v>0</v>
      </c>
      <c r="AD45" s="55">
        <f>ROUND(IF(AQ45="7",BH45,0),2)</f>
        <v>0</v>
      </c>
      <c r="AE45" s="55">
        <f>ROUND(IF(AQ45="7",BI45,0),2)</f>
        <v>0</v>
      </c>
      <c r="AF45" s="55">
        <f>ROUND(IF(AQ45="2",BH45,0),2)</f>
        <v>0</v>
      </c>
      <c r="AG45" s="55">
        <f>ROUND(IF(AQ45="2",BI45,0),2)</f>
        <v>0</v>
      </c>
      <c r="AH45" s="55">
        <f>ROUND(IF(AQ45="0",BJ45,0),2)</f>
        <v>0</v>
      </c>
      <c r="AI45" s="36" t="s">
        <v>4</v>
      </c>
      <c r="AJ45" s="55">
        <f>IF(AN45=0,H45,0)</f>
        <v>0</v>
      </c>
      <c r="AK45" s="55">
        <f>IF(AN45=12,H45,0)</f>
        <v>0</v>
      </c>
      <c r="AL45" s="55">
        <f>IF(AN45=21,H45,0)</f>
        <v>0</v>
      </c>
      <c r="AN45" s="55">
        <v>12</v>
      </c>
      <c r="AO45" s="55">
        <f>G45*0.639496904</f>
        <v>0</v>
      </c>
      <c r="AP45" s="55">
        <f>G45*(1-0.639496904)</f>
        <v>0</v>
      </c>
      <c r="AQ45" s="57" t="s">
        <v>125</v>
      </c>
      <c r="AV45" s="55">
        <f>ROUND(AW45+AX45,2)</f>
        <v>0</v>
      </c>
      <c r="AW45" s="55">
        <f>ROUND(F45*AO45,2)</f>
        <v>0</v>
      </c>
      <c r="AX45" s="55">
        <f>ROUND(F45*AP45,2)</f>
        <v>0</v>
      </c>
      <c r="AY45" s="57" t="s">
        <v>159</v>
      </c>
      <c r="AZ45" s="57" t="s">
        <v>160</v>
      </c>
      <c r="BA45" s="36" t="s">
        <v>115</v>
      </c>
      <c r="BC45" s="55">
        <f>AW45+AX45</f>
        <v>0</v>
      </c>
      <c r="BD45" s="55">
        <f>G45/(100-BE45)*100</f>
        <v>0</v>
      </c>
      <c r="BE45" s="55">
        <v>0</v>
      </c>
      <c r="BF45" s="55">
        <f>45</f>
        <v>45</v>
      </c>
      <c r="BH45" s="55">
        <f>F45*AO45</f>
        <v>0</v>
      </c>
      <c r="BI45" s="55">
        <f>F45*AP45</f>
        <v>0</v>
      </c>
      <c r="BJ45" s="55">
        <f>F45*G45</f>
        <v>0</v>
      </c>
      <c r="BK45" s="55"/>
      <c r="BL45" s="55">
        <v>762</v>
      </c>
      <c r="BW45" s="55">
        <v>12</v>
      </c>
      <c r="BX45" s="3" t="s">
        <v>178</v>
      </c>
    </row>
    <row r="46" spans="1:76" ht="13.5" customHeight="1" x14ac:dyDescent="0.25">
      <c r="A46" s="58"/>
      <c r="B46" s="59" t="s">
        <v>116</v>
      </c>
      <c r="C46" s="157" t="s">
        <v>180</v>
      </c>
      <c r="D46" s="158"/>
      <c r="E46" s="158"/>
      <c r="F46" s="158"/>
      <c r="G46" s="159"/>
      <c r="H46" s="158"/>
      <c r="I46" s="158"/>
      <c r="J46" s="160"/>
    </row>
    <row r="47" spans="1:76" x14ac:dyDescent="0.25">
      <c r="A47" s="58"/>
      <c r="C47" s="60" t="s">
        <v>121</v>
      </c>
      <c r="D47" s="60" t="s">
        <v>4</v>
      </c>
      <c r="F47" s="61">
        <v>2</v>
      </c>
      <c r="J47" s="50"/>
    </row>
    <row r="48" spans="1:76" x14ac:dyDescent="0.25">
      <c r="A48" s="1" t="s">
        <v>181</v>
      </c>
      <c r="B48" s="2" t="s">
        <v>182</v>
      </c>
      <c r="C48" s="82" t="s">
        <v>183</v>
      </c>
      <c r="D48" s="79"/>
      <c r="E48" s="2" t="s">
        <v>149</v>
      </c>
      <c r="F48" s="55">
        <v>1.1738599999999999</v>
      </c>
      <c r="G48" s="56">
        <v>0</v>
      </c>
      <c r="H48" s="55">
        <f>ROUND(F48*G48,2)</f>
        <v>0</v>
      </c>
      <c r="I48" s="57" t="s">
        <v>112</v>
      </c>
      <c r="J48" s="50"/>
      <c r="Z48" s="55">
        <f>ROUND(IF(AQ48="5",BJ48,0),2)</f>
        <v>0</v>
      </c>
      <c r="AB48" s="55">
        <f>ROUND(IF(AQ48="1",BH48,0),2)</f>
        <v>0</v>
      </c>
      <c r="AC48" s="55">
        <f>ROUND(IF(AQ48="1",BI48,0),2)</f>
        <v>0</v>
      </c>
      <c r="AD48" s="55">
        <f>ROUND(IF(AQ48="7",BH48,0),2)</f>
        <v>0</v>
      </c>
      <c r="AE48" s="55">
        <f>ROUND(IF(AQ48="7",BI48,0),2)</f>
        <v>0</v>
      </c>
      <c r="AF48" s="55">
        <f>ROUND(IF(AQ48="2",BH48,0),2)</f>
        <v>0</v>
      </c>
      <c r="AG48" s="55">
        <f>ROUND(IF(AQ48="2",BI48,0),2)</f>
        <v>0</v>
      </c>
      <c r="AH48" s="55">
        <f>ROUND(IF(AQ48="0",BJ48,0),2)</f>
        <v>0</v>
      </c>
      <c r="AI48" s="36" t="s">
        <v>4</v>
      </c>
      <c r="AJ48" s="55">
        <f>IF(AN48=0,H48,0)</f>
        <v>0</v>
      </c>
      <c r="AK48" s="55">
        <f>IF(AN48=12,H48,0)</f>
        <v>0</v>
      </c>
      <c r="AL48" s="55">
        <f>IF(AN48=21,H48,0)</f>
        <v>0</v>
      </c>
      <c r="AN48" s="55">
        <v>12</v>
      </c>
      <c r="AO48" s="55">
        <f>G48*0</f>
        <v>0</v>
      </c>
      <c r="AP48" s="55">
        <f>G48*(1-0)</f>
        <v>0</v>
      </c>
      <c r="AQ48" s="57" t="s">
        <v>141</v>
      </c>
      <c r="AV48" s="55">
        <f>ROUND(AW48+AX48,2)</f>
        <v>0</v>
      </c>
      <c r="AW48" s="55">
        <f>ROUND(F48*AO48,2)</f>
        <v>0</v>
      </c>
      <c r="AX48" s="55">
        <f>ROUND(F48*AP48,2)</f>
        <v>0</v>
      </c>
      <c r="AY48" s="57" t="s">
        <v>159</v>
      </c>
      <c r="AZ48" s="57" t="s">
        <v>160</v>
      </c>
      <c r="BA48" s="36" t="s">
        <v>115</v>
      </c>
      <c r="BC48" s="55">
        <f>AW48+AX48</f>
        <v>0</v>
      </c>
      <c r="BD48" s="55">
        <f>G48/(100-BE48)*100</f>
        <v>0</v>
      </c>
      <c r="BE48" s="55">
        <v>0</v>
      </c>
      <c r="BF48" s="55">
        <f>48</f>
        <v>48</v>
      </c>
      <c r="BH48" s="55">
        <f>F48*AO48</f>
        <v>0</v>
      </c>
      <c r="BI48" s="55">
        <f>F48*AP48</f>
        <v>0</v>
      </c>
      <c r="BJ48" s="55">
        <f>F48*G48</f>
        <v>0</v>
      </c>
      <c r="BK48" s="55"/>
      <c r="BL48" s="55">
        <v>762</v>
      </c>
      <c r="BW48" s="55">
        <v>12</v>
      </c>
      <c r="BX48" s="3" t="s">
        <v>183</v>
      </c>
    </row>
    <row r="49" spans="1:76" x14ac:dyDescent="0.25">
      <c r="A49" s="51" t="s">
        <v>4</v>
      </c>
      <c r="B49" s="52" t="s">
        <v>184</v>
      </c>
      <c r="C49" s="155" t="s">
        <v>185</v>
      </c>
      <c r="D49" s="156"/>
      <c r="E49" s="53" t="s">
        <v>73</v>
      </c>
      <c r="F49" s="53" t="s">
        <v>73</v>
      </c>
      <c r="G49" s="54" t="s">
        <v>73</v>
      </c>
      <c r="H49" s="28">
        <f>SUM(H50:H107)</f>
        <v>0</v>
      </c>
      <c r="I49" s="36" t="s">
        <v>4</v>
      </c>
      <c r="J49" s="50"/>
      <c r="AI49" s="36" t="s">
        <v>4</v>
      </c>
      <c r="AS49" s="28">
        <f>SUM(AJ50:AJ107)</f>
        <v>0</v>
      </c>
      <c r="AT49" s="28">
        <f>SUM(AK50:AK107)</f>
        <v>0</v>
      </c>
      <c r="AU49" s="28">
        <f>SUM(AL50:AL107)</f>
        <v>0</v>
      </c>
    </row>
    <row r="50" spans="1:76" x14ac:dyDescent="0.25">
      <c r="A50" s="1" t="s">
        <v>186</v>
      </c>
      <c r="B50" s="2" t="s">
        <v>187</v>
      </c>
      <c r="C50" s="82" t="s">
        <v>188</v>
      </c>
      <c r="D50" s="79"/>
      <c r="E50" s="2" t="s">
        <v>124</v>
      </c>
      <c r="F50" s="55">
        <v>96.49</v>
      </c>
      <c r="G50" s="56">
        <v>0</v>
      </c>
      <c r="H50" s="55">
        <f>ROUND(F50*G50,2)</f>
        <v>0</v>
      </c>
      <c r="I50" s="57" t="s">
        <v>112</v>
      </c>
      <c r="J50" s="50"/>
      <c r="Z50" s="55">
        <f>ROUND(IF(AQ50="5",BJ50,0),2)</f>
        <v>0</v>
      </c>
      <c r="AB50" s="55">
        <f>ROUND(IF(AQ50="1",BH50,0),2)</f>
        <v>0</v>
      </c>
      <c r="AC50" s="55">
        <f>ROUND(IF(AQ50="1",BI50,0),2)</f>
        <v>0</v>
      </c>
      <c r="AD50" s="55">
        <f>ROUND(IF(AQ50="7",BH50,0),2)</f>
        <v>0</v>
      </c>
      <c r="AE50" s="55">
        <f>ROUND(IF(AQ50="7",BI50,0),2)</f>
        <v>0</v>
      </c>
      <c r="AF50" s="55">
        <f>ROUND(IF(AQ50="2",BH50,0),2)</f>
        <v>0</v>
      </c>
      <c r="AG50" s="55">
        <f>ROUND(IF(AQ50="2",BI50,0),2)</f>
        <v>0</v>
      </c>
      <c r="AH50" s="55">
        <f>ROUND(IF(AQ50="0",BJ50,0),2)</f>
        <v>0</v>
      </c>
      <c r="AI50" s="36" t="s">
        <v>4</v>
      </c>
      <c r="AJ50" s="55">
        <f>IF(AN50=0,H50,0)</f>
        <v>0</v>
      </c>
      <c r="AK50" s="55">
        <f>IF(AN50=12,H50,0)</f>
        <v>0</v>
      </c>
      <c r="AL50" s="55">
        <f>IF(AN50=21,H50,0)</f>
        <v>0</v>
      </c>
      <c r="AN50" s="55">
        <v>12</v>
      </c>
      <c r="AO50" s="55">
        <f>G50*0</f>
        <v>0</v>
      </c>
      <c r="AP50" s="55">
        <f>G50*(1-0)</f>
        <v>0</v>
      </c>
      <c r="AQ50" s="57" t="s">
        <v>125</v>
      </c>
      <c r="AV50" s="55">
        <f>ROUND(AW50+AX50,2)</f>
        <v>0</v>
      </c>
      <c r="AW50" s="55">
        <f>ROUND(F50*AO50,2)</f>
        <v>0</v>
      </c>
      <c r="AX50" s="55">
        <f>ROUND(F50*AP50,2)</f>
        <v>0</v>
      </c>
      <c r="AY50" s="57" t="s">
        <v>189</v>
      </c>
      <c r="AZ50" s="57" t="s">
        <v>160</v>
      </c>
      <c r="BA50" s="36" t="s">
        <v>115</v>
      </c>
      <c r="BC50" s="55">
        <f>AW50+AX50</f>
        <v>0</v>
      </c>
      <c r="BD50" s="55">
        <f>G50/(100-BE50)*100</f>
        <v>0</v>
      </c>
      <c r="BE50" s="55">
        <v>0</v>
      </c>
      <c r="BF50" s="55">
        <f>50</f>
        <v>50</v>
      </c>
      <c r="BH50" s="55">
        <f>F50*AO50</f>
        <v>0</v>
      </c>
      <c r="BI50" s="55">
        <f>F50*AP50</f>
        <v>0</v>
      </c>
      <c r="BJ50" s="55">
        <f>F50*G50</f>
        <v>0</v>
      </c>
      <c r="BK50" s="55"/>
      <c r="BL50" s="55">
        <v>764</v>
      </c>
      <c r="BW50" s="55">
        <v>12</v>
      </c>
      <c r="BX50" s="3" t="s">
        <v>188</v>
      </c>
    </row>
    <row r="51" spans="1:76" ht="13.5" customHeight="1" x14ac:dyDescent="0.25">
      <c r="A51" s="58"/>
      <c r="B51" s="59" t="s">
        <v>116</v>
      </c>
      <c r="C51" s="157" t="s">
        <v>190</v>
      </c>
      <c r="D51" s="158"/>
      <c r="E51" s="158"/>
      <c r="F51" s="158"/>
      <c r="G51" s="159"/>
      <c r="H51" s="158"/>
      <c r="I51" s="158"/>
      <c r="J51" s="160"/>
    </row>
    <row r="52" spans="1:76" x14ac:dyDescent="0.25">
      <c r="A52" s="58"/>
      <c r="C52" s="60" t="s">
        <v>191</v>
      </c>
      <c r="D52" s="60" t="s">
        <v>4</v>
      </c>
      <c r="F52" s="61">
        <v>55.66</v>
      </c>
      <c r="J52" s="50"/>
    </row>
    <row r="53" spans="1:76" x14ac:dyDescent="0.25">
      <c r="A53" s="58"/>
      <c r="C53" s="60" t="s">
        <v>192</v>
      </c>
      <c r="D53" s="60" t="s">
        <v>4</v>
      </c>
      <c r="F53" s="61">
        <v>52.8</v>
      </c>
      <c r="J53" s="50"/>
    </row>
    <row r="54" spans="1:76" x14ac:dyDescent="0.25">
      <c r="A54" s="58"/>
      <c r="C54" s="60" t="s">
        <v>193</v>
      </c>
      <c r="D54" s="60" t="s">
        <v>194</v>
      </c>
      <c r="F54" s="61">
        <v>-11.97</v>
      </c>
      <c r="J54" s="50"/>
    </row>
    <row r="55" spans="1:76" x14ac:dyDescent="0.25">
      <c r="A55" s="1" t="s">
        <v>195</v>
      </c>
      <c r="B55" s="2" t="s">
        <v>196</v>
      </c>
      <c r="C55" s="82" t="s">
        <v>197</v>
      </c>
      <c r="D55" s="79"/>
      <c r="E55" s="2" t="s">
        <v>179</v>
      </c>
      <c r="F55" s="55">
        <v>24.6</v>
      </c>
      <c r="G55" s="56">
        <v>0</v>
      </c>
      <c r="H55" s="55">
        <f>ROUND(F55*G55,2)</f>
        <v>0</v>
      </c>
      <c r="I55" s="57" t="s">
        <v>112</v>
      </c>
      <c r="J55" s="50"/>
      <c r="Z55" s="55">
        <f>ROUND(IF(AQ55="5",BJ55,0),2)</f>
        <v>0</v>
      </c>
      <c r="AB55" s="55">
        <f>ROUND(IF(AQ55="1",BH55,0),2)</f>
        <v>0</v>
      </c>
      <c r="AC55" s="55">
        <f>ROUND(IF(AQ55="1",BI55,0),2)</f>
        <v>0</v>
      </c>
      <c r="AD55" s="55">
        <f>ROUND(IF(AQ55="7",BH55,0),2)</f>
        <v>0</v>
      </c>
      <c r="AE55" s="55">
        <f>ROUND(IF(AQ55="7",BI55,0),2)</f>
        <v>0</v>
      </c>
      <c r="AF55" s="55">
        <f>ROUND(IF(AQ55="2",BH55,0),2)</f>
        <v>0</v>
      </c>
      <c r="AG55" s="55">
        <f>ROUND(IF(AQ55="2",BI55,0),2)</f>
        <v>0</v>
      </c>
      <c r="AH55" s="55">
        <f>ROUND(IF(AQ55="0",BJ55,0),2)</f>
        <v>0</v>
      </c>
      <c r="AI55" s="36" t="s">
        <v>4</v>
      </c>
      <c r="AJ55" s="55">
        <f>IF(AN55=0,H55,0)</f>
        <v>0</v>
      </c>
      <c r="AK55" s="55">
        <f>IF(AN55=12,H55,0)</f>
        <v>0</v>
      </c>
      <c r="AL55" s="55">
        <f>IF(AN55=21,H55,0)</f>
        <v>0</v>
      </c>
      <c r="AN55" s="55">
        <v>12</v>
      </c>
      <c r="AO55" s="55">
        <f>G55*0</f>
        <v>0</v>
      </c>
      <c r="AP55" s="55">
        <f>G55*(1-0)</f>
        <v>0</v>
      </c>
      <c r="AQ55" s="57" t="s">
        <v>125</v>
      </c>
      <c r="AV55" s="55">
        <f>ROUND(AW55+AX55,2)</f>
        <v>0</v>
      </c>
      <c r="AW55" s="55">
        <f>ROUND(F55*AO55,2)</f>
        <v>0</v>
      </c>
      <c r="AX55" s="55">
        <f>ROUND(F55*AP55,2)</f>
        <v>0</v>
      </c>
      <c r="AY55" s="57" t="s">
        <v>189</v>
      </c>
      <c r="AZ55" s="57" t="s">
        <v>160</v>
      </c>
      <c r="BA55" s="36" t="s">
        <v>115</v>
      </c>
      <c r="BC55" s="55">
        <f>AW55+AX55</f>
        <v>0</v>
      </c>
      <c r="BD55" s="55">
        <f>G55/(100-BE55)*100</f>
        <v>0</v>
      </c>
      <c r="BE55" s="55">
        <v>0</v>
      </c>
      <c r="BF55" s="55">
        <f>55</f>
        <v>55</v>
      </c>
      <c r="BH55" s="55">
        <f>F55*AO55</f>
        <v>0</v>
      </c>
      <c r="BI55" s="55">
        <f>F55*AP55</f>
        <v>0</v>
      </c>
      <c r="BJ55" s="55">
        <f>F55*G55</f>
        <v>0</v>
      </c>
      <c r="BK55" s="55"/>
      <c r="BL55" s="55">
        <v>764</v>
      </c>
      <c r="BW55" s="55">
        <v>12</v>
      </c>
      <c r="BX55" s="3" t="s">
        <v>197</v>
      </c>
    </row>
    <row r="56" spans="1:76" x14ac:dyDescent="0.25">
      <c r="A56" s="58"/>
      <c r="C56" s="60" t="s">
        <v>198</v>
      </c>
      <c r="D56" s="60" t="s">
        <v>4</v>
      </c>
      <c r="F56" s="61">
        <v>24.6</v>
      </c>
      <c r="J56" s="50"/>
    </row>
    <row r="57" spans="1:76" x14ac:dyDescent="0.25">
      <c r="A57" s="1" t="s">
        <v>199</v>
      </c>
      <c r="B57" s="2" t="s">
        <v>200</v>
      </c>
      <c r="C57" s="82" t="s">
        <v>201</v>
      </c>
      <c r="D57" s="79"/>
      <c r="E57" s="2" t="s">
        <v>179</v>
      </c>
      <c r="F57" s="55">
        <v>45</v>
      </c>
      <c r="G57" s="56">
        <v>0</v>
      </c>
      <c r="H57" s="55">
        <f>ROUND(F57*G57,2)</f>
        <v>0</v>
      </c>
      <c r="I57" s="57" t="s">
        <v>112</v>
      </c>
      <c r="J57" s="50"/>
      <c r="Z57" s="55">
        <f>ROUND(IF(AQ57="5",BJ57,0),2)</f>
        <v>0</v>
      </c>
      <c r="AB57" s="55">
        <f>ROUND(IF(AQ57="1",BH57,0),2)</f>
        <v>0</v>
      </c>
      <c r="AC57" s="55">
        <f>ROUND(IF(AQ57="1",BI57,0),2)</f>
        <v>0</v>
      </c>
      <c r="AD57" s="55">
        <f>ROUND(IF(AQ57="7",BH57,0),2)</f>
        <v>0</v>
      </c>
      <c r="AE57" s="55">
        <f>ROUND(IF(AQ57="7",BI57,0),2)</f>
        <v>0</v>
      </c>
      <c r="AF57" s="55">
        <f>ROUND(IF(AQ57="2",BH57,0),2)</f>
        <v>0</v>
      </c>
      <c r="AG57" s="55">
        <f>ROUND(IF(AQ57="2",BI57,0),2)</f>
        <v>0</v>
      </c>
      <c r="AH57" s="55">
        <f>ROUND(IF(AQ57="0",BJ57,0),2)</f>
        <v>0</v>
      </c>
      <c r="AI57" s="36" t="s">
        <v>4</v>
      </c>
      <c r="AJ57" s="55">
        <f>IF(AN57=0,H57,0)</f>
        <v>0</v>
      </c>
      <c r="AK57" s="55">
        <f>IF(AN57=12,H57,0)</f>
        <v>0</v>
      </c>
      <c r="AL57" s="55">
        <f>IF(AN57=21,H57,0)</f>
        <v>0</v>
      </c>
      <c r="AN57" s="55">
        <v>12</v>
      </c>
      <c r="AO57" s="55">
        <f>G57*0</f>
        <v>0</v>
      </c>
      <c r="AP57" s="55">
        <f>G57*(1-0)</f>
        <v>0</v>
      </c>
      <c r="AQ57" s="57" t="s">
        <v>125</v>
      </c>
      <c r="AV57" s="55">
        <f>ROUND(AW57+AX57,2)</f>
        <v>0</v>
      </c>
      <c r="AW57" s="55">
        <f>ROUND(F57*AO57,2)</f>
        <v>0</v>
      </c>
      <c r="AX57" s="55">
        <f>ROUND(F57*AP57,2)</f>
        <v>0</v>
      </c>
      <c r="AY57" s="57" t="s">
        <v>189</v>
      </c>
      <c r="AZ57" s="57" t="s">
        <v>160</v>
      </c>
      <c r="BA57" s="36" t="s">
        <v>115</v>
      </c>
      <c r="BC57" s="55">
        <f>AW57+AX57</f>
        <v>0</v>
      </c>
      <c r="BD57" s="55">
        <f>G57/(100-BE57)*100</f>
        <v>0</v>
      </c>
      <c r="BE57" s="55">
        <v>0</v>
      </c>
      <c r="BF57" s="55">
        <f>57</f>
        <v>57</v>
      </c>
      <c r="BH57" s="55">
        <f>F57*AO57</f>
        <v>0</v>
      </c>
      <c r="BI57" s="55">
        <f>F57*AP57</f>
        <v>0</v>
      </c>
      <c r="BJ57" s="55">
        <f>F57*G57</f>
        <v>0</v>
      </c>
      <c r="BK57" s="55"/>
      <c r="BL57" s="55">
        <v>764</v>
      </c>
      <c r="BW57" s="55">
        <v>12</v>
      </c>
      <c r="BX57" s="3" t="s">
        <v>201</v>
      </c>
    </row>
    <row r="58" spans="1:76" x14ac:dyDescent="0.25">
      <c r="A58" s="58"/>
      <c r="C58" s="60" t="s">
        <v>202</v>
      </c>
      <c r="D58" s="60" t="s">
        <v>203</v>
      </c>
      <c r="F58" s="61">
        <v>45</v>
      </c>
      <c r="J58" s="50"/>
    </row>
    <row r="59" spans="1:76" x14ac:dyDescent="0.25">
      <c r="A59" s="1" t="s">
        <v>204</v>
      </c>
      <c r="B59" s="2" t="s">
        <v>205</v>
      </c>
      <c r="C59" s="82" t="s">
        <v>206</v>
      </c>
      <c r="D59" s="79"/>
      <c r="E59" s="2" t="s">
        <v>179</v>
      </c>
      <c r="F59" s="55">
        <v>7.7</v>
      </c>
      <c r="G59" s="56">
        <v>0</v>
      </c>
      <c r="H59" s="55">
        <f>ROUND(F59*G59,2)</f>
        <v>0</v>
      </c>
      <c r="I59" s="57" t="s">
        <v>112</v>
      </c>
      <c r="J59" s="50"/>
      <c r="Z59" s="55">
        <f>ROUND(IF(AQ59="5",BJ59,0),2)</f>
        <v>0</v>
      </c>
      <c r="AB59" s="55">
        <f>ROUND(IF(AQ59="1",BH59,0),2)</f>
        <v>0</v>
      </c>
      <c r="AC59" s="55">
        <f>ROUND(IF(AQ59="1",BI59,0),2)</f>
        <v>0</v>
      </c>
      <c r="AD59" s="55">
        <f>ROUND(IF(AQ59="7",BH59,0),2)</f>
        <v>0</v>
      </c>
      <c r="AE59" s="55">
        <f>ROUND(IF(AQ59="7",BI59,0),2)</f>
        <v>0</v>
      </c>
      <c r="AF59" s="55">
        <f>ROUND(IF(AQ59="2",BH59,0),2)</f>
        <v>0</v>
      </c>
      <c r="AG59" s="55">
        <f>ROUND(IF(AQ59="2",BI59,0),2)</f>
        <v>0</v>
      </c>
      <c r="AH59" s="55">
        <f>ROUND(IF(AQ59="0",BJ59,0),2)</f>
        <v>0</v>
      </c>
      <c r="AI59" s="36" t="s">
        <v>4</v>
      </c>
      <c r="AJ59" s="55">
        <f>IF(AN59=0,H59,0)</f>
        <v>0</v>
      </c>
      <c r="AK59" s="55">
        <f>IF(AN59=12,H59,0)</f>
        <v>0</v>
      </c>
      <c r="AL59" s="55">
        <f>IF(AN59=21,H59,0)</f>
        <v>0</v>
      </c>
      <c r="AN59" s="55">
        <v>12</v>
      </c>
      <c r="AO59" s="55">
        <f>G59*0</f>
        <v>0</v>
      </c>
      <c r="AP59" s="55">
        <f>G59*(1-0)</f>
        <v>0</v>
      </c>
      <c r="AQ59" s="57" t="s">
        <v>125</v>
      </c>
      <c r="AV59" s="55">
        <f>ROUND(AW59+AX59,2)</f>
        <v>0</v>
      </c>
      <c r="AW59" s="55">
        <f>ROUND(F59*AO59,2)</f>
        <v>0</v>
      </c>
      <c r="AX59" s="55">
        <f>ROUND(F59*AP59,2)</f>
        <v>0</v>
      </c>
      <c r="AY59" s="57" t="s">
        <v>189</v>
      </c>
      <c r="AZ59" s="57" t="s">
        <v>160</v>
      </c>
      <c r="BA59" s="36" t="s">
        <v>115</v>
      </c>
      <c r="BC59" s="55">
        <f>AW59+AX59</f>
        <v>0</v>
      </c>
      <c r="BD59" s="55">
        <f>G59/(100-BE59)*100</f>
        <v>0</v>
      </c>
      <c r="BE59" s="55">
        <v>0</v>
      </c>
      <c r="BF59" s="55">
        <f>59</f>
        <v>59</v>
      </c>
      <c r="BH59" s="55">
        <f>F59*AO59</f>
        <v>0</v>
      </c>
      <c r="BI59" s="55">
        <f>F59*AP59</f>
        <v>0</v>
      </c>
      <c r="BJ59" s="55">
        <f>F59*G59</f>
        <v>0</v>
      </c>
      <c r="BK59" s="55"/>
      <c r="BL59" s="55">
        <v>764</v>
      </c>
      <c r="BW59" s="55">
        <v>12</v>
      </c>
      <c r="BX59" s="3" t="s">
        <v>206</v>
      </c>
    </row>
    <row r="60" spans="1:76" x14ac:dyDescent="0.25">
      <c r="A60" s="58"/>
      <c r="C60" s="60" t="s">
        <v>207</v>
      </c>
      <c r="D60" s="60" t="s">
        <v>208</v>
      </c>
      <c r="F60" s="61">
        <v>3</v>
      </c>
      <c r="J60" s="50"/>
    </row>
    <row r="61" spans="1:76" x14ac:dyDescent="0.25">
      <c r="A61" s="58"/>
      <c r="C61" s="60" t="s">
        <v>209</v>
      </c>
      <c r="D61" s="60" t="s">
        <v>4</v>
      </c>
      <c r="F61" s="61">
        <v>2</v>
      </c>
      <c r="J61" s="50"/>
    </row>
    <row r="62" spans="1:76" x14ac:dyDescent="0.25">
      <c r="A62" s="58"/>
      <c r="C62" s="60" t="s">
        <v>210</v>
      </c>
      <c r="D62" s="60" t="s">
        <v>4</v>
      </c>
      <c r="F62" s="61">
        <v>2.7</v>
      </c>
      <c r="J62" s="50"/>
    </row>
    <row r="63" spans="1:76" x14ac:dyDescent="0.25">
      <c r="A63" s="1" t="s">
        <v>211</v>
      </c>
      <c r="B63" s="2" t="s">
        <v>212</v>
      </c>
      <c r="C63" s="82" t="s">
        <v>213</v>
      </c>
      <c r="D63" s="79"/>
      <c r="E63" s="2" t="s">
        <v>179</v>
      </c>
      <c r="F63" s="55">
        <v>11</v>
      </c>
      <c r="G63" s="56">
        <v>0</v>
      </c>
      <c r="H63" s="55">
        <f>ROUND(F63*G63,2)</f>
        <v>0</v>
      </c>
      <c r="I63" s="57" t="s">
        <v>112</v>
      </c>
      <c r="J63" s="50"/>
      <c r="Z63" s="55">
        <f>ROUND(IF(AQ63="5",BJ63,0),2)</f>
        <v>0</v>
      </c>
      <c r="AB63" s="55">
        <f>ROUND(IF(AQ63="1",BH63,0),2)</f>
        <v>0</v>
      </c>
      <c r="AC63" s="55">
        <f>ROUND(IF(AQ63="1",BI63,0),2)</f>
        <v>0</v>
      </c>
      <c r="AD63" s="55">
        <f>ROUND(IF(AQ63="7",BH63,0),2)</f>
        <v>0</v>
      </c>
      <c r="AE63" s="55">
        <f>ROUND(IF(AQ63="7",BI63,0),2)</f>
        <v>0</v>
      </c>
      <c r="AF63" s="55">
        <f>ROUND(IF(AQ63="2",BH63,0),2)</f>
        <v>0</v>
      </c>
      <c r="AG63" s="55">
        <f>ROUND(IF(AQ63="2",BI63,0),2)</f>
        <v>0</v>
      </c>
      <c r="AH63" s="55">
        <f>ROUND(IF(AQ63="0",BJ63,0),2)</f>
        <v>0</v>
      </c>
      <c r="AI63" s="36" t="s">
        <v>4</v>
      </c>
      <c r="AJ63" s="55">
        <f>IF(AN63=0,H63,0)</f>
        <v>0</v>
      </c>
      <c r="AK63" s="55">
        <f>IF(AN63=12,H63,0)</f>
        <v>0</v>
      </c>
      <c r="AL63" s="55">
        <f>IF(AN63=21,H63,0)</f>
        <v>0</v>
      </c>
      <c r="AN63" s="55">
        <v>12</v>
      </c>
      <c r="AO63" s="55">
        <f>G63*0</f>
        <v>0</v>
      </c>
      <c r="AP63" s="55">
        <f>G63*(1-0)</f>
        <v>0</v>
      </c>
      <c r="AQ63" s="57" t="s">
        <v>125</v>
      </c>
      <c r="AV63" s="55">
        <f>ROUND(AW63+AX63,2)</f>
        <v>0</v>
      </c>
      <c r="AW63" s="55">
        <f>ROUND(F63*AO63,2)</f>
        <v>0</v>
      </c>
      <c r="AX63" s="55">
        <f>ROUND(F63*AP63,2)</f>
        <v>0</v>
      </c>
      <c r="AY63" s="57" t="s">
        <v>189</v>
      </c>
      <c r="AZ63" s="57" t="s">
        <v>160</v>
      </c>
      <c r="BA63" s="36" t="s">
        <v>115</v>
      </c>
      <c r="BC63" s="55">
        <f>AW63+AX63</f>
        <v>0</v>
      </c>
      <c r="BD63" s="55">
        <f>G63/(100-BE63)*100</f>
        <v>0</v>
      </c>
      <c r="BE63" s="55">
        <v>0</v>
      </c>
      <c r="BF63" s="55">
        <f>63</f>
        <v>63</v>
      </c>
      <c r="BH63" s="55">
        <f>F63*AO63</f>
        <v>0</v>
      </c>
      <c r="BI63" s="55">
        <f>F63*AP63</f>
        <v>0</v>
      </c>
      <c r="BJ63" s="55">
        <f>F63*G63</f>
        <v>0</v>
      </c>
      <c r="BK63" s="55"/>
      <c r="BL63" s="55">
        <v>764</v>
      </c>
      <c r="BW63" s="55">
        <v>12</v>
      </c>
      <c r="BX63" s="3" t="s">
        <v>213</v>
      </c>
    </row>
    <row r="64" spans="1:76" x14ac:dyDescent="0.25">
      <c r="A64" s="58"/>
      <c r="C64" s="60" t="s">
        <v>172</v>
      </c>
      <c r="D64" s="60" t="s">
        <v>214</v>
      </c>
      <c r="F64" s="61">
        <v>11</v>
      </c>
      <c r="J64" s="50"/>
    </row>
    <row r="65" spans="1:76" x14ac:dyDescent="0.25">
      <c r="A65" s="1" t="s">
        <v>215</v>
      </c>
      <c r="B65" s="2" t="s">
        <v>216</v>
      </c>
      <c r="C65" s="82" t="s">
        <v>217</v>
      </c>
      <c r="D65" s="79"/>
      <c r="E65" s="2" t="s">
        <v>179</v>
      </c>
      <c r="F65" s="55">
        <v>25.1</v>
      </c>
      <c r="G65" s="56">
        <v>0</v>
      </c>
      <c r="H65" s="55">
        <f>ROUND(F65*G65,2)</f>
        <v>0</v>
      </c>
      <c r="I65" s="57" t="s">
        <v>112</v>
      </c>
      <c r="J65" s="50"/>
      <c r="Z65" s="55">
        <f>ROUND(IF(AQ65="5",BJ65,0),2)</f>
        <v>0</v>
      </c>
      <c r="AB65" s="55">
        <f>ROUND(IF(AQ65="1",BH65,0),2)</f>
        <v>0</v>
      </c>
      <c r="AC65" s="55">
        <f>ROUND(IF(AQ65="1",BI65,0),2)</f>
        <v>0</v>
      </c>
      <c r="AD65" s="55">
        <f>ROUND(IF(AQ65="7",BH65,0),2)</f>
        <v>0</v>
      </c>
      <c r="AE65" s="55">
        <f>ROUND(IF(AQ65="7",BI65,0),2)</f>
        <v>0</v>
      </c>
      <c r="AF65" s="55">
        <f>ROUND(IF(AQ65="2",BH65,0),2)</f>
        <v>0</v>
      </c>
      <c r="AG65" s="55">
        <f>ROUND(IF(AQ65="2",BI65,0),2)</f>
        <v>0</v>
      </c>
      <c r="AH65" s="55">
        <f>ROUND(IF(AQ65="0",BJ65,0),2)</f>
        <v>0</v>
      </c>
      <c r="AI65" s="36" t="s">
        <v>4</v>
      </c>
      <c r="AJ65" s="55">
        <f>IF(AN65=0,H65,0)</f>
        <v>0</v>
      </c>
      <c r="AK65" s="55">
        <f>IF(AN65=12,H65,0)</f>
        <v>0</v>
      </c>
      <c r="AL65" s="55">
        <f>IF(AN65=21,H65,0)</f>
        <v>0</v>
      </c>
      <c r="AN65" s="55">
        <v>12</v>
      </c>
      <c r="AO65" s="55">
        <f>G65*0</f>
        <v>0</v>
      </c>
      <c r="AP65" s="55">
        <f>G65*(1-0)</f>
        <v>0</v>
      </c>
      <c r="AQ65" s="57" t="s">
        <v>125</v>
      </c>
      <c r="AV65" s="55">
        <f>ROUND(AW65+AX65,2)</f>
        <v>0</v>
      </c>
      <c r="AW65" s="55">
        <f>ROUND(F65*AO65,2)</f>
        <v>0</v>
      </c>
      <c r="AX65" s="55">
        <f>ROUND(F65*AP65,2)</f>
        <v>0</v>
      </c>
      <c r="AY65" s="57" t="s">
        <v>189</v>
      </c>
      <c r="AZ65" s="57" t="s">
        <v>160</v>
      </c>
      <c r="BA65" s="36" t="s">
        <v>115</v>
      </c>
      <c r="BC65" s="55">
        <f>AW65+AX65</f>
        <v>0</v>
      </c>
      <c r="BD65" s="55">
        <f>G65/(100-BE65)*100</f>
        <v>0</v>
      </c>
      <c r="BE65" s="55">
        <v>0</v>
      </c>
      <c r="BF65" s="55">
        <f>65</f>
        <v>65</v>
      </c>
      <c r="BH65" s="55">
        <f>F65*AO65</f>
        <v>0</v>
      </c>
      <c r="BI65" s="55">
        <f>F65*AP65</f>
        <v>0</v>
      </c>
      <c r="BJ65" s="55">
        <f>F65*G65</f>
        <v>0</v>
      </c>
      <c r="BK65" s="55"/>
      <c r="BL65" s="55">
        <v>764</v>
      </c>
      <c r="BW65" s="55">
        <v>12</v>
      </c>
      <c r="BX65" s="3" t="s">
        <v>217</v>
      </c>
    </row>
    <row r="66" spans="1:76" x14ac:dyDescent="0.25">
      <c r="A66" s="58"/>
      <c r="C66" s="60" t="s">
        <v>218</v>
      </c>
      <c r="D66" s="60" t="s">
        <v>219</v>
      </c>
      <c r="F66" s="61">
        <v>25.1</v>
      </c>
      <c r="J66" s="50"/>
    </row>
    <row r="67" spans="1:76" x14ac:dyDescent="0.25">
      <c r="A67" s="1" t="s">
        <v>220</v>
      </c>
      <c r="B67" s="2" t="s">
        <v>221</v>
      </c>
      <c r="C67" s="82" t="s">
        <v>222</v>
      </c>
      <c r="D67" s="79"/>
      <c r="E67" s="2" t="s">
        <v>179</v>
      </c>
      <c r="F67" s="55">
        <v>25.1</v>
      </c>
      <c r="G67" s="56">
        <v>0</v>
      </c>
      <c r="H67" s="55">
        <f>ROUND(F67*G67,2)</f>
        <v>0</v>
      </c>
      <c r="I67" s="57" t="s">
        <v>112</v>
      </c>
      <c r="J67" s="50"/>
      <c r="Z67" s="55">
        <f>ROUND(IF(AQ67="5",BJ67,0),2)</f>
        <v>0</v>
      </c>
      <c r="AB67" s="55">
        <f>ROUND(IF(AQ67="1",BH67,0),2)</f>
        <v>0</v>
      </c>
      <c r="AC67" s="55">
        <f>ROUND(IF(AQ67="1",BI67,0),2)</f>
        <v>0</v>
      </c>
      <c r="AD67" s="55">
        <f>ROUND(IF(AQ67="7",BH67,0),2)</f>
        <v>0</v>
      </c>
      <c r="AE67" s="55">
        <f>ROUND(IF(AQ67="7",BI67,0),2)</f>
        <v>0</v>
      </c>
      <c r="AF67" s="55">
        <f>ROUND(IF(AQ67="2",BH67,0),2)</f>
        <v>0</v>
      </c>
      <c r="AG67" s="55">
        <f>ROUND(IF(AQ67="2",BI67,0),2)</f>
        <v>0</v>
      </c>
      <c r="AH67" s="55">
        <f>ROUND(IF(AQ67="0",BJ67,0),2)</f>
        <v>0</v>
      </c>
      <c r="AI67" s="36" t="s">
        <v>4</v>
      </c>
      <c r="AJ67" s="55">
        <f>IF(AN67=0,H67,0)</f>
        <v>0</v>
      </c>
      <c r="AK67" s="55">
        <f>IF(AN67=12,H67,0)</f>
        <v>0</v>
      </c>
      <c r="AL67" s="55">
        <f>IF(AN67=21,H67,0)</f>
        <v>0</v>
      </c>
      <c r="AN67" s="55">
        <v>12</v>
      </c>
      <c r="AO67" s="55">
        <f>G67*0</f>
        <v>0</v>
      </c>
      <c r="AP67" s="55">
        <f>G67*(1-0)</f>
        <v>0</v>
      </c>
      <c r="AQ67" s="57" t="s">
        <v>125</v>
      </c>
      <c r="AV67" s="55">
        <f>ROUND(AW67+AX67,2)</f>
        <v>0</v>
      </c>
      <c r="AW67" s="55">
        <f>ROUND(F67*AO67,2)</f>
        <v>0</v>
      </c>
      <c r="AX67" s="55">
        <f>ROUND(F67*AP67,2)</f>
        <v>0</v>
      </c>
      <c r="AY67" s="57" t="s">
        <v>189</v>
      </c>
      <c r="AZ67" s="57" t="s">
        <v>160</v>
      </c>
      <c r="BA67" s="36" t="s">
        <v>115</v>
      </c>
      <c r="BC67" s="55">
        <f>AW67+AX67</f>
        <v>0</v>
      </c>
      <c r="BD67" s="55">
        <f>G67/(100-BE67)*100</f>
        <v>0</v>
      </c>
      <c r="BE67" s="55">
        <v>0</v>
      </c>
      <c r="BF67" s="55">
        <f>67</f>
        <v>67</v>
      </c>
      <c r="BH67" s="55">
        <f>F67*AO67</f>
        <v>0</v>
      </c>
      <c r="BI67" s="55">
        <f>F67*AP67</f>
        <v>0</v>
      </c>
      <c r="BJ67" s="55">
        <f>F67*G67</f>
        <v>0</v>
      </c>
      <c r="BK67" s="55"/>
      <c r="BL67" s="55">
        <v>764</v>
      </c>
      <c r="BW67" s="55">
        <v>12</v>
      </c>
      <c r="BX67" s="3" t="s">
        <v>222</v>
      </c>
    </row>
    <row r="68" spans="1:76" x14ac:dyDescent="0.25">
      <c r="A68" s="58"/>
      <c r="C68" s="60" t="s">
        <v>218</v>
      </c>
      <c r="D68" s="60" t="s">
        <v>223</v>
      </c>
      <c r="F68" s="61">
        <v>25.1</v>
      </c>
      <c r="J68" s="50"/>
    </row>
    <row r="69" spans="1:76" x14ac:dyDescent="0.25">
      <c r="A69" s="1" t="s">
        <v>224</v>
      </c>
      <c r="B69" s="2" t="s">
        <v>225</v>
      </c>
      <c r="C69" s="82" t="s">
        <v>226</v>
      </c>
      <c r="D69" s="79"/>
      <c r="E69" s="2" t="s">
        <v>179</v>
      </c>
      <c r="F69" s="55">
        <v>8.8000000000000007</v>
      </c>
      <c r="G69" s="56">
        <v>0</v>
      </c>
      <c r="H69" s="55">
        <f>ROUND(F69*G69,2)</f>
        <v>0</v>
      </c>
      <c r="I69" s="57" t="s">
        <v>112</v>
      </c>
      <c r="J69" s="50"/>
      <c r="Z69" s="55">
        <f>ROUND(IF(AQ69="5",BJ69,0),2)</f>
        <v>0</v>
      </c>
      <c r="AB69" s="55">
        <f>ROUND(IF(AQ69="1",BH69,0),2)</f>
        <v>0</v>
      </c>
      <c r="AC69" s="55">
        <f>ROUND(IF(AQ69="1",BI69,0),2)</f>
        <v>0</v>
      </c>
      <c r="AD69" s="55">
        <f>ROUND(IF(AQ69="7",BH69,0),2)</f>
        <v>0</v>
      </c>
      <c r="AE69" s="55">
        <f>ROUND(IF(AQ69="7",BI69,0),2)</f>
        <v>0</v>
      </c>
      <c r="AF69" s="55">
        <f>ROUND(IF(AQ69="2",BH69,0),2)</f>
        <v>0</v>
      </c>
      <c r="AG69" s="55">
        <f>ROUND(IF(AQ69="2",BI69,0),2)</f>
        <v>0</v>
      </c>
      <c r="AH69" s="55">
        <f>ROUND(IF(AQ69="0",BJ69,0),2)</f>
        <v>0</v>
      </c>
      <c r="AI69" s="36" t="s">
        <v>4</v>
      </c>
      <c r="AJ69" s="55">
        <f>IF(AN69=0,H69,0)</f>
        <v>0</v>
      </c>
      <c r="AK69" s="55">
        <f>IF(AN69=12,H69,0)</f>
        <v>0</v>
      </c>
      <c r="AL69" s="55">
        <f>IF(AN69=21,H69,0)</f>
        <v>0</v>
      </c>
      <c r="AN69" s="55">
        <v>12</v>
      </c>
      <c r="AO69" s="55">
        <f>G69*0</f>
        <v>0</v>
      </c>
      <c r="AP69" s="55">
        <f>G69*(1-0)</f>
        <v>0</v>
      </c>
      <c r="AQ69" s="57" t="s">
        <v>125</v>
      </c>
      <c r="AV69" s="55">
        <f>ROUND(AW69+AX69,2)</f>
        <v>0</v>
      </c>
      <c r="AW69" s="55">
        <f>ROUND(F69*AO69,2)</f>
        <v>0</v>
      </c>
      <c r="AX69" s="55">
        <f>ROUND(F69*AP69,2)</f>
        <v>0</v>
      </c>
      <c r="AY69" s="57" t="s">
        <v>189</v>
      </c>
      <c r="AZ69" s="57" t="s">
        <v>160</v>
      </c>
      <c r="BA69" s="36" t="s">
        <v>115</v>
      </c>
      <c r="BC69" s="55">
        <f>AW69+AX69</f>
        <v>0</v>
      </c>
      <c r="BD69" s="55">
        <f>G69/(100-BE69)*100</f>
        <v>0</v>
      </c>
      <c r="BE69" s="55">
        <v>0</v>
      </c>
      <c r="BF69" s="55">
        <f>69</f>
        <v>69</v>
      </c>
      <c r="BH69" s="55">
        <f>F69*AO69</f>
        <v>0</v>
      </c>
      <c r="BI69" s="55">
        <f>F69*AP69</f>
        <v>0</v>
      </c>
      <c r="BJ69" s="55">
        <f>F69*G69</f>
        <v>0</v>
      </c>
      <c r="BK69" s="55"/>
      <c r="BL69" s="55">
        <v>764</v>
      </c>
      <c r="BW69" s="55">
        <v>12</v>
      </c>
      <c r="BX69" s="3" t="s">
        <v>226</v>
      </c>
    </row>
    <row r="70" spans="1:76" x14ac:dyDescent="0.25">
      <c r="A70" s="58"/>
      <c r="C70" s="60" t="s">
        <v>227</v>
      </c>
      <c r="D70" s="60" t="s">
        <v>228</v>
      </c>
      <c r="F70" s="61">
        <v>8.8000000000000007</v>
      </c>
      <c r="J70" s="50"/>
    </row>
    <row r="71" spans="1:76" x14ac:dyDescent="0.25">
      <c r="A71" s="1" t="s">
        <v>229</v>
      </c>
      <c r="B71" s="2" t="s">
        <v>230</v>
      </c>
      <c r="C71" s="82" t="s">
        <v>231</v>
      </c>
      <c r="D71" s="79"/>
      <c r="E71" s="2" t="s">
        <v>124</v>
      </c>
      <c r="F71" s="55">
        <v>14</v>
      </c>
      <c r="G71" s="56">
        <v>0</v>
      </c>
      <c r="H71" s="55">
        <f>ROUND(F71*G71,2)</f>
        <v>0</v>
      </c>
      <c r="I71" s="57" t="s">
        <v>112</v>
      </c>
      <c r="J71" s="50"/>
      <c r="Z71" s="55">
        <f>ROUND(IF(AQ71="5",BJ71,0),2)</f>
        <v>0</v>
      </c>
      <c r="AB71" s="55">
        <f>ROUND(IF(AQ71="1",BH71,0),2)</f>
        <v>0</v>
      </c>
      <c r="AC71" s="55">
        <f>ROUND(IF(AQ71="1",BI71,0),2)</f>
        <v>0</v>
      </c>
      <c r="AD71" s="55">
        <f>ROUND(IF(AQ71="7",BH71,0),2)</f>
        <v>0</v>
      </c>
      <c r="AE71" s="55">
        <f>ROUND(IF(AQ71="7",BI71,0),2)</f>
        <v>0</v>
      </c>
      <c r="AF71" s="55">
        <f>ROUND(IF(AQ71="2",BH71,0),2)</f>
        <v>0</v>
      </c>
      <c r="AG71" s="55">
        <f>ROUND(IF(AQ71="2",BI71,0),2)</f>
        <v>0</v>
      </c>
      <c r="AH71" s="55">
        <f>ROUND(IF(AQ71="0",BJ71,0),2)</f>
        <v>0</v>
      </c>
      <c r="AI71" s="36" t="s">
        <v>4</v>
      </c>
      <c r="AJ71" s="55">
        <f>IF(AN71=0,H71,0)</f>
        <v>0</v>
      </c>
      <c r="AK71" s="55">
        <f>IF(AN71=12,H71,0)</f>
        <v>0</v>
      </c>
      <c r="AL71" s="55">
        <f>IF(AN71=21,H71,0)</f>
        <v>0</v>
      </c>
      <c r="AN71" s="55">
        <v>12</v>
      </c>
      <c r="AO71" s="55">
        <f>G71*0</f>
        <v>0</v>
      </c>
      <c r="AP71" s="55">
        <f>G71*(1-0)</f>
        <v>0</v>
      </c>
      <c r="AQ71" s="57" t="s">
        <v>125</v>
      </c>
      <c r="AV71" s="55">
        <f>ROUND(AW71+AX71,2)</f>
        <v>0</v>
      </c>
      <c r="AW71" s="55">
        <f>ROUND(F71*AO71,2)</f>
        <v>0</v>
      </c>
      <c r="AX71" s="55">
        <f>ROUND(F71*AP71,2)</f>
        <v>0</v>
      </c>
      <c r="AY71" s="57" t="s">
        <v>189</v>
      </c>
      <c r="AZ71" s="57" t="s">
        <v>160</v>
      </c>
      <c r="BA71" s="36" t="s">
        <v>115</v>
      </c>
      <c r="BC71" s="55">
        <f>AW71+AX71</f>
        <v>0</v>
      </c>
      <c r="BD71" s="55">
        <f>G71/(100-BE71)*100</f>
        <v>0</v>
      </c>
      <c r="BE71" s="55">
        <v>0</v>
      </c>
      <c r="BF71" s="55">
        <f>71</f>
        <v>71</v>
      </c>
      <c r="BH71" s="55">
        <f>F71*AO71</f>
        <v>0</v>
      </c>
      <c r="BI71" s="55">
        <f>F71*AP71</f>
        <v>0</v>
      </c>
      <c r="BJ71" s="55">
        <f>F71*G71</f>
        <v>0</v>
      </c>
      <c r="BK71" s="55"/>
      <c r="BL71" s="55">
        <v>764</v>
      </c>
      <c r="BW71" s="55">
        <v>12</v>
      </c>
      <c r="BX71" s="3" t="s">
        <v>231</v>
      </c>
    </row>
    <row r="72" spans="1:76" ht="13.5" customHeight="1" x14ac:dyDescent="0.25">
      <c r="A72" s="58"/>
      <c r="B72" s="59" t="s">
        <v>116</v>
      </c>
      <c r="C72" s="157" t="s">
        <v>190</v>
      </c>
      <c r="D72" s="158"/>
      <c r="E72" s="158"/>
      <c r="F72" s="158"/>
      <c r="G72" s="159"/>
      <c r="H72" s="158"/>
      <c r="I72" s="158"/>
      <c r="J72" s="160"/>
    </row>
    <row r="73" spans="1:76" x14ac:dyDescent="0.25">
      <c r="A73" s="58"/>
      <c r="C73" s="60" t="s">
        <v>145</v>
      </c>
      <c r="D73" s="60" t="s">
        <v>232</v>
      </c>
      <c r="F73" s="61">
        <v>14</v>
      </c>
      <c r="J73" s="50"/>
    </row>
    <row r="74" spans="1:76" x14ac:dyDescent="0.25">
      <c r="A74" s="1" t="s">
        <v>233</v>
      </c>
      <c r="B74" s="2" t="s">
        <v>234</v>
      </c>
      <c r="C74" s="82" t="s">
        <v>235</v>
      </c>
      <c r="D74" s="79"/>
      <c r="E74" s="2" t="s">
        <v>179</v>
      </c>
      <c r="F74" s="55">
        <v>33.5</v>
      </c>
      <c r="G74" s="56">
        <v>0</v>
      </c>
      <c r="H74" s="55">
        <f>ROUND(F74*G74,2)</f>
        <v>0</v>
      </c>
      <c r="I74" s="57" t="s">
        <v>112</v>
      </c>
      <c r="J74" s="50"/>
      <c r="Z74" s="55">
        <f>ROUND(IF(AQ74="5",BJ74,0),2)</f>
        <v>0</v>
      </c>
      <c r="AB74" s="55">
        <f>ROUND(IF(AQ74="1",BH74,0),2)</f>
        <v>0</v>
      </c>
      <c r="AC74" s="55">
        <f>ROUND(IF(AQ74="1",BI74,0),2)</f>
        <v>0</v>
      </c>
      <c r="AD74" s="55">
        <f>ROUND(IF(AQ74="7",BH74,0),2)</f>
        <v>0</v>
      </c>
      <c r="AE74" s="55">
        <f>ROUND(IF(AQ74="7",BI74,0),2)</f>
        <v>0</v>
      </c>
      <c r="AF74" s="55">
        <f>ROUND(IF(AQ74="2",BH74,0),2)</f>
        <v>0</v>
      </c>
      <c r="AG74" s="55">
        <f>ROUND(IF(AQ74="2",BI74,0),2)</f>
        <v>0</v>
      </c>
      <c r="AH74" s="55">
        <f>ROUND(IF(AQ74="0",BJ74,0),2)</f>
        <v>0</v>
      </c>
      <c r="AI74" s="36" t="s">
        <v>4</v>
      </c>
      <c r="AJ74" s="55">
        <f>IF(AN74=0,H74,0)</f>
        <v>0</v>
      </c>
      <c r="AK74" s="55">
        <f>IF(AN74=12,H74,0)</f>
        <v>0</v>
      </c>
      <c r="AL74" s="55">
        <f>IF(AN74=21,H74,0)</f>
        <v>0</v>
      </c>
      <c r="AN74" s="55">
        <v>12</v>
      </c>
      <c r="AO74" s="55">
        <f>G74*0.552285714</f>
        <v>0</v>
      </c>
      <c r="AP74" s="55">
        <f>G74*(1-0.552285714)</f>
        <v>0</v>
      </c>
      <c r="AQ74" s="57" t="s">
        <v>125</v>
      </c>
      <c r="AV74" s="55">
        <f>ROUND(AW74+AX74,2)</f>
        <v>0</v>
      </c>
      <c r="AW74" s="55">
        <f>ROUND(F74*AO74,2)</f>
        <v>0</v>
      </c>
      <c r="AX74" s="55">
        <f>ROUND(F74*AP74,2)</f>
        <v>0</v>
      </c>
      <c r="AY74" s="57" t="s">
        <v>189</v>
      </c>
      <c r="AZ74" s="57" t="s">
        <v>160</v>
      </c>
      <c r="BA74" s="36" t="s">
        <v>115</v>
      </c>
      <c r="BC74" s="55">
        <f>AW74+AX74</f>
        <v>0</v>
      </c>
      <c r="BD74" s="55">
        <f>G74/(100-BE74)*100</f>
        <v>0</v>
      </c>
      <c r="BE74" s="55">
        <v>0</v>
      </c>
      <c r="BF74" s="55">
        <f>74</f>
        <v>74</v>
      </c>
      <c r="BH74" s="55">
        <f>F74*AO74</f>
        <v>0</v>
      </c>
      <c r="BI74" s="55">
        <f>F74*AP74</f>
        <v>0</v>
      </c>
      <c r="BJ74" s="55">
        <f>F74*G74</f>
        <v>0</v>
      </c>
      <c r="BK74" s="55"/>
      <c r="BL74" s="55">
        <v>764</v>
      </c>
      <c r="BW74" s="55">
        <v>12</v>
      </c>
      <c r="BX74" s="3" t="s">
        <v>235</v>
      </c>
    </row>
    <row r="75" spans="1:76" x14ac:dyDescent="0.25">
      <c r="A75" s="58"/>
      <c r="C75" s="60" t="s">
        <v>236</v>
      </c>
      <c r="D75" s="60" t="s">
        <v>237</v>
      </c>
      <c r="F75" s="61">
        <v>33.5</v>
      </c>
      <c r="J75" s="50"/>
    </row>
    <row r="76" spans="1:76" x14ac:dyDescent="0.25">
      <c r="A76" s="1" t="s">
        <v>238</v>
      </c>
      <c r="B76" s="2" t="s">
        <v>239</v>
      </c>
      <c r="C76" s="82" t="s">
        <v>240</v>
      </c>
      <c r="D76" s="79"/>
      <c r="E76" s="2" t="s">
        <v>179</v>
      </c>
      <c r="F76" s="55">
        <v>19.8</v>
      </c>
      <c r="G76" s="56">
        <v>0</v>
      </c>
      <c r="H76" s="55">
        <f>ROUND(F76*G76,2)</f>
        <v>0</v>
      </c>
      <c r="I76" s="57" t="s">
        <v>112</v>
      </c>
      <c r="J76" s="50"/>
      <c r="Z76" s="55">
        <f>ROUND(IF(AQ76="5",BJ76,0),2)</f>
        <v>0</v>
      </c>
      <c r="AB76" s="55">
        <f>ROUND(IF(AQ76="1",BH76,0),2)</f>
        <v>0</v>
      </c>
      <c r="AC76" s="55">
        <f>ROUND(IF(AQ76="1",BI76,0),2)</f>
        <v>0</v>
      </c>
      <c r="AD76" s="55">
        <f>ROUND(IF(AQ76="7",BH76,0),2)</f>
        <v>0</v>
      </c>
      <c r="AE76" s="55">
        <f>ROUND(IF(AQ76="7",BI76,0),2)</f>
        <v>0</v>
      </c>
      <c r="AF76" s="55">
        <f>ROUND(IF(AQ76="2",BH76,0),2)</f>
        <v>0</v>
      </c>
      <c r="AG76" s="55">
        <f>ROUND(IF(AQ76="2",BI76,0),2)</f>
        <v>0</v>
      </c>
      <c r="AH76" s="55">
        <f>ROUND(IF(AQ76="0",BJ76,0),2)</f>
        <v>0</v>
      </c>
      <c r="AI76" s="36" t="s">
        <v>4</v>
      </c>
      <c r="AJ76" s="55">
        <f>IF(AN76=0,H76,0)</f>
        <v>0</v>
      </c>
      <c r="AK76" s="55">
        <f>IF(AN76=12,H76,0)</f>
        <v>0</v>
      </c>
      <c r="AL76" s="55">
        <f>IF(AN76=21,H76,0)</f>
        <v>0</v>
      </c>
      <c r="AN76" s="55">
        <v>12</v>
      </c>
      <c r="AO76" s="55">
        <f>G76*0.641464174</f>
        <v>0</v>
      </c>
      <c r="AP76" s="55">
        <f>G76*(1-0.641464174)</f>
        <v>0</v>
      </c>
      <c r="AQ76" s="57" t="s">
        <v>125</v>
      </c>
      <c r="AV76" s="55">
        <f>ROUND(AW76+AX76,2)</f>
        <v>0</v>
      </c>
      <c r="AW76" s="55">
        <f>ROUND(F76*AO76,2)</f>
        <v>0</v>
      </c>
      <c r="AX76" s="55">
        <f>ROUND(F76*AP76,2)</f>
        <v>0</v>
      </c>
      <c r="AY76" s="57" t="s">
        <v>189</v>
      </c>
      <c r="AZ76" s="57" t="s">
        <v>160</v>
      </c>
      <c r="BA76" s="36" t="s">
        <v>115</v>
      </c>
      <c r="BC76" s="55">
        <f>AW76+AX76</f>
        <v>0</v>
      </c>
      <c r="BD76" s="55">
        <f>G76/(100-BE76)*100</f>
        <v>0</v>
      </c>
      <c r="BE76" s="55">
        <v>0</v>
      </c>
      <c r="BF76" s="55">
        <f>76</f>
        <v>76</v>
      </c>
      <c r="BH76" s="55">
        <f>F76*AO76</f>
        <v>0</v>
      </c>
      <c r="BI76" s="55">
        <f>F76*AP76</f>
        <v>0</v>
      </c>
      <c r="BJ76" s="55">
        <f>F76*G76</f>
        <v>0</v>
      </c>
      <c r="BK76" s="55"/>
      <c r="BL76" s="55">
        <v>764</v>
      </c>
      <c r="BW76" s="55">
        <v>12</v>
      </c>
      <c r="BX76" s="3" t="s">
        <v>240</v>
      </c>
    </row>
    <row r="77" spans="1:76" x14ac:dyDescent="0.25">
      <c r="A77" s="58"/>
      <c r="C77" s="60" t="s">
        <v>172</v>
      </c>
      <c r="D77" s="60" t="s">
        <v>241</v>
      </c>
      <c r="F77" s="61">
        <v>11</v>
      </c>
      <c r="J77" s="50"/>
    </row>
    <row r="78" spans="1:76" x14ac:dyDescent="0.25">
      <c r="A78" s="58"/>
      <c r="C78" s="60" t="s">
        <v>227</v>
      </c>
      <c r="D78" s="60" t="s">
        <v>4</v>
      </c>
      <c r="F78" s="61">
        <v>8.8000000000000007</v>
      </c>
      <c r="J78" s="50"/>
    </row>
    <row r="79" spans="1:76" x14ac:dyDescent="0.25">
      <c r="A79" s="1" t="s">
        <v>242</v>
      </c>
      <c r="B79" s="2" t="s">
        <v>243</v>
      </c>
      <c r="C79" s="82" t="s">
        <v>244</v>
      </c>
      <c r="D79" s="79"/>
      <c r="E79" s="2" t="s">
        <v>179</v>
      </c>
      <c r="F79" s="55">
        <v>6.7</v>
      </c>
      <c r="G79" s="56">
        <v>0</v>
      </c>
      <c r="H79" s="55">
        <f>ROUND(F79*G79,2)</f>
        <v>0</v>
      </c>
      <c r="I79" s="57" t="s">
        <v>112</v>
      </c>
      <c r="J79" s="50"/>
      <c r="Z79" s="55">
        <f>ROUND(IF(AQ79="5",BJ79,0),2)</f>
        <v>0</v>
      </c>
      <c r="AB79" s="55">
        <f>ROUND(IF(AQ79="1",BH79,0),2)</f>
        <v>0</v>
      </c>
      <c r="AC79" s="55">
        <f>ROUND(IF(AQ79="1",BI79,0),2)</f>
        <v>0</v>
      </c>
      <c r="AD79" s="55">
        <f>ROUND(IF(AQ79="7",BH79,0),2)</f>
        <v>0</v>
      </c>
      <c r="AE79" s="55">
        <f>ROUND(IF(AQ79="7",BI79,0),2)</f>
        <v>0</v>
      </c>
      <c r="AF79" s="55">
        <f>ROUND(IF(AQ79="2",BH79,0),2)</f>
        <v>0</v>
      </c>
      <c r="AG79" s="55">
        <f>ROUND(IF(AQ79="2",BI79,0),2)</f>
        <v>0</v>
      </c>
      <c r="AH79" s="55">
        <f>ROUND(IF(AQ79="0",BJ79,0),2)</f>
        <v>0</v>
      </c>
      <c r="AI79" s="36" t="s">
        <v>4</v>
      </c>
      <c r="AJ79" s="55">
        <f>IF(AN79=0,H79,0)</f>
        <v>0</v>
      </c>
      <c r="AK79" s="55">
        <f>IF(AN79=12,H79,0)</f>
        <v>0</v>
      </c>
      <c r="AL79" s="55">
        <f>IF(AN79=21,H79,0)</f>
        <v>0</v>
      </c>
      <c r="AN79" s="55">
        <v>12</v>
      </c>
      <c r="AO79" s="55">
        <f>G79*0.314061571</f>
        <v>0</v>
      </c>
      <c r="AP79" s="55">
        <f>G79*(1-0.314061571)</f>
        <v>0</v>
      </c>
      <c r="AQ79" s="57" t="s">
        <v>125</v>
      </c>
      <c r="AV79" s="55">
        <f>ROUND(AW79+AX79,2)</f>
        <v>0</v>
      </c>
      <c r="AW79" s="55">
        <f>ROUND(F79*AO79,2)</f>
        <v>0</v>
      </c>
      <c r="AX79" s="55">
        <f>ROUND(F79*AP79,2)</f>
        <v>0</v>
      </c>
      <c r="AY79" s="57" t="s">
        <v>189</v>
      </c>
      <c r="AZ79" s="57" t="s">
        <v>160</v>
      </c>
      <c r="BA79" s="36" t="s">
        <v>115</v>
      </c>
      <c r="BC79" s="55">
        <f>AW79+AX79</f>
        <v>0</v>
      </c>
      <c r="BD79" s="55">
        <f>G79/(100-BE79)*100</f>
        <v>0</v>
      </c>
      <c r="BE79" s="55">
        <v>0</v>
      </c>
      <c r="BF79" s="55">
        <f>79</f>
        <v>79</v>
      </c>
      <c r="BH79" s="55">
        <f>F79*AO79</f>
        <v>0</v>
      </c>
      <c r="BI79" s="55">
        <f>F79*AP79</f>
        <v>0</v>
      </c>
      <c r="BJ79" s="55">
        <f>F79*G79</f>
        <v>0</v>
      </c>
      <c r="BK79" s="55"/>
      <c r="BL79" s="55">
        <v>764</v>
      </c>
      <c r="BW79" s="55">
        <v>12</v>
      </c>
      <c r="BX79" s="3" t="s">
        <v>244</v>
      </c>
    </row>
    <row r="80" spans="1:76" x14ac:dyDescent="0.25">
      <c r="A80" s="58"/>
      <c r="C80" s="60" t="s">
        <v>245</v>
      </c>
      <c r="D80" s="60" t="s">
        <v>246</v>
      </c>
      <c r="F80" s="61">
        <v>6.7</v>
      </c>
      <c r="J80" s="50"/>
    </row>
    <row r="81" spans="1:76" x14ac:dyDescent="0.25">
      <c r="A81" s="1" t="s">
        <v>247</v>
      </c>
      <c r="B81" s="2" t="s">
        <v>248</v>
      </c>
      <c r="C81" s="82" t="s">
        <v>249</v>
      </c>
      <c r="D81" s="79"/>
      <c r="E81" s="2" t="s">
        <v>179</v>
      </c>
      <c r="F81" s="55">
        <v>25</v>
      </c>
      <c r="G81" s="56">
        <v>0</v>
      </c>
      <c r="H81" s="55">
        <f>ROUND(F81*G81,2)</f>
        <v>0</v>
      </c>
      <c r="I81" s="57" t="s">
        <v>112</v>
      </c>
      <c r="J81" s="50"/>
      <c r="Z81" s="55">
        <f>ROUND(IF(AQ81="5",BJ81,0),2)</f>
        <v>0</v>
      </c>
      <c r="AB81" s="55">
        <f>ROUND(IF(AQ81="1",BH81,0),2)</f>
        <v>0</v>
      </c>
      <c r="AC81" s="55">
        <f>ROUND(IF(AQ81="1",BI81,0),2)</f>
        <v>0</v>
      </c>
      <c r="AD81" s="55">
        <f>ROUND(IF(AQ81="7",BH81,0),2)</f>
        <v>0</v>
      </c>
      <c r="AE81" s="55">
        <f>ROUND(IF(AQ81="7",BI81,0),2)</f>
        <v>0</v>
      </c>
      <c r="AF81" s="55">
        <f>ROUND(IF(AQ81="2",BH81,0),2)</f>
        <v>0</v>
      </c>
      <c r="AG81" s="55">
        <f>ROUND(IF(AQ81="2",BI81,0),2)</f>
        <v>0</v>
      </c>
      <c r="AH81" s="55">
        <f>ROUND(IF(AQ81="0",BJ81,0),2)</f>
        <v>0</v>
      </c>
      <c r="AI81" s="36" t="s">
        <v>4</v>
      </c>
      <c r="AJ81" s="55">
        <f>IF(AN81=0,H81,0)</f>
        <v>0</v>
      </c>
      <c r="AK81" s="55">
        <f>IF(AN81=12,H81,0)</f>
        <v>0</v>
      </c>
      <c r="AL81" s="55">
        <f>IF(AN81=21,H81,0)</f>
        <v>0</v>
      </c>
      <c r="AN81" s="55">
        <v>12</v>
      </c>
      <c r="AO81" s="55">
        <f>G81*0.412044374</f>
        <v>0</v>
      </c>
      <c r="AP81" s="55">
        <f>G81*(1-0.412044374)</f>
        <v>0</v>
      </c>
      <c r="AQ81" s="57" t="s">
        <v>125</v>
      </c>
      <c r="AV81" s="55">
        <f>ROUND(AW81+AX81,2)</f>
        <v>0</v>
      </c>
      <c r="AW81" s="55">
        <f>ROUND(F81*AO81,2)</f>
        <v>0</v>
      </c>
      <c r="AX81" s="55">
        <f>ROUND(F81*AP81,2)</f>
        <v>0</v>
      </c>
      <c r="AY81" s="57" t="s">
        <v>189</v>
      </c>
      <c r="AZ81" s="57" t="s">
        <v>160</v>
      </c>
      <c r="BA81" s="36" t="s">
        <v>115</v>
      </c>
      <c r="BC81" s="55">
        <f>AW81+AX81</f>
        <v>0</v>
      </c>
      <c r="BD81" s="55">
        <f>G81/(100-BE81)*100</f>
        <v>0</v>
      </c>
      <c r="BE81" s="55">
        <v>0</v>
      </c>
      <c r="BF81" s="55">
        <f>81</f>
        <v>81</v>
      </c>
      <c r="BH81" s="55">
        <f>F81*AO81</f>
        <v>0</v>
      </c>
      <c r="BI81" s="55">
        <f>F81*AP81</f>
        <v>0</v>
      </c>
      <c r="BJ81" s="55">
        <f>F81*G81</f>
        <v>0</v>
      </c>
      <c r="BK81" s="55"/>
      <c r="BL81" s="55">
        <v>764</v>
      </c>
      <c r="BW81" s="55">
        <v>12</v>
      </c>
      <c r="BX81" s="3" t="s">
        <v>249</v>
      </c>
    </row>
    <row r="82" spans="1:76" ht="13.5" customHeight="1" x14ac:dyDescent="0.25">
      <c r="A82" s="58"/>
      <c r="B82" s="59" t="s">
        <v>116</v>
      </c>
      <c r="C82" s="157" t="s">
        <v>250</v>
      </c>
      <c r="D82" s="158"/>
      <c r="E82" s="158"/>
      <c r="F82" s="158"/>
      <c r="G82" s="159"/>
      <c r="H82" s="158"/>
      <c r="I82" s="158"/>
      <c r="J82" s="160"/>
    </row>
    <row r="83" spans="1:76" x14ac:dyDescent="0.25">
      <c r="A83" s="58"/>
      <c r="C83" s="60" t="s">
        <v>242</v>
      </c>
      <c r="D83" s="60" t="s">
        <v>4</v>
      </c>
      <c r="F83" s="61">
        <v>25</v>
      </c>
      <c r="J83" s="50"/>
    </row>
    <row r="84" spans="1:76" x14ac:dyDescent="0.25">
      <c r="A84" s="1" t="s">
        <v>251</v>
      </c>
      <c r="B84" s="2" t="s">
        <v>252</v>
      </c>
      <c r="C84" s="82" t="s">
        <v>253</v>
      </c>
      <c r="D84" s="79"/>
      <c r="E84" s="2" t="s">
        <v>179</v>
      </c>
      <c r="F84" s="55">
        <v>31</v>
      </c>
      <c r="G84" s="56">
        <v>0</v>
      </c>
      <c r="H84" s="55">
        <f>ROUND(F84*G84,2)</f>
        <v>0</v>
      </c>
      <c r="I84" s="57" t="s">
        <v>112</v>
      </c>
      <c r="J84" s="50"/>
      <c r="Z84" s="55">
        <f>ROUND(IF(AQ84="5",BJ84,0),2)</f>
        <v>0</v>
      </c>
      <c r="AB84" s="55">
        <f>ROUND(IF(AQ84="1",BH84,0),2)</f>
        <v>0</v>
      </c>
      <c r="AC84" s="55">
        <f>ROUND(IF(AQ84="1",BI84,0),2)</f>
        <v>0</v>
      </c>
      <c r="AD84" s="55">
        <f>ROUND(IF(AQ84="7",BH84,0),2)</f>
        <v>0</v>
      </c>
      <c r="AE84" s="55">
        <f>ROUND(IF(AQ84="7",BI84,0),2)</f>
        <v>0</v>
      </c>
      <c r="AF84" s="55">
        <f>ROUND(IF(AQ84="2",BH84,0),2)</f>
        <v>0</v>
      </c>
      <c r="AG84" s="55">
        <f>ROUND(IF(AQ84="2",BI84,0),2)</f>
        <v>0</v>
      </c>
      <c r="AH84" s="55">
        <f>ROUND(IF(AQ84="0",BJ84,0),2)</f>
        <v>0</v>
      </c>
      <c r="AI84" s="36" t="s">
        <v>4</v>
      </c>
      <c r="AJ84" s="55">
        <f>IF(AN84=0,H84,0)</f>
        <v>0</v>
      </c>
      <c r="AK84" s="55">
        <f>IF(AN84=12,H84,0)</f>
        <v>0</v>
      </c>
      <c r="AL84" s="55">
        <f>IF(AN84=21,H84,0)</f>
        <v>0</v>
      </c>
      <c r="AN84" s="55">
        <v>12</v>
      </c>
      <c r="AO84" s="55">
        <f>G84*0.496587838</f>
        <v>0</v>
      </c>
      <c r="AP84" s="55">
        <f>G84*(1-0.496587838)</f>
        <v>0</v>
      </c>
      <c r="AQ84" s="57" t="s">
        <v>125</v>
      </c>
      <c r="AV84" s="55">
        <f>ROUND(AW84+AX84,2)</f>
        <v>0</v>
      </c>
      <c r="AW84" s="55">
        <f>ROUND(F84*AO84,2)</f>
        <v>0</v>
      </c>
      <c r="AX84" s="55">
        <f>ROUND(F84*AP84,2)</f>
        <v>0</v>
      </c>
      <c r="AY84" s="57" t="s">
        <v>189</v>
      </c>
      <c r="AZ84" s="57" t="s">
        <v>160</v>
      </c>
      <c r="BA84" s="36" t="s">
        <v>115</v>
      </c>
      <c r="BC84" s="55">
        <f>AW84+AX84</f>
        <v>0</v>
      </c>
      <c r="BD84" s="55">
        <f>G84/(100-BE84)*100</f>
        <v>0</v>
      </c>
      <c r="BE84" s="55">
        <v>0</v>
      </c>
      <c r="BF84" s="55">
        <f>84</f>
        <v>84</v>
      </c>
      <c r="BH84" s="55">
        <f>F84*AO84</f>
        <v>0</v>
      </c>
      <c r="BI84" s="55">
        <f>F84*AP84</f>
        <v>0</v>
      </c>
      <c r="BJ84" s="55">
        <f>F84*G84</f>
        <v>0</v>
      </c>
      <c r="BK84" s="55"/>
      <c r="BL84" s="55">
        <v>764</v>
      </c>
      <c r="BW84" s="55">
        <v>12</v>
      </c>
      <c r="BX84" s="3" t="s">
        <v>253</v>
      </c>
    </row>
    <row r="85" spans="1:76" x14ac:dyDescent="0.25">
      <c r="A85" s="58"/>
      <c r="C85" s="60" t="s">
        <v>254</v>
      </c>
      <c r="D85" s="60" t="s">
        <v>255</v>
      </c>
      <c r="F85" s="61">
        <v>31</v>
      </c>
      <c r="J85" s="50"/>
    </row>
    <row r="86" spans="1:76" x14ac:dyDescent="0.25">
      <c r="A86" s="1" t="s">
        <v>256</v>
      </c>
      <c r="B86" s="2" t="s">
        <v>225</v>
      </c>
      <c r="C86" s="82" t="s">
        <v>226</v>
      </c>
      <c r="D86" s="79"/>
      <c r="E86" s="2" t="s">
        <v>179</v>
      </c>
      <c r="F86" s="55">
        <v>32.200000000000003</v>
      </c>
      <c r="G86" s="56">
        <v>0</v>
      </c>
      <c r="H86" s="55">
        <f>ROUND(F86*G86,2)</f>
        <v>0</v>
      </c>
      <c r="I86" s="57" t="s">
        <v>112</v>
      </c>
      <c r="J86" s="50"/>
      <c r="Z86" s="55">
        <f>ROUND(IF(AQ86="5",BJ86,0),2)</f>
        <v>0</v>
      </c>
      <c r="AB86" s="55">
        <f>ROUND(IF(AQ86="1",BH86,0),2)</f>
        <v>0</v>
      </c>
      <c r="AC86" s="55">
        <f>ROUND(IF(AQ86="1",BI86,0),2)</f>
        <v>0</v>
      </c>
      <c r="AD86" s="55">
        <f>ROUND(IF(AQ86="7",BH86,0),2)</f>
        <v>0</v>
      </c>
      <c r="AE86" s="55">
        <f>ROUND(IF(AQ86="7",BI86,0),2)</f>
        <v>0</v>
      </c>
      <c r="AF86" s="55">
        <f>ROUND(IF(AQ86="2",BH86,0),2)</f>
        <v>0</v>
      </c>
      <c r="AG86" s="55">
        <f>ROUND(IF(AQ86="2",BI86,0),2)</f>
        <v>0</v>
      </c>
      <c r="AH86" s="55">
        <f>ROUND(IF(AQ86="0",BJ86,0),2)</f>
        <v>0</v>
      </c>
      <c r="AI86" s="36" t="s">
        <v>4</v>
      </c>
      <c r="AJ86" s="55">
        <f>IF(AN86=0,H86,0)</f>
        <v>0</v>
      </c>
      <c r="AK86" s="55">
        <f>IF(AN86=12,H86,0)</f>
        <v>0</v>
      </c>
      <c r="AL86" s="55">
        <f>IF(AN86=21,H86,0)</f>
        <v>0</v>
      </c>
      <c r="AN86" s="55">
        <v>12</v>
      </c>
      <c r="AO86" s="55">
        <f>G86*0</f>
        <v>0</v>
      </c>
      <c r="AP86" s="55">
        <f>G86*(1-0)</f>
        <v>0</v>
      </c>
      <c r="AQ86" s="57" t="s">
        <v>125</v>
      </c>
      <c r="AV86" s="55">
        <f>ROUND(AW86+AX86,2)</f>
        <v>0</v>
      </c>
      <c r="AW86" s="55">
        <f>ROUND(F86*AO86,2)</f>
        <v>0</v>
      </c>
      <c r="AX86" s="55">
        <f>ROUND(F86*AP86,2)</f>
        <v>0</v>
      </c>
      <c r="AY86" s="57" t="s">
        <v>189</v>
      </c>
      <c r="AZ86" s="57" t="s">
        <v>160</v>
      </c>
      <c r="BA86" s="36" t="s">
        <v>115</v>
      </c>
      <c r="BC86" s="55">
        <f>AW86+AX86</f>
        <v>0</v>
      </c>
      <c r="BD86" s="55">
        <f>G86/(100-BE86)*100</f>
        <v>0</v>
      </c>
      <c r="BE86" s="55">
        <v>0</v>
      </c>
      <c r="BF86" s="55">
        <f>86</f>
        <v>86</v>
      </c>
      <c r="BH86" s="55">
        <f>F86*AO86</f>
        <v>0</v>
      </c>
      <c r="BI86" s="55">
        <f>F86*AP86</f>
        <v>0</v>
      </c>
      <c r="BJ86" s="55">
        <f>F86*G86</f>
        <v>0</v>
      </c>
      <c r="BK86" s="55"/>
      <c r="BL86" s="55">
        <v>764</v>
      </c>
      <c r="BW86" s="55">
        <v>12</v>
      </c>
      <c r="BX86" s="3" t="s">
        <v>226</v>
      </c>
    </row>
    <row r="87" spans="1:76" x14ac:dyDescent="0.25">
      <c r="A87" s="58"/>
      <c r="C87" s="60" t="s">
        <v>257</v>
      </c>
      <c r="D87" s="60" t="s">
        <v>258</v>
      </c>
      <c r="F87" s="61">
        <v>25.2</v>
      </c>
      <c r="J87" s="50"/>
    </row>
    <row r="88" spans="1:76" x14ac:dyDescent="0.25">
      <c r="A88" s="58"/>
      <c r="C88" s="60" t="s">
        <v>125</v>
      </c>
      <c r="D88" s="60" t="s">
        <v>259</v>
      </c>
      <c r="F88" s="61">
        <v>7</v>
      </c>
      <c r="J88" s="50"/>
    </row>
    <row r="89" spans="1:76" x14ac:dyDescent="0.25">
      <c r="A89" s="1" t="s">
        <v>260</v>
      </c>
      <c r="B89" s="2" t="s">
        <v>261</v>
      </c>
      <c r="C89" s="82" t="s">
        <v>262</v>
      </c>
      <c r="D89" s="79"/>
      <c r="E89" s="2" t="s">
        <v>124</v>
      </c>
      <c r="F89" s="55">
        <v>14</v>
      </c>
      <c r="G89" s="56">
        <v>0</v>
      </c>
      <c r="H89" s="55">
        <f>ROUND(F89*G89,2)</f>
        <v>0</v>
      </c>
      <c r="I89" s="57" t="s">
        <v>112</v>
      </c>
      <c r="J89" s="50"/>
      <c r="Z89" s="55">
        <f>ROUND(IF(AQ89="5",BJ89,0),2)</f>
        <v>0</v>
      </c>
      <c r="AB89" s="55">
        <f>ROUND(IF(AQ89="1",BH89,0),2)</f>
        <v>0</v>
      </c>
      <c r="AC89" s="55">
        <f>ROUND(IF(AQ89="1",BI89,0),2)</f>
        <v>0</v>
      </c>
      <c r="AD89" s="55">
        <f>ROUND(IF(AQ89="7",BH89,0),2)</f>
        <v>0</v>
      </c>
      <c r="AE89" s="55">
        <f>ROUND(IF(AQ89="7",BI89,0),2)</f>
        <v>0</v>
      </c>
      <c r="AF89" s="55">
        <f>ROUND(IF(AQ89="2",BH89,0),2)</f>
        <v>0</v>
      </c>
      <c r="AG89" s="55">
        <f>ROUND(IF(AQ89="2",BI89,0),2)</f>
        <v>0</v>
      </c>
      <c r="AH89" s="55">
        <f>ROUND(IF(AQ89="0",BJ89,0),2)</f>
        <v>0</v>
      </c>
      <c r="AI89" s="36" t="s">
        <v>4</v>
      </c>
      <c r="AJ89" s="55">
        <f>IF(AN89=0,H89,0)</f>
        <v>0</v>
      </c>
      <c r="AK89" s="55">
        <f>IF(AN89=12,H89,0)</f>
        <v>0</v>
      </c>
      <c r="AL89" s="55">
        <f>IF(AN89=21,H89,0)</f>
        <v>0</v>
      </c>
      <c r="AN89" s="55">
        <v>12</v>
      </c>
      <c r="AO89" s="55">
        <f>G89*0.255241644</f>
        <v>0</v>
      </c>
      <c r="AP89" s="55">
        <f>G89*(1-0.255241644)</f>
        <v>0</v>
      </c>
      <c r="AQ89" s="57" t="s">
        <v>125</v>
      </c>
      <c r="AV89" s="55">
        <f>ROUND(AW89+AX89,2)</f>
        <v>0</v>
      </c>
      <c r="AW89" s="55">
        <f>ROUND(F89*AO89,2)</f>
        <v>0</v>
      </c>
      <c r="AX89" s="55">
        <f>ROUND(F89*AP89,2)</f>
        <v>0</v>
      </c>
      <c r="AY89" s="57" t="s">
        <v>189</v>
      </c>
      <c r="AZ89" s="57" t="s">
        <v>160</v>
      </c>
      <c r="BA89" s="36" t="s">
        <v>115</v>
      </c>
      <c r="BC89" s="55">
        <f>AW89+AX89</f>
        <v>0</v>
      </c>
      <c r="BD89" s="55">
        <f>G89/(100-BE89)*100</f>
        <v>0</v>
      </c>
      <c r="BE89" s="55">
        <v>0</v>
      </c>
      <c r="BF89" s="55">
        <f>89</f>
        <v>89</v>
      </c>
      <c r="BH89" s="55">
        <f>F89*AO89</f>
        <v>0</v>
      </c>
      <c r="BI89" s="55">
        <f>F89*AP89</f>
        <v>0</v>
      </c>
      <c r="BJ89" s="55">
        <f>F89*G89</f>
        <v>0</v>
      </c>
      <c r="BK89" s="55"/>
      <c r="BL89" s="55">
        <v>764</v>
      </c>
      <c r="BW89" s="55">
        <v>12</v>
      </c>
      <c r="BX89" s="3" t="s">
        <v>262</v>
      </c>
    </row>
    <row r="90" spans="1:76" ht="13.5" customHeight="1" x14ac:dyDescent="0.25">
      <c r="A90" s="58"/>
      <c r="B90" s="59" t="s">
        <v>116</v>
      </c>
      <c r="C90" s="157" t="s">
        <v>263</v>
      </c>
      <c r="D90" s="158"/>
      <c r="E90" s="158"/>
      <c r="F90" s="158"/>
      <c r="G90" s="159"/>
      <c r="H90" s="158"/>
      <c r="I90" s="158"/>
      <c r="J90" s="160"/>
    </row>
    <row r="91" spans="1:76" x14ac:dyDescent="0.25">
      <c r="A91" s="58"/>
      <c r="C91" s="60" t="s">
        <v>145</v>
      </c>
      <c r="D91" s="60" t="s">
        <v>264</v>
      </c>
      <c r="F91" s="61">
        <v>14</v>
      </c>
      <c r="J91" s="50"/>
    </row>
    <row r="92" spans="1:76" x14ac:dyDescent="0.25">
      <c r="A92" s="1" t="s">
        <v>265</v>
      </c>
      <c r="B92" s="2" t="s">
        <v>266</v>
      </c>
      <c r="C92" s="82" t="s">
        <v>267</v>
      </c>
      <c r="D92" s="79"/>
      <c r="E92" s="2" t="s">
        <v>179</v>
      </c>
      <c r="F92" s="55">
        <v>11</v>
      </c>
      <c r="G92" s="56">
        <v>0</v>
      </c>
      <c r="H92" s="55">
        <f>ROUND(F92*G92,2)</f>
        <v>0</v>
      </c>
      <c r="I92" s="57" t="s">
        <v>112</v>
      </c>
      <c r="J92" s="50"/>
      <c r="Z92" s="55">
        <f>ROUND(IF(AQ92="5",BJ92,0),2)</f>
        <v>0</v>
      </c>
      <c r="AB92" s="55">
        <f>ROUND(IF(AQ92="1",BH92,0),2)</f>
        <v>0</v>
      </c>
      <c r="AC92" s="55">
        <f>ROUND(IF(AQ92="1",BI92,0),2)</f>
        <v>0</v>
      </c>
      <c r="AD92" s="55">
        <f>ROUND(IF(AQ92="7",BH92,0),2)</f>
        <v>0</v>
      </c>
      <c r="AE92" s="55">
        <f>ROUND(IF(AQ92="7",BI92,0),2)</f>
        <v>0</v>
      </c>
      <c r="AF92" s="55">
        <f>ROUND(IF(AQ92="2",BH92,0),2)</f>
        <v>0</v>
      </c>
      <c r="AG92" s="55">
        <f>ROUND(IF(AQ92="2",BI92,0),2)</f>
        <v>0</v>
      </c>
      <c r="AH92" s="55">
        <f>ROUND(IF(AQ92="0",BJ92,0),2)</f>
        <v>0</v>
      </c>
      <c r="AI92" s="36" t="s">
        <v>4</v>
      </c>
      <c r="AJ92" s="55">
        <f>IF(AN92=0,H92,0)</f>
        <v>0</v>
      </c>
      <c r="AK92" s="55">
        <f>IF(AN92=12,H92,0)</f>
        <v>0</v>
      </c>
      <c r="AL92" s="55">
        <f>IF(AN92=21,H92,0)</f>
        <v>0</v>
      </c>
      <c r="AN92" s="55">
        <v>12</v>
      </c>
      <c r="AO92" s="55">
        <f>G92*0.303714458</f>
        <v>0</v>
      </c>
      <c r="AP92" s="55">
        <f>G92*(1-0.303714458)</f>
        <v>0</v>
      </c>
      <c r="AQ92" s="57" t="s">
        <v>125</v>
      </c>
      <c r="AV92" s="55">
        <f>ROUND(AW92+AX92,2)</f>
        <v>0</v>
      </c>
      <c r="AW92" s="55">
        <f>ROUND(F92*AO92,2)</f>
        <v>0</v>
      </c>
      <c r="AX92" s="55">
        <f>ROUND(F92*AP92,2)</f>
        <v>0</v>
      </c>
      <c r="AY92" s="57" t="s">
        <v>189</v>
      </c>
      <c r="AZ92" s="57" t="s">
        <v>160</v>
      </c>
      <c r="BA92" s="36" t="s">
        <v>115</v>
      </c>
      <c r="BC92" s="55">
        <f>AW92+AX92</f>
        <v>0</v>
      </c>
      <c r="BD92" s="55">
        <f>G92/(100-BE92)*100</f>
        <v>0</v>
      </c>
      <c r="BE92" s="55">
        <v>0</v>
      </c>
      <c r="BF92" s="55">
        <f>92</f>
        <v>92</v>
      </c>
      <c r="BH92" s="55">
        <f>F92*AO92</f>
        <v>0</v>
      </c>
      <c r="BI92" s="55">
        <f>F92*AP92</f>
        <v>0</v>
      </c>
      <c r="BJ92" s="55">
        <f>F92*G92</f>
        <v>0</v>
      </c>
      <c r="BK92" s="55"/>
      <c r="BL92" s="55">
        <v>764</v>
      </c>
      <c r="BW92" s="55">
        <v>12</v>
      </c>
      <c r="BX92" s="3" t="s">
        <v>267</v>
      </c>
    </row>
    <row r="93" spans="1:76" ht="13.5" customHeight="1" x14ac:dyDescent="0.25">
      <c r="A93" s="58"/>
      <c r="B93" s="59" t="s">
        <v>116</v>
      </c>
      <c r="C93" s="157" t="s">
        <v>268</v>
      </c>
      <c r="D93" s="158"/>
      <c r="E93" s="158"/>
      <c r="F93" s="158"/>
      <c r="G93" s="159"/>
      <c r="H93" s="158"/>
      <c r="I93" s="158"/>
      <c r="J93" s="160"/>
    </row>
    <row r="94" spans="1:76" x14ac:dyDescent="0.25">
      <c r="A94" s="58"/>
      <c r="C94" s="60" t="s">
        <v>172</v>
      </c>
      <c r="D94" s="60" t="s">
        <v>4</v>
      </c>
      <c r="F94" s="61">
        <v>11</v>
      </c>
      <c r="J94" s="50"/>
    </row>
    <row r="95" spans="1:76" ht="25.5" x14ac:dyDescent="0.25">
      <c r="A95" s="1" t="s">
        <v>254</v>
      </c>
      <c r="B95" s="2" t="s">
        <v>269</v>
      </c>
      <c r="C95" s="82" t="s">
        <v>270</v>
      </c>
      <c r="D95" s="79"/>
      <c r="E95" s="2" t="s">
        <v>179</v>
      </c>
      <c r="F95" s="55">
        <v>25</v>
      </c>
      <c r="G95" s="56">
        <v>0</v>
      </c>
      <c r="H95" s="55">
        <f>ROUND(F95*G95,2)</f>
        <v>0</v>
      </c>
      <c r="I95" s="57" t="s">
        <v>112</v>
      </c>
      <c r="J95" s="50"/>
      <c r="Z95" s="55">
        <f>ROUND(IF(AQ95="5",BJ95,0),2)</f>
        <v>0</v>
      </c>
      <c r="AB95" s="55">
        <f>ROUND(IF(AQ95="1",BH95,0),2)</f>
        <v>0</v>
      </c>
      <c r="AC95" s="55">
        <f>ROUND(IF(AQ95="1",BI95,0),2)</f>
        <v>0</v>
      </c>
      <c r="AD95" s="55">
        <f>ROUND(IF(AQ95="7",BH95,0),2)</f>
        <v>0</v>
      </c>
      <c r="AE95" s="55">
        <f>ROUND(IF(AQ95="7",BI95,0),2)</f>
        <v>0</v>
      </c>
      <c r="AF95" s="55">
        <f>ROUND(IF(AQ95="2",BH95,0),2)</f>
        <v>0</v>
      </c>
      <c r="AG95" s="55">
        <f>ROUND(IF(AQ95="2",BI95,0),2)</f>
        <v>0</v>
      </c>
      <c r="AH95" s="55">
        <f>ROUND(IF(AQ95="0",BJ95,0),2)</f>
        <v>0</v>
      </c>
      <c r="AI95" s="36" t="s">
        <v>4</v>
      </c>
      <c r="AJ95" s="55">
        <f>IF(AN95=0,H95,0)</f>
        <v>0</v>
      </c>
      <c r="AK95" s="55">
        <f>IF(AN95=12,H95,0)</f>
        <v>0</v>
      </c>
      <c r="AL95" s="55">
        <f>IF(AN95=21,H95,0)</f>
        <v>0</v>
      </c>
      <c r="AN95" s="55">
        <v>12</v>
      </c>
      <c r="AO95" s="55">
        <f>G95*0.283603292</f>
        <v>0</v>
      </c>
      <c r="AP95" s="55">
        <f>G95*(1-0.283603292)</f>
        <v>0</v>
      </c>
      <c r="AQ95" s="57" t="s">
        <v>125</v>
      </c>
      <c r="AV95" s="55">
        <f>ROUND(AW95+AX95,2)</f>
        <v>0</v>
      </c>
      <c r="AW95" s="55">
        <f>ROUND(F95*AO95,2)</f>
        <v>0</v>
      </c>
      <c r="AX95" s="55">
        <f>ROUND(F95*AP95,2)</f>
        <v>0</v>
      </c>
      <c r="AY95" s="57" t="s">
        <v>189</v>
      </c>
      <c r="AZ95" s="57" t="s">
        <v>160</v>
      </c>
      <c r="BA95" s="36" t="s">
        <v>115</v>
      </c>
      <c r="BC95" s="55">
        <f>AW95+AX95</f>
        <v>0</v>
      </c>
      <c r="BD95" s="55">
        <f>G95/(100-BE95)*100</f>
        <v>0</v>
      </c>
      <c r="BE95" s="55">
        <v>0</v>
      </c>
      <c r="BF95" s="55">
        <f>95</f>
        <v>95</v>
      </c>
      <c r="BH95" s="55">
        <f>F95*AO95</f>
        <v>0</v>
      </c>
      <c r="BI95" s="55">
        <f>F95*AP95</f>
        <v>0</v>
      </c>
      <c r="BJ95" s="55">
        <f>F95*G95</f>
        <v>0</v>
      </c>
      <c r="BK95" s="55"/>
      <c r="BL95" s="55">
        <v>764</v>
      </c>
      <c r="BW95" s="55">
        <v>12</v>
      </c>
      <c r="BX95" s="3" t="s">
        <v>270</v>
      </c>
    </row>
    <row r="96" spans="1:76" ht="13.5" customHeight="1" x14ac:dyDescent="0.25">
      <c r="A96" s="58"/>
      <c r="B96" s="59" t="s">
        <v>116</v>
      </c>
      <c r="C96" s="157" t="s">
        <v>271</v>
      </c>
      <c r="D96" s="158"/>
      <c r="E96" s="158"/>
      <c r="F96" s="158"/>
      <c r="G96" s="159"/>
      <c r="H96" s="158"/>
      <c r="I96" s="158"/>
      <c r="J96" s="160"/>
    </row>
    <row r="97" spans="1:76" x14ac:dyDescent="0.25">
      <c r="A97" s="58"/>
      <c r="C97" s="60" t="s">
        <v>242</v>
      </c>
      <c r="D97" s="60" t="s">
        <v>4</v>
      </c>
      <c r="F97" s="61">
        <v>25</v>
      </c>
      <c r="J97" s="50"/>
    </row>
    <row r="98" spans="1:76" x14ac:dyDescent="0.25">
      <c r="A98" s="1" t="s">
        <v>272</v>
      </c>
      <c r="B98" s="2" t="s">
        <v>273</v>
      </c>
      <c r="C98" s="82" t="s">
        <v>274</v>
      </c>
      <c r="D98" s="79"/>
      <c r="E98" s="2" t="s">
        <v>179</v>
      </c>
      <c r="F98" s="55">
        <v>24.8</v>
      </c>
      <c r="G98" s="56">
        <v>0</v>
      </c>
      <c r="H98" s="55">
        <f>ROUND(F98*G98,2)</f>
        <v>0</v>
      </c>
      <c r="I98" s="57" t="s">
        <v>112</v>
      </c>
      <c r="J98" s="50"/>
      <c r="Z98" s="55">
        <f>ROUND(IF(AQ98="5",BJ98,0),2)</f>
        <v>0</v>
      </c>
      <c r="AB98" s="55">
        <f>ROUND(IF(AQ98="1",BH98,0),2)</f>
        <v>0</v>
      </c>
      <c r="AC98" s="55">
        <f>ROUND(IF(AQ98="1",BI98,0),2)</f>
        <v>0</v>
      </c>
      <c r="AD98" s="55">
        <f>ROUND(IF(AQ98="7",BH98,0),2)</f>
        <v>0</v>
      </c>
      <c r="AE98" s="55">
        <f>ROUND(IF(AQ98="7",BI98,0),2)</f>
        <v>0</v>
      </c>
      <c r="AF98" s="55">
        <f>ROUND(IF(AQ98="2",BH98,0),2)</f>
        <v>0</v>
      </c>
      <c r="AG98" s="55">
        <f>ROUND(IF(AQ98="2",BI98,0),2)</f>
        <v>0</v>
      </c>
      <c r="AH98" s="55">
        <f>ROUND(IF(AQ98="0",BJ98,0),2)</f>
        <v>0</v>
      </c>
      <c r="AI98" s="36" t="s">
        <v>4</v>
      </c>
      <c r="AJ98" s="55">
        <f>IF(AN98=0,H98,0)</f>
        <v>0</v>
      </c>
      <c r="AK98" s="55">
        <f>IF(AN98=12,H98,0)</f>
        <v>0</v>
      </c>
      <c r="AL98" s="55">
        <f>IF(AN98=21,H98,0)</f>
        <v>0</v>
      </c>
      <c r="AN98" s="55">
        <v>12</v>
      </c>
      <c r="AO98" s="55">
        <f>G98*0.60943687</f>
        <v>0</v>
      </c>
      <c r="AP98" s="55">
        <f>G98*(1-0.60943687)</f>
        <v>0</v>
      </c>
      <c r="AQ98" s="57" t="s">
        <v>125</v>
      </c>
      <c r="AV98" s="55">
        <f>ROUND(AW98+AX98,2)</f>
        <v>0</v>
      </c>
      <c r="AW98" s="55">
        <f>ROUND(F98*AO98,2)</f>
        <v>0</v>
      </c>
      <c r="AX98" s="55">
        <f>ROUND(F98*AP98,2)</f>
        <v>0</v>
      </c>
      <c r="AY98" s="57" t="s">
        <v>189</v>
      </c>
      <c r="AZ98" s="57" t="s">
        <v>160</v>
      </c>
      <c r="BA98" s="36" t="s">
        <v>115</v>
      </c>
      <c r="BC98" s="55">
        <f>AW98+AX98</f>
        <v>0</v>
      </c>
      <c r="BD98" s="55">
        <f>G98/(100-BE98)*100</f>
        <v>0</v>
      </c>
      <c r="BE98" s="55">
        <v>0</v>
      </c>
      <c r="BF98" s="55">
        <f>98</f>
        <v>98</v>
      </c>
      <c r="BH98" s="55">
        <f>F98*AO98</f>
        <v>0</v>
      </c>
      <c r="BI98" s="55">
        <f>F98*AP98</f>
        <v>0</v>
      </c>
      <c r="BJ98" s="55">
        <f>F98*G98</f>
        <v>0</v>
      </c>
      <c r="BK98" s="55"/>
      <c r="BL98" s="55">
        <v>764</v>
      </c>
      <c r="BW98" s="55">
        <v>12</v>
      </c>
      <c r="BX98" s="3" t="s">
        <v>274</v>
      </c>
    </row>
    <row r="99" spans="1:76" ht="13.5" customHeight="1" x14ac:dyDescent="0.25">
      <c r="A99" s="58"/>
      <c r="B99" s="59" t="s">
        <v>116</v>
      </c>
      <c r="C99" s="157" t="s">
        <v>275</v>
      </c>
      <c r="D99" s="158"/>
      <c r="E99" s="158"/>
      <c r="F99" s="158"/>
      <c r="G99" s="159"/>
      <c r="H99" s="158"/>
      <c r="I99" s="158"/>
      <c r="J99" s="160"/>
    </row>
    <row r="100" spans="1:76" x14ac:dyDescent="0.25">
      <c r="A100" s="58"/>
      <c r="C100" s="60" t="s">
        <v>276</v>
      </c>
      <c r="D100" s="60" t="s">
        <v>4</v>
      </c>
      <c r="F100" s="61">
        <v>24.8</v>
      </c>
      <c r="J100" s="50"/>
    </row>
    <row r="101" spans="1:76" x14ac:dyDescent="0.25">
      <c r="A101" s="1" t="s">
        <v>277</v>
      </c>
      <c r="B101" s="2" t="s">
        <v>278</v>
      </c>
      <c r="C101" s="82" t="s">
        <v>279</v>
      </c>
      <c r="D101" s="79"/>
      <c r="E101" s="2" t="s">
        <v>280</v>
      </c>
      <c r="F101" s="55">
        <v>1</v>
      </c>
      <c r="G101" s="56">
        <v>0</v>
      </c>
      <c r="H101" s="55">
        <f>ROUND(F101*G101,2)</f>
        <v>0</v>
      </c>
      <c r="I101" s="57" t="s">
        <v>144</v>
      </c>
      <c r="J101" s="50"/>
      <c r="Z101" s="55">
        <f>ROUND(IF(AQ101="5",BJ101,0),2)</f>
        <v>0</v>
      </c>
      <c r="AB101" s="55">
        <f>ROUND(IF(AQ101="1",BH101,0),2)</f>
        <v>0</v>
      </c>
      <c r="AC101" s="55">
        <f>ROUND(IF(AQ101="1",BI101,0),2)</f>
        <v>0</v>
      </c>
      <c r="AD101" s="55">
        <f>ROUND(IF(AQ101="7",BH101,0),2)</f>
        <v>0</v>
      </c>
      <c r="AE101" s="55">
        <f>ROUND(IF(AQ101="7",BI101,0),2)</f>
        <v>0</v>
      </c>
      <c r="AF101" s="55">
        <f>ROUND(IF(AQ101="2",BH101,0),2)</f>
        <v>0</v>
      </c>
      <c r="AG101" s="55">
        <f>ROUND(IF(AQ101="2",BI101,0),2)</f>
        <v>0</v>
      </c>
      <c r="AH101" s="55">
        <f>ROUND(IF(AQ101="0",BJ101,0),2)</f>
        <v>0</v>
      </c>
      <c r="AI101" s="36" t="s">
        <v>4</v>
      </c>
      <c r="AJ101" s="55">
        <f>IF(AN101=0,H101,0)</f>
        <v>0</v>
      </c>
      <c r="AK101" s="55">
        <f>IF(AN101=12,H101,0)</f>
        <v>0</v>
      </c>
      <c r="AL101" s="55">
        <f>IF(AN101=21,H101,0)</f>
        <v>0</v>
      </c>
      <c r="AN101" s="55">
        <v>12</v>
      </c>
      <c r="AO101" s="55">
        <f>G101*1</f>
        <v>0</v>
      </c>
      <c r="AP101" s="55">
        <f>G101*(1-1)</f>
        <v>0</v>
      </c>
      <c r="AQ101" s="57" t="s">
        <v>125</v>
      </c>
      <c r="AV101" s="55">
        <f>ROUND(AW101+AX101,2)</f>
        <v>0</v>
      </c>
      <c r="AW101" s="55">
        <f>ROUND(F101*AO101,2)</f>
        <v>0</v>
      </c>
      <c r="AX101" s="55">
        <f>ROUND(F101*AP101,2)</f>
        <v>0</v>
      </c>
      <c r="AY101" s="57" t="s">
        <v>189</v>
      </c>
      <c r="AZ101" s="57" t="s">
        <v>160</v>
      </c>
      <c r="BA101" s="36" t="s">
        <v>115</v>
      </c>
      <c r="BC101" s="55">
        <f>AW101+AX101</f>
        <v>0</v>
      </c>
      <c r="BD101" s="55">
        <f>G101/(100-BE101)*100</f>
        <v>0</v>
      </c>
      <c r="BE101" s="55">
        <v>0</v>
      </c>
      <c r="BF101" s="55">
        <f>101</f>
        <v>101</v>
      </c>
      <c r="BH101" s="55">
        <f>F101*AO101</f>
        <v>0</v>
      </c>
      <c r="BI101" s="55">
        <f>F101*AP101</f>
        <v>0</v>
      </c>
      <c r="BJ101" s="55">
        <f>F101*G101</f>
        <v>0</v>
      </c>
      <c r="BK101" s="55"/>
      <c r="BL101" s="55">
        <v>764</v>
      </c>
      <c r="BW101" s="55">
        <v>12</v>
      </c>
      <c r="BX101" s="3" t="s">
        <v>279</v>
      </c>
    </row>
    <row r="102" spans="1:76" ht="13.5" customHeight="1" x14ac:dyDescent="0.25">
      <c r="A102" s="58"/>
      <c r="B102" s="59" t="s">
        <v>116</v>
      </c>
      <c r="C102" s="157" t="s">
        <v>281</v>
      </c>
      <c r="D102" s="158"/>
      <c r="E102" s="158"/>
      <c r="F102" s="158"/>
      <c r="G102" s="159"/>
      <c r="H102" s="158"/>
      <c r="I102" s="158"/>
      <c r="J102" s="160"/>
    </row>
    <row r="103" spans="1:76" x14ac:dyDescent="0.25">
      <c r="A103" s="58"/>
      <c r="C103" s="60" t="s">
        <v>108</v>
      </c>
      <c r="D103" s="60" t="s">
        <v>4</v>
      </c>
      <c r="F103" s="61">
        <v>1</v>
      </c>
      <c r="J103" s="50"/>
    </row>
    <row r="104" spans="1:76" x14ac:dyDescent="0.25">
      <c r="A104" s="1" t="s">
        <v>282</v>
      </c>
      <c r="B104" s="2" t="s">
        <v>283</v>
      </c>
      <c r="C104" s="82" t="s">
        <v>284</v>
      </c>
      <c r="D104" s="79"/>
      <c r="E104" s="2" t="s">
        <v>152</v>
      </c>
      <c r="F104" s="55">
        <v>1</v>
      </c>
      <c r="G104" s="56">
        <v>0</v>
      </c>
      <c r="H104" s="55">
        <f>ROUND(F104*G104,2)</f>
        <v>0</v>
      </c>
      <c r="I104" s="57" t="s">
        <v>144</v>
      </c>
      <c r="J104" s="50"/>
      <c r="Z104" s="55">
        <f>ROUND(IF(AQ104="5",BJ104,0),2)</f>
        <v>0</v>
      </c>
      <c r="AB104" s="55">
        <f>ROUND(IF(AQ104="1",BH104,0),2)</f>
        <v>0</v>
      </c>
      <c r="AC104" s="55">
        <f>ROUND(IF(AQ104="1",BI104,0),2)</f>
        <v>0</v>
      </c>
      <c r="AD104" s="55">
        <f>ROUND(IF(AQ104="7",BH104,0),2)</f>
        <v>0</v>
      </c>
      <c r="AE104" s="55">
        <f>ROUND(IF(AQ104="7",BI104,0),2)</f>
        <v>0</v>
      </c>
      <c r="AF104" s="55">
        <f>ROUND(IF(AQ104="2",BH104,0),2)</f>
        <v>0</v>
      </c>
      <c r="AG104" s="55">
        <f>ROUND(IF(AQ104="2",BI104,0),2)</f>
        <v>0</v>
      </c>
      <c r="AH104" s="55">
        <f>ROUND(IF(AQ104="0",BJ104,0),2)</f>
        <v>0</v>
      </c>
      <c r="AI104" s="36" t="s">
        <v>4</v>
      </c>
      <c r="AJ104" s="55">
        <f>IF(AN104=0,H104,0)</f>
        <v>0</v>
      </c>
      <c r="AK104" s="55">
        <f>IF(AN104=12,H104,0)</f>
        <v>0</v>
      </c>
      <c r="AL104" s="55">
        <f>IF(AN104=21,H104,0)</f>
        <v>0</v>
      </c>
      <c r="AN104" s="55">
        <v>12</v>
      </c>
      <c r="AO104" s="55">
        <f>G104*0.943437168</f>
        <v>0</v>
      </c>
      <c r="AP104" s="55">
        <f>G104*(1-0.943437168)</f>
        <v>0</v>
      </c>
      <c r="AQ104" s="57" t="s">
        <v>125</v>
      </c>
      <c r="AV104" s="55">
        <f>ROUND(AW104+AX104,2)</f>
        <v>0</v>
      </c>
      <c r="AW104" s="55">
        <f>ROUND(F104*AO104,2)</f>
        <v>0</v>
      </c>
      <c r="AX104" s="55">
        <f>ROUND(F104*AP104,2)</f>
        <v>0</v>
      </c>
      <c r="AY104" s="57" t="s">
        <v>189</v>
      </c>
      <c r="AZ104" s="57" t="s">
        <v>160</v>
      </c>
      <c r="BA104" s="36" t="s">
        <v>115</v>
      </c>
      <c r="BC104" s="55">
        <f>AW104+AX104</f>
        <v>0</v>
      </c>
      <c r="BD104" s="55">
        <f>G104/(100-BE104)*100</f>
        <v>0</v>
      </c>
      <c r="BE104" s="55">
        <v>0</v>
      </c>
      <c r="BF104" s="55">
        <f>104</f>
        <v>104</v>
      </c>
      <c r="BH104" s="55">
        <f>F104*AO104</f>
        <v>0</v>
      </c>
      <c r="BI104" s="55">
        <f>F104*AP104</f>
        <v>0</v>
      </c>
      <c r="BJ104" s="55">
        <f>F104*G104</f>
        <v>0</v>
      </c>
      <c r="BK104" s="55"/>
      <c r="BL104" s="55">
        <v>764</v>
      </c>
      <c r="BW104" s="55">
        <v>12</v>
      </c>
      <c r="BX104" s="3" t="s">
        <v>284</v>
      </c>
    </row>
    <row r="105" spans="1:76" x14ac:dyDescent="0.25">
      <c r="A105" s="58"/>
      <c r="C105" s="60" t="s">
        <v>108</v>
      </c>
      <c r="D105" s="60" t="s">
        <v>4</v>
      </c>
      <c r="F105" s="61">
        <v>1</v>
      </c>
      <c r="J105" s="50"/>
    </row>
    <row r="106" spans="1:76" x14ac:dyDescent="0.25">
      <c r="A106" s="1" t="s">
        <v>285</v>
      </c>
      <c r="B106" s="2" t="s">
        <v>286</v>
      </c>
      <c r="C106" s="82" t="s">
        <v>287</v>
      </c>
      <c r="D106" s="79"/>
      <c r="E106" s="2" t="s">
        <v>149</v>
      </c>
      <c r="F106" s="55">
        <v>2.2037499999999999</v>
      </c>
      <c r="G106" s="56">
        <v>0</v>
      </c>
      <c r="H106" s="55">
        <f>ROUND(F106*G106,2)</f>
        <v>0</v>
      </c>
      <c r="I106" s="57" t="s">
        <v>112</v>
      </c>
      <c r="J106" s="50"/>
      <c r="Z106" s="55">
        <f>ROUND(IF(AQ106="5",BJ106,0),2)</f>
        <v>0</v>
      </c>
      <c r="AB106" s="55">
        <f>ROUND(IF(AQ106="1",BH106,0),2)</f>
        <v>0</v>
      </c>
      <c r="AC106" s="55">
        <f>ROUND(IF(AQ106="1",BI106,0),2)</f>
        <v>0</v>
      </c>
      <c r="AD106" s="55">
        <f>ROUND(IF(AQ106="7",BH106,0),2)</f>
        <v>0</v>
      </c>
      <c r="AE106" s="55">
        <f>ROUND(IF(AQ106="7",BI106,0),2)</f>
        <v>0</v>
      </c>
      <c r="AF106" s="55">
        <f>ROUND(IF(AQ106="2",BH106,0),2)</f>
        <v>0</v>
      </c>
      <c r="AG106" s="55">
        <f>ROUND(IF(AQ106="2",BI106,0),2)</f>
        <v>0</v>
      </c>
      <c r="AH106" s="55">
        <f>ROUND(IF(AQ106="0",BJ106,0),2)</f>
        <v>0</v>
      </c>
      <c r="AI106" s="36" t="s">
        <v>4</v>
      </c>
      <c r="AJ106" s="55">
        <f>IF(AN106=0,H106,0)</f>
        <v>0</v>
      </c>
      <c r="AK106" s="55">
        <f>IF(AN106=12,H106,0)</f>
        <v>0</v>
      </c>
      <c r="AL106" s="55">
        <f>IF(AN106=21,H106,0)</f>
        <v>0</v>
      </c>
      <c r="AN106" s="55">
        <v>12</v>
      </c>
      <c r="AO106" s="55">
        <f>G106*0</f>
        <v>0</v>
      </c>
      <c r="AP106" s="55">
        <f>G106*(1-0)</f>
        <v>0</v>
      </c>
      <c r="AQ106" s="57" t="s">
        <v>141</v>
      </c>
      <c r="AV106" s="55">
        <f>ROUND(AW106+AX106,2)</f>
        <v>0</v>
      </c>
      <c r="AW106" s="55">
        <f>ROUND(F106*AO106,2)</f>
        <v>0</v>
      </c>
      <c r="AX106" s="55">
        <f>ROUND(F106*AP106,2)</f>
        <v>0</v>
      </c>
      <c r="AY106" s="57" t="s">
        <v>189</v>
      </c>
      <c r="AZ106" s="57" t="s">
        <v>160</v>
      </c>
      <c r="BA106" s="36" t="s">
        <v>115</v>
      </c>
      <c r="BC106" s="55">
        <f>AW106+AX106</f>
        <v>0</v>
      </c>
      <c r="BD106" s="55">
        <f>G106/(100-BE106)*100</f>
        <v>0</v>
      </c>
      <c r="BE106" s="55">
        <v>0</v>
      </c>
      <c r="BF106" s="55">
        <f>106</f>
        <v>106</v>
      </c>
      <c r="BH106" s="55">
        <f>F106*AO106</f>
        <v>0</v>
      </c>
      <c r="BI106" s="55">
        <f>F106*AP106</f>
        <v>0</v>
      </c>
      <c r="BJ106" s="55">
        <f>F106*G106</f>
        <v>0</v>
      </c>
      <c r="BK106" s="55"/>
      <c r="BL106" s="55">
        <v>764</v>
      </c>
      <c r="BW106" s="55">
        <v>12</v>
      </c>
      <c r="BX106" s="3" t="s">
        <v>287</v>
      </c>
    </row>
    <row r="107" spans="1:76" x14ac:dyDescent="0.25">
      <c r="A107" s="1" t="s">
        <v>288</v>
      </c>
      <c r="B107" s="2" t="s">
        <v>289</v>
      </c>
      <c r="C107" s="82" t="s">
        <v>290</v>
      </c>
      <c r="D107" s="79"/>
      <c r="E107" s="2" t="s">
        <v>152</v>
      </c>
      <c r="F107" s="55">
        <v>1</v>
      </c>
      <c r="G107" s="56">
        <v>0</v>
      </c>
      <c r="H107" s="55">
        <f>ROUND(F107*G107,2)</f>
        <v>0</v>
      </c>
      <c r="I107" s="57" t="s">
        <v>144</v>
      </c>
      <c r="J107" s="50"/>
      <c r="Z107" s="55">
        <f>ROUND(IF(AQ107="5",BJ107,0),2)</f>
        <v>0</v>
      </c>
      <c r="AB107" s="55">
        <f>ROUND(IF(AQ107="1",BH107,0),2)</f>
        <v>0</v>
      </c>
      <c r="AC107" s="55">
        <f>ROUND(IF(AQ107="1",BI107,0),2)</f>
        <v>0</v>
      </c>
      <c r="AD107" s="55">
        <f>ROUND(IF(AQ107="7",BH107,0),2)</f>
        <v>0</v>
      </c>
      <c r="AE107" s="55">
        <f>ROUND(IF(AQ107="7",BI107,0),2)</f>
        <v>0</v>
      </c>
      <c r="AF107" s="55">
        <f>ROUND(IF(AQ107="2",BH107,0),2)</f>
        <v>0</v>
      </c>
      <c r="AG107" s="55">
        <f>ROUND(IF(AQ107="2",BI107,0),2)</f>
        <v>0</v>
      </c>
      <c r="AH107" s="55">
        <f>ROUND(IF(AQ107="0",BJ107,0),2)</f>
        <v>0</v>
      </c>
      <c r="AI107" s="36" t="s">
        <v>4</v>
      </c>
      <c r="AJ107" s="55">
        <f>IF(AN107=0,H107,0)</f>
        <v>0</v>
      </c>
      <c r="AK107" s="55">
        <f>IF(AN107=12,H107,0)</f>
        <v>0</v>
      </c>
      <c r="AL107" s="55">
        <f>IF(AN107=21,H107,0)</f>
        <v>0</v>
      </c>
      <c r="AN107" s="55">
        <v>12</v>
      </c>
      <c r="AO107" s="55">
        <f>G107*1</f>
        <v>0</v>
      </c>
      <c r="AP107" s="55">
        <f>G107*(1-1)</f>
        <v>0</v>
      </c>
      <c r="AQ107" s="57" t="s">
        <v>125</v>
      </c>
      <c r="AV107" s="55">
        <f>ROUND(AW107+AX107,2)</f>
        <v>0</v>
      </c>
      <c r="AW107" s="55">
        <f>ROUND(F107*AO107,2)</f>
        <v>0</v>
      </c>
      <c r="AX107" s="55">
        <f>ROUND(F107*AP107,2)</f>
        <v>0</v>
      </c>
      <c r="AY107" s="57" t="s">
        <v>189</v>
      </c>
      <c r="AZ107" s="57" t="s">
        <v>160</v>
      </c>
      <c r="BA107" s="36" t="s">
        <v>115</v>
      </c>
      <c r="BC107" s="55">
        <f>AW107+AX107</f>
        <v>0</v>
      </c>
      <c r="BD107" s="55">
        <f>G107/(100-BE107)*100</f>
        <v>0</v>
      </c>
      <c r="BE107" s="55">
        <v>0</v>
      </c>
      <c r="BF107" s="55">
        <f>107</f>
        <v>107</v>
      </c>
      <c r="BH107" s="55">
        <f>F107*AO107</f>
        <v>0</v>
      </c>
      <c r="BI107" s="55">
        <f>F107*AP107</f>
        <v>0</v>
      </c>
      <c r="BJ107" s="55">
        <f>F107*G107</f>
        <v>0</v>
      </c>
      <c r="BK107" s="55"/>
      <c r="BL107" s="55">
        <v>764</v>
      </c>
      <c r="BW107" s="55">
        <v>12</v>
      </c>
      <c r="BX107" s="3" t="s">
        <v>290</v>
      </c>
    </row>
    <row r="108" spans="1:76" x14ac:dyDescent="0.25">
      <c r="A108" s="58"/>
      <c r="C108" s="60" t="s">
        <v>108</v>
      </c>
      <c r="D108" s="60" t="s">
        <v>4</v>
      </c>
      <c r="F108" s="61">
        <v>1</v>
      </c>
      <c r="J108" s="50"/>
    </row>
    <row r="109" spans="1:76" x14ac:dyDescent="0.25">
      <c r="A109" s="51" t="s">
        <v>4</v>
      </c>
      <c r="B109" s="52" t="s">
        <v>291</v>
      </c>
      <c r="C109" s="155" t="s">
        <v>292</v>
      </c>
      <c r="D109" s="156"/>
      <c r="E109" s="53" t="s">
        <v>73</v>
      </c>
      <c r="F109" s="53" t="s">
        <v>73</v>
      </c>
      <c r="G109" s="54" t="s">
        <v>73</v>
      </c>
      <c r="H109" s="28">
        <f>SUM(H110:H126)</f>
        <v>0</v>
      </c>
      <c r="I109" s="36" t="s">
        <v>4</v>
      </c>
      <c r="J109" s="50"/>
      <c r="AI109" s="36" t="s">
        <v>4</v>
      </c>
      <c r="AS109" s="28">
        <f>SUM(AJ110:AJ126)</f>
        <v>0</v>
      </c>
      <c r="AT109" s="28">
        <f>SUM(AK110:AK126)</f>
        <v>0</v>
      </c>
      <c r="AU109" s="28">
        <f>SUM(AL110:AL126)</f>
        <v>0</v>
      </c>
    </row>
    <row r="110" spans="1:76" x14ac:dyDescent="0.25">
      <c r="A110" s="1" t="s">
        <v>293</v>
      </c>
      <c r="B110" s="2" t="s">
        <v>294</v>
      </c>
      <c r="C110" s="82" t="s">
        <v>295</v>
      </c>
      <c r="D110" s="79"/>
      <c r="E110" s="2" t="s">
        <v>124</v>
      </c>
      <c r="F110" s="55">
        <v>119</v>
      </c>
      <c r="G110" s="56">
        <v>0</v>
      </c>
      <c r="H110" s="55">
        <f>ROUND(F110*G110,2)</f>
        <v>0</v>
      </c>
      <c r="I110" s="57" t="s">
        <v>112</v>
      </c>
      <c r="J110" s="50"/>
      <c r="Z110" s="55">
        <f>ROUND(IF(AQ110="5",BJ110,0),2)</f>
        <v>0</v>
      </c>
      <c r="AB110" s="55">
        <f>ROUND(IF(AQ110="1",BH110,0),2)</f>
        <v>0</v>
      </c>
      <c r="AC110" s="55">
        <f>ROUND(IF(AQ110="1",BI110,0),2)</f>
        <v>0</v>
      </c>
      <c r="AD110" s="55">
        <f>ROUND(IF(AQ110="7",BH110,0),2)</f>
        <v>0</v>
      </c>
      <c r="AE110" s="55">
        <f>ROUND(IF(AQ110="7",BI110,0),2)</f>
        <v>0</v>
      </c>
      <c r="AF110" s="55">
        <f>ROUND(IF(AQ110="2",BH110,0),2)</f>
        <v>0</v>
      </c>
      <c r="AG110" s="55">
        <f>ROUND(IF(AQ110="2",BI110,0),2)</f>
        <v>0</v>
      </c>
      <c r="AH110" s="55">
        <f>ROUND(IF(AQ110="0",BJ110,0),2)</f>
        <v>0</v>
      </c>
      <c r="AI110" s="36" t="s">
        <v>4</v>
      </c>
      <c r="AJ110" s="55">
        <f>IF(AN110=0,H110,0)</f>
        <v>0</v>
      </c>
      <c r="AK110" s="55">
        <f>IF(AN110=12,H110,0)</f>
        <v>0</v>
      </c>
      <c r="AL110" s="55">
        <f>IF(AN110=21,H110,0)</f>
        <v>0</v>
      </c>
      <c r="AN110" s="55">
        <v>12</v>
      </c>
      <c r="AO110" s="55">
        <f>G110*0.780111266</f>
        <v>0</v>
      </c>
      <c r="AP110" s="55">
        <f>G110*(1-0.780111266)</f>
        <v>0</v>
      </c>
      <c r="AQ110" s="57" t="s">
        <v>125</v>
      </c>
      <c r="AV110" s="55">
        <f>ROUND(AW110+AX110,2)</f>
        <v>0</v>
      </c>
      <c r="AW110" s="55">
        <f>ROUND(F110*AO110,2)</f>
        <v>0</v>
      </c>
      <c r="AX110" s="55">
        <f>ROUND(F110*AP110,2)</f>
        <v>0</v>
      </c>
      <c r="AY110" s="57" t="s">
        <v>296</v>
      </c>
      <c r="AZ110" s="57" t="s">
        <v>160</v>
      </c>
      <c r="BA110" s="36" t="s">
        <v>115</v>
      </c>
      <c r="BC110" s="55">
        <f>AW110+AX110</f>
        <v>0</v>
      </c>
      <c r="BD110" s="55">
        <f>G110/(100-BE110)*100</f>
        <v>0</v>
      </c>
      <c r="BE110" s="55">
        <v>0</v>
      </c>
      <c r="BF110" s="55">
        <f>110</f>
        <v>110</v>
      </c>
      <c r="BH110" s="55">
        <f>F110*AO110</f>
        <v>0</v>
      </c>
      <c r="BI110" s="55">
        <f>F110*AP110</f>
        <v>0</v>
      </c>
      <c r="BJ110" s="55">
        <f>F110*G110</f>
        <v>0</v>
      </c>
      <c r="BK110" s="55"/>
      <c r="BL110" s="55">
        <v>765</v>
      </c>
      <c r="BW110" s="55">
        <v>12</v>
      </c>
      <c r="BX110" s="3" t="s">
        <v>295</v>
      </c>
    </row>
    <row r="111" spans="1:76" ht="13.5" customHeight="1" x14ac:dyDescent="0.25">
      <c r="A111" s="58"/>
      <c r="B111" s="59" t="s">
        <v>116</v>
      </c>
      <c r="C111" s="157" t="s">
        <v>297</v>
      </c>
      <c r="D111" s="158"/>
      <c r="E111" s="158"/>
      <c r="F111" s="158"/>
      <c r="G111" s="159"/>
      <c r="H111" s="158"/>
      <c r="I111" s="158"/>
      <c r="J111" s="160"/>
    </row>
    <row r="112" spans="1:76" x14ac:dyDescent="0.25">
      <c r="A112" s="58"/>
      <c r="C112" s="60" t="s">
        <v>298</v>
      </c>
      <c r="D112" s="60" t="s">
        <v>4</v>
      </c>
      <c r="F112" s="61">
        <v>105</v>
      </c>
      <c r="J112" s="50"/>
    </row>
    <row r="113" spans="1:76" x14ac:dyDescent="0.25">
      <c r="A113" s="58"/>
      <c r="C113" s="60" t="s">
        <v>145</v>
      </c>
      <c r="D113" s="60" t="s">
        <v>299</v>
      </c>
      <c r="F113" s="61">
        <v>14</v>
      </c>
      <c r="J113" s="50"/>
    </row>
    <row r="114" spans="1:76" x14ac:dyDescent="0.25">
      <c r="A114" s="1" t="s">
        <v>300</v>
      </c>
      <c r="B114" s="2" t="s">
        <v>301</v>
      </c>
      <c r="C114" s="82" t="s">
        <v>302</v>
      </c>
      <c r="D114" s="79"/>
      <c r="E114" s="2" t="s">
        <v>124</v>
      </c>
      <c r="F114" s="55">
        <v>100</v>
      </c>
      <c r="G114" s="56">
        <v>0</v>
      </c>
      <c r="H114" s="55">
        <f>ROUND(F114*G114,2)</f>
        <v>0</v>
      </c>
      <c r="I114" s="57" t="s">
        <v>112</v>
      </c>
      <c r="J114" s="50"/>
      <c r="Z114" s="55">
        <f>ROUND(IF(AQ114="5",BJ114,0),2)</f>
        <v>0</v>
      </c>
      <c r="AB114" s="55">
        <f>ROUND(IF(AQ114="1",BH114,0),2)</f>
        <v>0</v>
      </c>
      <c r="AC114" s="55">
        <f>ROUND(IF(AQ114="1",BI114,0),2)</f>
        <v>0</v>
      </c>
      <c r="AD114" s="55">
        <f>ROUND(IF(AQ114="7",BH114,0),2)</f>
        <v>0</v>
      </c>
      <c r="AE114" s="55">
        <f>ROUND(IF(AQ114="7",BI114,0),2)</f>
        <v>0</v>
      </c>
      <c r="AF114" s="55">
        <f>ROUND(IF(AQ114="2",BH114,0),2)</f>
        <v>0</v>
      </c>
      <c r="AG114" s="55">
        <f>ROUND(IF(AQ114="2",BI114,0),2)</f>
        <v>0</v>
      </c>
      <c r="AH114" s="55">
        <f>ROUND(IF(AQ114="0",BJ114,0),2)</f>
        <v>0</v>
      </c>
      <c r="AI114" s="36" t="s">
        <v>4</v>
      </c>
      <c r="AJ114" s="55">
        <f>IF(AN114=0,H114,0)</f>
        <v>0</v>
      </c>
      <c r="AK114" s="55">
        <f>IF(AN114=12,H114,0)</f>
        <v>0</v>
      </c>
      <c r="AL114" s="55">
        <f>IF(AN114=21,H114,0)</f>
        <v>0</v>
      </c>
      <c r="AN114" s="55">
        <v>12</v>
      </c>
      <c r="AO114" s="55">
        <f>G114*0.665566636</f>
        <v>0</v>
      </c>
      <c r="AP114" s="55">
        <f>G114*(1-0.665566636)</f>
        <v>0</v>
      </c>
      <c r="AQ114" s="57" t="s">
        <v>125</v>
      </c>
      <c r="AV114" s="55">
        <f>ROUND(AW114+AX114,2)</f>
        <v>0</v>
      </c>
      <c r="AW114" s="55">
        <f>ROUND(F114*AO114,2)</f>
        <v>0</v>
      </c>
      <c r="AX114" s="55">
        <f>ROUND(F114*AP114,2)</f>
        <v>0</v>
      </c>
      <c r="AY114" s="57" t="s">
        <v>296</v>
      </c>
      <c r="AZ114" s="57" t="s">
        <v>160</v>
      </c>
      <c r="BA114" s="36" t="s">
        <v>115</v>
      </c>
      <c r="BC114" s="55">
        <f>AW114+AX114</f>
        <v>0</v>
      </c>
      <c r="BD114" s="55">
        <f>G114/(100-BE114)*100</f>
        <v>0</v>
      </c>
      <c r="BE114" s="55">
        <v>0</v>
      </c>
      <c r="BF114" s="55">
        <f>114</f>
        <v>114</v>
      </c>
      <c r="BH114" s="55">
        <f>F114*AO114</f>
        <v>0</v>
      </c>
      <c r="BI114" s="55">
        <f>F114*AP114</f>
        <v>0</v>
      </c>
      <c r="BJ114" s="55">
        <f>F114*G114</f>
        <v>0</v>
      </c>
      <c r="BK114" s="55"/>
      <c r="BL114" s="55">
        <v>765</v>
      </c>
      <c r="BW114" s="55">
        <v>12</v>
      </c>
      <c r="BX114" s="3" t="s">
        <v>302</v>
      </c>
    </row>
    <row r="115" spans="1:76" ht="13.5" customHeight="1" x14ac:dyDescent="0.25">
      <c r="A115" s="58"/>
      <c r="B115" s="59" t="s">
        <v>116</v>
      </c>
      <c r="C115" s="157" t="s">
        <v>303</v>
      </c>
      <c r="D115" s="158"/>
      <c r="E115" s="158"/>
      <c r="F115" s="158"/>
      <c r="G115" s="159"/>
      <c r="H115" s="158"/>
      <c r="I115" s="158"/>
      <c r="J115" s="160"/>
    </row>
    <row r="116" spans="1:76" x14ac:dyDescent="0.25">
      <c r="A116" s="58"/>
      <c r="C116" s="60" t="s">
        <v>171</v>
      </c>
      <c r="D116" s="60" t="s">
        <v>4</v>
      </c>
      <c r="F116" s="61">
        <v>100</v>
      </c>
      <c r="J116" s="50"/>
    </row>
    <row r="117" spans="1:76" x14ac:dyDescent="0.25">
      <c r="A117" s="1" t="s">
        <v>304</v>
      </c>
      <c r="B117" s="2" t="s">
        <v>305</v>
      </c>
      <c r="C117" s="82" t="s">
        <v>306</v>
      </c>
      <c r="D117" s="79"/>
      <c r="E117" s="2" t="s">
        <v>124</v>
      </c>
      <c r="F117" s="55">
        <v>100</v>
      </c>
      <c r="G117" s="56">
        <v>0</v>
      </c>
      <c r="H117" s="55">
        <f>ROUND(F117*G117,2)</f>
        <v>0</v>
      </c>
      <c r="I117" s="57" t="s">
        <v>112</v>
      </c>
      <c r="J117" s="50"/>
      <c r="Z117" s="55">
        <f>ROUND(IF(AQ117="5",BJ117,0),2)</f>
        <v>0</v>
      </c>
      <c r="AB117" s="55">
        <f>ROUND(IF(AQ117="1",BH117,0),2)</f>
        <v>0</v>
      </c>
      <c r="AC117" s="55">
        <f>ROUND(IF(AQ117="1",BI117,0),2)</f>
        <v>0</v>
      </c>
      <c r="AD117" s="55">
        <f>ROUND(IF(AQ117="7",BH117,0),2)</f>
        <v>0</v>
      </c>
      <c r="AE117" s="55">
        <f>ROUND(IF(AQ117="7",BI117,0),2)</f>
        <v>0</v>
      </c>
      <c r="AF117" s="55">
        <f>ROUND(IF(AQ117="2",BH117,0),2)</f>
        <v>0</v>
      </c>
      <c r="AG117" s="55">
        <f>ROUND(IF(AQ117="2",BI117,0),2)</f>
        <v>0</v>
      </c>
      <c r="AH117" s="55">
        <f>ROUND(IF(AQ117="0",BJ117,0),2)</f>
        <v>0</v>
      </c>
      <c r="AI117" s="36" t="s">
        <v>4</v>
      </c>
      <c r="AJ117" s="55">
        <f>IF(AN117=0,H117,0)</f>
        <v>0</v>
      </c>
      <c r="AK117" s="55">
        <f>IF(AN117=12,H117,0)</f>
        <v>0</v>
      </c>
      <c r="AL117" s="55">
        <f>IF(AN117=21,H117,0)</f>
        <v>0</v>
      </c>
      <c r="AN117" s="55">
        <v>12</v>
      </c>
      <c r="AO117" s="55">
        <f>G117*0</f>
        <v>0</v>
      </c>
      <c r="AP117" s="55">
        <f>G117*(1-0)</f>
        <v>0</v>
      </c>
      <c r="AQ117" s="57" t="s">
        <v>125</v>
      </c>
      <c r="AV117" s="55">
        <f>ROUND(AW117+AX117,2)</f>
        <v>0</v>
      </c>
      <c r="AW117" s="55">
        <f>ROUND(F117*AO117,2)</f>
        <v>0</v>
      </c>
      <c r="AX117" s="55">
        <f>ROUND(F117*AP117,2)</f>
        <v>0</v>
      </c>
      <c r="AY117" s="57" t="s">
        <v>296</v>
      </c>
      <c r="AZ117" s="57" t="s">
        <v>160</v>
      </c>
      <c r="BA117" s="36" t="s">
        <v>115</v>
      </c>
      <c r="BC117" s="55">
        <f>AW117+AX117</f>
        <v>0</v>
      </c>
      <c r="BD117" s="55">
        <f>G117/(100-BE117)*100</f>
        <v>0</v>
      </c>
      <c r="BE117" s="55">
        <v>0</v>
      </c>
      <c r="BF117" s="55">
        <f>117</f>
        <v>117</v>
      </c>
      <c r="BH117" s="55">
        <f>F117*AO117</f>
        <v>0</v>
      </c>
      <c r="BI117" s="55">
        <f>F117*AP117</f>
        <v>0</v>
      </c>
      <c r="BJ117" s="55">
        <f>F117*G117</f>
        <v>0</v>
      </c>
      <c r="BK117" s="55"/>
      <c r="BL117" s="55">
        <v>765</v>
      </c>
      <c r="BW117" s="55">
        <v>12</v>
      </c>
      <c r="BX117" s="3" t="s">
        <v>306</v>
      </c>
    </row>
    <row r="118" spans="1:76" x14ac:dyDescent="0.25">
      <c r="A118" s="58"/>
      <c r="C118" s="60" t="s">
        <v>171</v>
      </c>
      <c r="D118" s="60" t="s">
        <v>4</v>
      </c>
      <c r="F118" s="61">
        <v>100</v>
      </c>
      <c r="J118" s="50"/>
    </row>
    <row r="119" spans="1:76" x14ac:dyDescent="0.25">
      <c r="A119" s="1" t="s">
        <v>307</v>
      </c>
      <c r="B119" s="2" t="s">
        <v>308</v>
      </c>
      <c r="C119" s="82" t="s">
        <v>309</v>
      </c>
      <c r="D119" s="79"/>
      <c r="E119" s="2" t="s">
        <v>179</v>
      </c>
      <c r="F119" s="55">
        <v>6</v>
      </c>
      <c r="G119" s="56">
        <v>0</v>
      </c>
      <c r="H119" s="55">
        <f>ROUND(F119*G119,2)</f>
        <v>0</v>
      </c>
      <c r="I119" s="57" t="s">
        <v>112</v>
      </c>
      <c r="J119" s="50"/>
      <c r="Z119" s="55">
        <f>ROUND(IF(AQ119="5",BJ119,0),2)</f>
        <v>0</v>
      </c>
      <c r="AB119" s="55">
        <f>ROUND(IF(AQ119="1",BH119,0),2)</f>
        <v>0</v>
      </c>
      <c r="AC119" s="55">
        <f>ROUND(IF(AQ119="1",BI119,0),2)</f>
        <v>0</v>
      </c>
      <c r="AD119" s="55">
        <f>ROUND(IF(AQ119="7",BH119,0),2)</f>
        <v>0</v>
      </c>
      <c r="AE119" s="55">
        <f>ROUND(IF(AQ119="7",BI119,0),2)</f>
        <v>0</v>
      </c>
      <c r="AF119" s="55">
        <f>ROUND(IF(AQ119="2",BH119,0),2)</f>
        <v>0</v>
      </c>
      <c r="AG119" s="55">
        <f>ROUND(IF(AQ119="2",BI119,0),2)</f>
        <v>0</v>
      </c>
      <c r="AH119" s="55">
        <f>ROUND(IF(AQ119="0",BJ119,0),2)</f>
        <v>0</v>
      </c>
      <c r="AI119" s="36" t="s">
        <v>4</v>
      </c>
      <c r="AJ119" s="55">
        <f>IF(AN119=0,H119,0)</f>
        <v>0</v>
      </c>
      <c r="AK119" s="55">
        <f>IF(AN119=12,H119,0)</f>
        <v>0</v>
      </c>
      <c r="AL119" s="55">
        <f>IF(AN119=21,H119,0)</f>
        <v>0</v>
      </c>
      <c r="AN119" s="55">
        <v>12</v>
      </c>
      <c r="AO119" s="55">
        <f>G119*0.649527638</f>
        <v>0</v>
      </c>
      <c r="AP119" s="55">
        <f>G119*(1-0.649527638)</f>
        <v>0</v>
      </c>
      <c r="AQ119" s="57" t="s">
        <v>125</v>
      </c>
      <c r="AV119" s="55">
        <f>ROUND(AW119+AX119,2)</f>
        <v>0</v>
      </c>
      <c r="AW119" s="55">
        <f>ROUND(F119*AO119,2)</f>
        <v>0</v>
      </c>
      <c r="AX119" s="55">
        <f>ROUND(F119*AP119,2)</f>
        <v>0</v>
      </c>
      <c r="AY119" s="57" t="s">
        <v>296</v>
      </c>
      <c r="AZ119" s="57" t="s">
        <v>160</v>
      </c>
      <c r="BA119" s="36" t="s">
        <v>115</v>
      </c>
      <c r="BC119" s="55">
        <f>AW119+AX119</f>
        <v>0</v>
      </c>
      <c r="BD119" s="55">
        <f>G119/(100-BE119)*100</f>
        <v>0</v>
      </c>
      <c r="BE119" s="55">
        <v>0</v>
      </c>
      <c r="BF119" s="55">
        <f>119</f>
        <v>119</v>
      </c>
      <c r="BH119" s="55">
        <f>F119*AO119</f>
        <v>0</v>
      </c>
      <c r="BI119" s="55">
        <f>F119*AP119</f>
        <v>0</v>
      </c>
      <c r="BJ119" s="55">
        <f>F119*G119</f>
        <v>0</v>
      </c>
      <c r="BK119" s="55"/>
      <c r="BL119" s="55">
        <v>765</v>
      </c>
      <c r="BW119" s="55">
        <v>12</v>
      </c>
      <c r="BX119" s="3" t="s">
        <v>309</v>
      </c>
    </row>
    <row r="120" spans="1:76" ht="13.5" customHeight="1" x14ac:dyDescent="0.25">
      <c r="A120" s="58"/>
      <c r="B120" s="59" t="s">
        <v>116</v>
      </c>
      <c r="C120" s="157" t="s">
        <v>310</v>
      </c>
      <c r="D120" s="158"/>
      <c r="E120" s="158"/>
      <c r="F120" s="158"/>
      <c r="G120" s="159"/>
      <c r="H120" s="158"/>
      <c r="I120" s="158"/>
      <c r="J120" s="160"/>
    </row>
    <row r="121" spans="1:76" x14ac:dyDescent="0.25">
      <c r="A121" s="58"/>
      <c r="C121" s="60" t="s">
        <v>146</v>
      </c>
      <c r="D121" s="60" t="s">
        <v>4</v>
      </c>
      <c r="F121" s="61">
        <v>6</v>
      </c>
      <c r="J121" s="50"/>
    </row>
    <row r="122" spans="1:76" x14ac:dyDescent="0.25">
      <c r="A122" s="1" t="s">
        <v>106</v>
      </c>
      <c r="B122" s="2" t="s">
        <v>311</v>
      </c>
      <c r="C122" s="82" t="s">
        <v>312</v>
      </c>
      <c r="D122" s="79"/>
      <c r="E122" s="2" t="s">
        <v>179</v>
      </c>
      <c r="F122" s="55">
        <v>24.6</v>
      </c>
      <c r="G122" s="56">
        <v>0</v>
      </c>
      <c r="H122" s="55">
        <f>ROUND(F122*G122,2)</f>
        <v>0</v>
      </c>
      <c r="I122" s="57" t="s">
        <v>112</v>
      </c>
      <c r="J122" s="50"/>
      <c r="Z122" s="55">
        <f>ROUND(IF(AQ122="5",BJ122,0),2)</f>
        <v>0</v>
      </c>
      <c r="AB122" s="55">
        <f>ROUND(IF(AQ122="1",BH122,0),2)</f>
        <v>0</v>
      </c>
      <c r="AC122" s="55">
        <f>ROUND(IF(AQ122="1",BI122,0),2)</f>
        <v>0</v>
      </c>
      <c r="AD122" s="55">
        <f>ROUND(IF(AQ122="7",BH122,0),2)</f>
        <v>0</v>
      </c>
      <c r="AE122" s="55">
        <f>ROUND(IF(AQ122="7",BI122,0),2)</f>
        <v>0</v>
      </c>
      <c r="AF122" s="55">
        <f>ROUND(IF(AQ122="2",BH122,0),2)</f>
        <v>0</v>
      </c>
      <c r="AG122" s="55">
        <f>ROUND(IF(AQ122="2",BI122,0),2)</f>
        <v>0</v>
      </c>
      <c r="AH122" s="55">
        <f>ROUND(IF(AQ122="0",BJ122,0),2)</f>
        <v>0</v>
      </c>
      <c r="AI122" s="36" t="s">
        <v>4</v>
      </c>
      <c r="AJ122" s="55">
        <f>IF(AN122=0,H122,0)</f>
        <v>0</v>
      </c>
      <c r="AK122" s="55">
        <f>IF(AN122=12,H122,0)</f>
        <v>0</v>
      </c>
      <c r="AL122" s="55">
        <f>IF(AN122=21,H122,0)</f>
        <v>0</v>
      </c>
      <c r="AN122" s="55">
        <v>12</v>
      </c>
      <c r="AO122" s="55">
        <f>G122*0.659662465</f>
        <v>0</v>
      </c>
      <c r="AP122" s="55">
        <f>G122*(1-0.659662465)</f>
        <v>0</v>
      </c>
      <c r="AQ122" s="57" t="s">
        <v>125</v>
      </c>
      <c r="AV122" s="55">
        <f>ROUND(AW122+AX122,2)</f>
        <v>0</v>
      </c>
      <c r="AW122" s="55">
        <f>ROUND(F122*AO122,2)</f>
        <v>0</v>
      </c>
      <c r="AX122" s="55">
        <f>ROUND(F122*AP122,2)</f>
        <v>0</v>
      </c>
      <c r="AY122" s="57" t="s">
        <v>296</v>
      </c>
      <c r="AZ122" s="57" t="s">
        <v>160</v>
      </c>
      <c r="BA122" s="36" t="s">
        <v>115</v>
      </c>
      <c r="BC122" s="55">
        <f>AW122+AX122</f>
        <v>0</v>
      </c>
      <c r="BD122" s="55">
        <f>G122/(100-BE122)*100</f>
        <v>0</v>
      </c>
      <c r="BE122" s="55">
        <v>0</v>
      </c>
      <c r="BF122" s="55">
        <f>122</f>
        <v>122</v>
      </c>
      <c r="BH122" s="55">
        <f>F122*AO122</f>
        <v>0</v>
      </c>
      <c r="BI122" s="55">
        <f>F122*AP122</f>
        <v>0</v>
      </c>
      <c r="BJ122" s="55">
        <f>F122*G122</f>
        <v>0</v>
      </c>
      <c r="BK122" s="55"/>
      <c r="BL122" s="55">
        <v>765</v>
      </c>
      <c r="BW122" s="55">
        <v>12</v>
      </c>
      <c r="BX122" s="3" t="s">
        <v>312</v>
      </c>
    </row>
    <row r="123" spans="1:76" ht="13.5" customHeight="1" x14ac:dyDescent="0.25">
      <c r="A123" s="58"/>
      <c r="B123" s="59" t="s">
        <v>116</v>
      </c>
      <c r="C123" s="157" t="s">
        <v>313</v>
      </c>
      <c r="D123" s="158"/>
      <c r="E123" s="158"/>
      <c r="F123" s="158"/>
      <c r="G123" s="159"/>
      <c r="H123" s="158"/>
      <c r="I123" s="158"/>
      <c r="J123" s="160"/>
    </row>
    <row r="124" spans="1:76" x14ac:dyDescent="0.25">
      <c r="A124" s="58"/>
      <c r="C124" s="60" t="s">
        <v>314</v>
      </c>
      <c r="D124" s="60" t="s">
        <v>4</v>
      </c>
      <c r="F124" s="61">
        <v>24.6</v>
      </c>
      <c r="J124" s="50"/>
    </row>
    <row r="125" spans="1:76" x14ac:dyDescent="0.25">
      <c r="A125" s="1" t="s">
        <v>315</v>
      </c>
      <c r="B125" s="2" t="s">
        <v>316</v>
      </c>
      <c r="C125" s="82" t="s">
        <v>317</v>
      </c>
      <c r="D125" s="79"/>
      <c r="E125" s="2" t="s">
        <v>149</v>
      </c>
      <c r="F125" s="55">
        <v>1.50495</v>
      </c>
      <c r="G125" s="56">
        <v>0</v>
      </c>
      <c r="H125" s="55">
        <f>ROUND(F125*G125,2)</f>
        <v>0</v>
      </c>
      <c r="I125" s="57" t="s">
        <v>112</v>
      </c>
      <c r="J125" s="50"/>
      <c r="Z125" s="55">
        <f>ROUND(IF(AQ125="5",BJ125,0),2)</f>
        <v>0</v>
      </c>
      <c r="AB125" s="55">
        <f>ROUND(IF(AQ125="1",BH125,0),2)</f>
        <v>0</v>
      </c>
      <c r="AC125" s="55">
        <f>ROUND(IF(AQ125="1",BI125,0),2)</f>
        <v>0</v>
      </c>
      <c r="AD125" s="55">
        <f>ROUND(IF(AQ125="7",BH125,0),2)</f>
        <v>0</v>
      </c>
      <c r="AE125" s="55">
        <f>ROUND(IF(AQ125="7",BI125,0),2)</f>
        <v>0</v>
      </c>
      <c r="AF125" s="55">
        <f>ROUND(IF(AQ125="2",BH125,0),2)</f>
        <v>0</v>
      </c>
      <c r="AG125" s="55">
        <f>ROUND(IF(AQ125="2",BI125,0),2)</f>
        <v>0</v>
      </c>
      <c r="AH125" s="55">
        <f>ROUND(IF(AQ125="0",BJ125,0),2)</f>
        <v>0</v>
      </c>
      <c r="AI125" s="36" t="s">
        <v>4</v>
      </c>
      <c r="AJ125" s="55">
        <f>IF(AN125=0,H125,0)</f>
        <v>0</v>
      </c>
      <c r="AK125" s="55">
        <f>IF(AN125=12,H125,0)</f>
        <v>0</v>
      </c>
      <c r="AL125" s="55">
        <f>IF(AN125=21,H125,0)</f>
        <v>0</v>
      </c>
      <c r="AN125" s="55">
        <v>12</v>
      </c>
      <c r="AO125" s="55">
        <f>G125*0</f>
        <v>0</v>
      </c>
      <c r="AP125" s="55">
        <f>G125*(1-0)</f>
        <v>0</v>
      </c>
      <c r="AQ125" s="57" t="s">
        <v>141</v>
      </c>
      <c r="AV125" s="55">
        <f>ROUND(AW125+AX125,2)</f>
        <v>0</v>
      </c>
      <c r="AW125" s="55">
        <f>ROUND(F125*AO125,2)</f>
        <v>0</v>
      </c>
      <c r="AX125" s="55">
        <f>ROUND(F125*AP125,2)</f>
        <v>0</v>
      </c>
      <c r="AY125" s="57" t="s">
        <v>296</v>
      </c>
      <c r="AZ125" s="57" t="s">
        <v>160</v>
      </c>
      <c r="BA125" s="36" t="s">
        <v>115</v>
      </c>
      <c r="BC125" s="55">
        <f>AW125+AX125</f>
        <v>0</v>
      </c>
      <c r="BD125" s="55">
        <f>G125/(100-BE125)*100</f>
        <v>0</v>
      </c>
      <c r="BE125" s="55">
        <v>0</v>
      </c>
      <c r="BF125" s="55">
        <f>125</f>
        <v>125</v>
      </c>
      <c r="BH125" s="55">
        <f>F125*AO125</f>
        <v>0</v>
      </c>
      <c r="BI125" s="55">
        <f>F125*AP125</f>
        <v>0</v>
      </c>
      <c r="BJ125" s="55">
        <f>F125*G125</f>
        <v>0</v>
      </c>
      <c r="BK125" s="55"/>
      <c r="BL125" s="55">
        <v>765</v>
      </c>
      <c r="BW125" s="55">
        <v>12</v>
      </c>
      <c r="BX125" s="3" t="s">
        <v>317</v>
      </c>
    </row>
    <row r="126" spans="1:76" x14ac:dyDescent="0.25">
      <c r="A126" s="1" t="s">
        <v>318</v>
      </c>
      <c r="B126" s="2" t="s">
        <v>319</v>
      </c>
      <c r="C126" s="82" t="s">
        <v>320</v>
      </c>
      <c r="D126" s="79"/>
      <c r="E126" s="2" t="s">
        <v>124</v>
      </c>
      <c r="F126" s="55">
        <v>3.5</v>
      </c>
      <c r="G126" s="56">
        <v>0</v>
      </c>
      <c r="H126" s="55">
        <f>ROUND(F126*G126,2)</f>
        <v>0</v>
      </c>
      <c r="I126" s="57" t="s">
        <v>144</v>
      </c>
      <c r="J126" s="50"/>
      <c r="Z126" s="55">
        <f>ROUND(IF(AQ126="5",BJ126,0),2)</f>
        <v>0</v>
      </c>
      <c r="AB126" s="55">
        <f>ROUND(IF(AQ126="1",BH126,0),2)</f>
        <v>0</v>
      </c>
      <c r="AC126" s="55">
        <f>ROUND(IF(AQ126="1",BI126,0),2)</f>
        <v>0</v>
      </c>
      <c r="AD126" s="55">
        <f>ROUND(IF(AQ126="7",BH126,0),2)</f>
        <v>0</v>
      </c>
      <c r="AE126" s="55">
        <f>ROUND(IF(AQ126="7",BI126,0),2)</f>
        <v>0</v>
      </c>
      <c r="AF126" s="55">
        <f>ROUND(IF(AQ126="2",BH126,0),2)</f>
        <v>0</v>
      </c>
      <c r="AG126" s="55">
        <f>ROUND(IF(AQ126="2",BI126,0),2)</f>
        <v>0</v>
      </c>
      <c r="AH126" s="55">
        <f>ROUND(IF(AQ126="0",BJ126,0),2)</f>
        <v>0</v>
      </c>
      <c r="AI126" s="36" t="s">
        <v>4</v>
      </c>
      <c r="AJ126" s="55">
        <f>IF(AN126=0,H126,0)</f>
        <v>0</v>
      </c>
      <c r="AK126" s="55">
        <f>IF(AN126=12,H126,0)</f>
        <v>0</v>
      </c>
      <c r="AL126" s="55">
        <f>IF(AN126=21,H126,0)</f>
        <v>0</v>
      </c>
      <c r="AN126" s="55">
        <v>12</v>
      </c>
      <c r="AO126" s="55">
        <f>G126*0.800260231</f>
        <v>0</v>
      </c>
      <c r="AP126" s="55">
        <f>G126*(1-0.800260231)</f>
        <v>0</v>
      </c>
      <c r="AQ126" s="57" t="s">
        <v>125</v>
      </c>
      <c r="AV126" s="55">
        <f>ROUND(AW126+AX126,2)</f>
        <v>0</v>
      </c>
      <c r="AW126" s="55">
        <f>ROUND(F126*AO126,2)</f>
        <v>0</v>
      </c>
      <c r="AX126" s="55">
        <f>ROUND(F126*AP126,2)</f>
        <v>0</v>
      </c>
      <c r="AY126" s="57" t="s">
        <v>296</v>
      </c>
      <c r="AZ126" s="57" t="s">
        <v>160</v>
      </c>
      <c r="BA126" s="36" t="s">
        <v>115</v>
      </c>
      <c r="BC126" s="55">
        <f>AW126+AX126</f>
        <v>0</v>
      </c>
      <c r="BD126" s="55">
        <f>G126/(100-BE126)*100</f>
        <v>0</v>
      </c>
      <c r="BE126" s="55">
        <v>0</v>
      </c>
      <c r="BF126" s="55">
        <f>126</f>
        <v>126</v>
      </c>
      <c r="BH126" s="55">
        <f>F126*AO126</f>
        <v>0</v>
      </c>
      <c r="BI126" s="55">
        <f>F126*AP126</f>
        <v>0</v>
      </c>
      <c r="BJ126" s="55">
        <f>F126*G126</f>
        <v>0</v>
      </c>
      <c r="BK126" s="55"/>
      <c r="BL126" s="55">
        <v>765</v>
      </c>
      <c r="BW126" s="55">
        <v>12</v>
      </c>
      <c r="BX126" s="3" t="s">
        <v>320</v>
      </c>
    </row>
    <row r="127" spans="1:76" x14ac:dyDescent="0.25">
      <c r="A127" s="58"/>
      <c r="C127" s="60" t="s">
        <v>321</v>
      </c>
      <c r="D127" s="60" t="s">
        <v>4</v>
      </c>
      <c r="F127" s="61">
        <v>3.5</v>
      </c>
      <c r="J127" s="50"/>
    </row>
    <row r="128" spans="1:76" x14ac:dyDescent="0.25">
      <c r="A128" s="51" t="s">
        <v>4</v>
      </c>
      <c r="B128" s="52" t="s">
        <v>322</v>
      </c>
      <c r="C128" s="155" t="s">
        <v>323</v>
      </c>
      <c r="D128" s="156"/>
      <c r="E128" s="53" t="s">
        <v>73</v>
      </c>
      <c r="F128" s="53" t="s">
        <v>73</v>
      </c>
      <c r="G128" s="54" t="s">
        <v>73</v>
      </c>
      <c r="H128" s="28">
        <f>SUM(H129:H134)</f>
        <v>0</v>
      </c>
      <c r="I128" s="36" t="s">
        <v>4</v>
      </c>
      <c r="J128" s="50"/>
      <c r="AI128" s="36" t="s">
        <v>4</v>
      </c>
      <c r="AS128" s="28">
        <f>SUM(AJ129:AJ134)</f>
        <v>0</v>
      </c>
      <c r="AT128" s="28">
        <f>SUM(AK129:AK134)</f>
        <v>0</v>
      </c>
      <c r="AU128" s="28">
        <f>SUM(AL129:AL134)</f>
        <v>0</v>
      </c>
    </row>
    <row r="129" spans="1:76" ht="25.5" x14ac:dyDescent="0.25">
      <c r="A129" s="1" t="s">
        <v>324</v>
      </c>
      <c r="B129" s="2" t="s">
        <v>325</v>
      </c>
      <c r="C129" s="82" t="s">
        <v>326</v>
      </c>
      <c r="D129" s="79"/>
      <c r="E129" s="2" t="s">
        <v>124</v>
      </c>
      <c r="F129" s="55">
        <v>350</v>
      </c>
      <c r="G129" s="56">
        <v>0</v>
      </c>
      <c r="H129" s="55">
        <f>ROUND(F129*G129,2)</f>
        <v>0</v>
      </c>
      <c r="I129" s="57" t="s">
        <v>112</v>
      </c>
      <c r="J129" s="50"/>
      <c r="Z129" s="55">
        <f>ROUND(IF(AQ129="5",BJ129,0),2)</f>
        <v>0</v>
      </c>
      <c r="AB129" s="55">
        <f>ROUND(IF(AQ129="1",BH129,0),2)</f>
        <v>0</v>
      </c>
      <c r="AC129" s="55">
        <f>ROUND(IF(AQ129="1",BI129,0),2)</f>
        <v>0</v>
      </c>
      <c r="AD129" s="55">
        <f>ROUND(IF(AQ129="7",BH129,0),2)</f>
        <v>0</v>
      </c>
      <c r="AE129" s="55">
        <f>ROUND(IF(AQ129="7",BI129,0),2)</f>
        <v>0</v>
      </c>
      <c r="AF129" s="55">
        <f>ROUND(IF(AQ129="2",BH129,0),2)</f>
        <v>0</v>
      </c>
      <c r="AG129" s="55">
        <f>ROUND(IF(AQ129="2",BI129,0),2)</f>
        <v>0</v>
      </c>
      <c r="AH129" s="55">
        <f>ROUND(IF(AQ129="0",BJ129,0),2)</f>
        <v>0</v>
      </c>
      <c r="AI129" s="36" t="s">
        <v>4</v>
      </c>
      <c r="AJ129" s="55">
        <f>IF(AN129=0,H129,0)</f>
        <v>0</v>
      </c>
      <c r="AK129" s="55">
        <f>IF(AN129=12,H129,0)</f>
        <v>0</v>
      </c>
      <c r="AL129" s="55">
        <f>IF(AN129=21,H129,0)</f>
        <v>0</v>
      </c>
      <c r="AN129" s="55">
        <v>12</v>
      </c>
      <c r="AO129" s="55">
        <f>G129*0.624271845</f>
        <v>0</v>
      </c>
      <c r="AP129" s="55">
        <f>G129*(1-0.624271845)</f>
        <v>0</v>
      </c>
      <c r="AQ129" s="57" t="s">
        <v>125</v>
      </c>
      <c r="AV129" s="55">
        <f>ROUND(AW129+AX129,2)</f>
        <v>0</v>
      </c>
      <c r="AW129" s="55">
        <f>ROUND(F129*AO129,2)</f>
        <v>0</v>
      </c>
      <c r="AX129" s="55">
        <f>ROUND(F129*AP129,2)</f>
        <v>0</v>
      </c>
      <c r="AY129" s="57" t="s">
        <v>327</v>
      </c>
      <c r="AZ129" s="57" t="s">
        <v>328</v>
      </c>
      <c r="BA129" s="36" t="s">
        <v>115</v>
      </c>
      <c r="BC129" s="55">
        <f>AW129+AX129</f>
        <v>0</v>
      </c>
      <c r="BD129" s="55">
        <f>G129/(100-BE129)*100</f>
        <v>0</v>
      </c>
      <c r="BE129" s="55">
        <v>0</v>
      </c>
      <c r="BF129" s="55">
        <f>129</f>
        <v>129</v>
      </c>
      <c r="BH129" s="55">
        <f>F129*AO129</f>
        <v>0</v>
      </c>
      <c r="BI129" s="55">
        <f>F129*AP129</f>
        <v>0</v>
      </c>
      <c r="BJ129" s="55">
        <f>F129*G129</f>
        <v>0</v>
      </c>
      <c r="BK129" s="55"/>
      <c r="BL129" s="55">
        <v>783</v>
      </c>
      <c r="BW129" s="55">
        <v>12</v>
      </c>
      <c r="BX129" s="3" t="s">
        <v>326</v>
      </c>
    </row>
    <row r="130" spans="1:76" x14ac:dyDescent="0.25">
      <c r="A130" s="58"/>
      <c r="C130" s="60" t="s">
        <v>329</v>
      </c>
      <c r="D130" s="60" t="s">
        <v>4</v>
      </c>
      <c r="F130" s="61">
        <v>350</v>
      </c>
      <c r="J130" s="50"/>
    </row>
    <row r="131" spans="1:76" x14ac:dyDescent="0.25">
      <c r="A131" s="1" t="s">
        <v>202</v>
      </c>
      <c r="B131" s="2" t="s">
        <v>330</v>
      </c>
      <c r="C131" s="82" t="s">
        <v>331</v>
      </c>
      <c r="D131" s="79"/>
      <c r="E131" s="2" t="s">
        <v>124</v>
      </c>
      <c r="F131" s="55">
        <v>7</v>
      </c>
      <c r="G131" s="56">
        <v>0</v>
      </c>
      <c r="H131" s="55">
        <f>ROUND(F131*G131,2)</f>
        <v>0</v>
      </c>
      <c r="I131" s="57" t="s">
        <v>112</v>
      </c>
      <c r="J131" s="50"/>
      <c r="Z131" s="55">
        <f>ROUND(IF(AQ131="5",BJ131,0),2)</f>
        <v>0</v>
      </c>
      <c r="AB131" s="55">
        <f>ROUND(IF(AQ131="1",BH131,0),2)</f>
        <v>0</v>
      </c>
      <c r="AC131" s="55">
        <f>ROUND(IF(AQ131="1",BI131,0),2)</f>
        <v>0</v>
      </c>
      <c r="AD131" s="55">
        <f>ROUND(IF(AQ131="7",BH131,0),2)</f>
        <v>0</v>
      </c>
      <c r="AE131" s="55">
        <f>ROUND(IF(AQ131="7",BI131,0),2)</f>
        <v>0</v>
      </c>
      <c r="AF131" s="55">
        <f>ROUND(IF(AQ131="2",BH131,0),2)</f>
        <v>0</v>
      </c>
      <c r="AG131" s="55">
        <f>ROUND(IF(AQ131="2",BI131,0),2)</f>
        <v>0</v>
      </c>
      <c r="AH131" s="55">
        <f>ROUND(IF(AQ131="0",BJ131,0),2)</f>
        <v>0</v>
      </c>
      <c r="AI131" s="36" t="s">
        <v>4</v>
      </c>
      <c r="AJ131" s="55">
        <f>IF(AN131=0,H131,0)</f>
        <v>0</v>
      </c>
      <c r="AK131" s="55">
        <f>IF(AN131=12,H131,0)</f>
        <v>0</v>
      </c>
      <c r="AL131" s="55">
        <f>IF(AN131=21,H131,0)</f>
        <v>0</v>
      </c>
      <c r="AN131" s="55">
        <v>12</v>
      </c>
      <c r="AO131" s="55">
        <f>G131*0.038288962</f>
        <v>0</v>
      </c>
      <c r="AP131" s="55">
        <f>G131*(1-0.038288962)</f>
        <v>0</v>
      </c>
      <c r="AQ131" s="57" t="s">
        <v>125</v>
      </c>
      <c r="AV131" s="55">
        <f>ROUND(AW131+AX131,2)</f>
        <v>0</v>
      </c>
      <c r="AW131" s="55">
        <f>ROUND(F131*AO131,2)</f>
        <v>0</v>
      </c>
      <c r="AX131" s="55">
        <f>ROUND(F131*AP131,2)</f>
        <v>0</v>
      </c>
      <c r="AY131" s="57" t="s">
        <v>327</v>
      </c>
      <c r="AZ131" s="57" t="s">
        <v>328</v>
      </c>
      <c r="BA131" s="36" t="s">
        <v>115</v>
      </c>
      <c r="BC131" s="55">
        <f>AW131+AX131</f>
        <v>0</v>
      </c>
      <c r="BD131" s="55">
        <f>G131/(100-BE131)*100</f>
        <v>0</v>
      </c>
      <c r="BE131" s="55">
        <v>0</v>
      </c>
      <c r="BF131" s="55">
        <f>131</f>
        <v>131</v>
      </c>
      <c r="BH131" s="55">
        <f>F131*AO131</f>
        <v>0</v>
      </c>
      <c r="BI131" s="55">
        <f>F131*AP131</f>
        <v>0</v>
      </c>
      <c r="BJ131" s="55">
        <f>F131*G131</f>
        <v>0</v>
      </c>
      <c r="BK131" s="55"/>
      <c r="BL131" s="55">
        <v>783</v>
      </c>
      <c r="BW131" s="55">
        <v>12</v>
      </c>
      <c r="BX131" s="3" t="s">
        <v>331</v>
      </c>
    </row>
    <row r="132" spans="1:76" ht="13.5" customHeight="1" x14ac:dyDescent="0.25">
      <c r="A132" s="58"/>
      <c r="B132" s="59" t="s">
        <v>116</v>
      </c>
      <c r="C132" s="157" t="s">
        <v>332</v>
      </c>
      <c r="D132" s="158"/>
      <c r="E132" s="158"/>
      <c r="F132" s="158"/>
      <c r="G132" s="159"/>
      <c r="H132" s="158"/>
      <c r="I132" s="158"/>
      <c r="J132" s="160"/>
    </row>
    <row r="133" spans="1:76" x14ac:dyDescent="0.25">
      <c r="A133" s="58"/>
      <c r="C133" s="60" t="s">
        <v>333</v>
      </c>
      <c r="D133" s="60" t="s">
        <v>334</v>
      </c>
      <c r="F133" s="61">
        <v>7</v>
      </c>
      <c r="J133" s="50"/>
    </row>
    <row r="134" spans="1:76" x14ac:dyDescent="0.25">
      <c r="A134" s="1" t="s">
        <v>335</v>
      </c>
      <c r="B134" s="2" t="s">
        <v>336</v>
      </c>
      <c r="C134" s="82" t="s">
        <v>337</v>
      </c>
      <c r="D134" s="79"/>
      <c r="E134" s="2" t="s">
        <v>124</v>
      </c>
      <c r="F134" s="55">
        <v>7</v>
      </c>
      <c r="G134" s="56">
        <v>0</v>
      </c>
      <c r="H134" s="55">
        <f>ROUND(F134*G134,2)</f>
        <v>0</v>
      </c>
      <c r="I134" s="57" t="s">
        <v>112</v>
      </c>
      <c r="J134" s="50"/>
      <c r="Z134" s="55">
        <f>ROUND(IF(AQ134="5",BJ134,0),2)</f>
        <v>0</v>
      </c>
      <c r="AB134" s="55">
        <f>ROUND(IF(AQ134="1",BH134,0),2)</f>
        <v>0</v>
      </c>
      <c r="AC134" s="55">
        <f>ROUND(IF(AQ134="1",BI134,0),2)</f>
        <v>0</v>
      </c>
      <c r="AD134" s="55">
        <f>ROUND(IF(AQ134="7",BH134,0),2)</f>
        <v>0</v>
      </c>
      <c r="AE134" s="55">
        <f>ROUND(IF(AQ134="7",BI134,0),2)</f>
        <v>0</v>
      </c>
      <c r="AF134" s="55">
        <f>ROUND(IF(AQ134="2",BH134,0),2)</f>
        <v>0</v>
      </c>
      <c r="AG134" s="55">
        <f>ROUND(IF(AQ134="2",BI134,0),2)</f>
        <v>0</v>
      </c>
      <c r="AH134" s="55">
        <f>ROUND(IF(AQ134="0",BJ134,0),2)</f>
        <v>0</v>
      </c>
      <c r="AI134" s="36" t="s">
        <v>4</v>
      </c>
      <c r="AJ134" s="55">
        <f>IF(AN134=0,H134,0)</f>
        <v>0</v>
      </c>
      <c r="AK134" s="55">
        <f>IF(AN134=12,H134,0)</f>
        <v>0</v>
      </c>
      <c r="AL134" s="55">
        <f>IF(AN134=21,H134,0)</f>
        <v>0</v>
      </c>
      <c r="AN134" s="55">
        <v>12</v>
      </c>
      <c r="AO134" s="55">
        <f>G134*0.618181818</f>
        <v>0</v>
      </c>
      <c r="AP134" s="55">
        <f>G134*(1-0.618181818)</f>
        <v>0</v>
      </c>
      <c r="AQ134" s="57" t="s">
        <v>125</v>
      </c>
      <c r="AV134" s="55">
        <f>ROUND(AW134+AX134,2)</f>
        <v>0</v>
      </c>
      <c r="AW134" s="55">
        <f>ROUND(F134*AO134,2)</f>
        <v>0</v>
      </c>
      <c r="AX134" s="55">
        <f>ROUND(F134*AP134,2)</f>
        <v>0</v>
      </c>
      <c r="AY134" s="57" t="s">
        <v>327</v>
      </c>
      <c r="AZ134" s="57" t="s">
        <v>328</v>
      </c>
      <c r="BA134" s="36" t="s">
        <v>115</v>
      </c>
      <c r="BC134" s="55">
        <f>AW134+AX134</f>
        <v>0</v>
      </c>
      <c r="BD134" s="55">
        <f>G134/(100-BE134)*100</f>
        <v>0</v>
      </c>
      <c r="BE134" s="55">
        <v>0</v>
      </c>
      <c r="BF134" s="55">
        <f>134</f>
        <v>134</v>
      </c>
      <c r="BH134" s="55">
        <f>F134*AO134</f>
        <v>0</v>
      </c>
      <c r="BI134" s="55">
        <f>F134*AP134</f>
        <v>0</v>
      </c>
      <c r="BJ134" s="55">
        <f>F134*G134</f>
        <v>0</v>
      </c>
      <c r="BK134" s="55"/>
      <c r="BL134" s="55">
        <v>783</v>
      </c>
      <c r="BW134" s="55">
        <v>12</v>
      </c>
      <c r="BX134" s="3" t="s">
        <v>337</v>
      </c>
    </row>
    <row r="135" spans="1:76" x14ac:dyDescent="0.25">
      <c r="A135" s="58"/>
      <c r="C135" s="60" t="s">
        <v>125</v>
      </c>
      <c r="D135" s="60" t="s">
        <v>4</v>
      </c>
      <c r="F135" s="61">
        <v>7</v>
      </c>
      <c r="J135" s="50"/>
    </row>
    <row r="136" spans="1:76" x14ac:dyDescent="0.25">
      <c r="A136" s="51" t="s">
        <v>4</v>
      </c>
      <c r="B136" s="52" t="s">
        <v>338</v>
      </c>
      <c r="C136" s="155" t="s">
        <v>339</v>
      </c>
      <c r="D136" s="156"/>
      <c r="E136" s="53" t="s">
        <v>73</v>
      </c>
      <c r="F136" s="53" t="s">
        <v>73</v>
      </c>
      <c r="G136" s="54" t="s">
        <v>73</v>
      </c>
      <c r="H136" s="28">
        <f>SUM(H137:H139)</f>
        <v>0</v>
      </c>
      <c r="I136" s="36" t="s">
        <v>4</v>
      </c>
      <c r="J136" s="50"/>
      <c r="AI136" s="36" t="s">
        <v>4</v>
      </c>
      <c r="AS136" s="28">
        <f>SUM(AJ137:AJ139)</f>
        <v>0</v>
      </c>
      <c r="AT136" s="28">
        <f>SUM(AK137:AK139)</f>
        <v>0</v>
      </c>
      <c r="AU136" s="28">
        <f>SUM(AL137:AL139)</f>
        <v>0</v>
      </c>
    </row>
    <row r="137" spans="1:76" x14ac:dyDescent="0.25">
      <c r="A137" s="1" t="s">
        <v>340</v>
      </c>
      <c r="B137" s="2" t="s">
        <v>341</v>
      </c>
      <c r="C137" s="82" t="s">
        <v>342</v>
      </c>
      <c r="D137" s="79"/>
      <c r="E137" s="2" t="s">
        <v>124</v>
      </c>
      <c r="F137" s="55">
        <v>3.6</v>
      </c>
      <c r="G137" s="56">
        <v>0</v>
      </c>
      <c r="H137" s="55">
        <f>ROUND(F137*G137,2)</f>
        <v>0</v>
      </c>
      <c r="I137" s="57" t="s">
        <v>112</v>
      </c>
      <c r="J137" s="50"/>
      <c r="Z137" s="55">
        <f>ROUND(IF(AQ137="5",BJ137,0),2)</f>
        <v>0</v>
      </c>
      <c r="AB137" s="55">
        <f>ROUND(IF(AQ137="1",BH137,0),2)</f>
        <v>0</v>
      </c>
      <c r="AC137" s="55">
        <f>ROUND(IF(AQ137="1",BI137,0),2)</f>
        <v>0</v>
      </c>
      <c r="AD137" s="55">
        <f>ROUND(IF(AQ137="7",BH137,0),2)</f>
        <v>0</v>
      </c>
      <c r="AE137" s="55">
        <f>ROUND(IF(AQ137="7",BI137,0),2)</f>
        <v>0</v>
      </c>
      <c r="AF137" s="55">
        <f>ROUND(IF(AQ137="2",BH137,0),2)</f>
        <v>0</v>
      </c>
      <c r="AG137" s="55">
        <f>ROUND(IF(AQ137="2",BI137,0),2)</f>
        <v>0</v>
      </c>
      <c r="AH137" s="55">
        <f>ROUND(IF(AQ137="0",BJ137,0),2)</f>
        <v>0</v>
      </c>
      <c r="AI137" s="36" t="s">
        <v>4</v>
      </c>
      <c r="AJ137" s="55">
        <f>IF(AN137=0,H137,0)</f>
        <v>0</v>
      </c>
      <c r="AK137" s="55">
        <f>IF(AN137=12,H137,0)</f>
        <v>0</v>
      </c>
      <c r="AL137" s="55">
        <f>IF(AN137=21,H137,0)</f>
        <v>0</v>
      </c>
      <c r="AN137" s="55">
        <v>12</v>
      </c>
      <c r="AO137" s="55">
        <f>G137*0.66967509</f>
        <v>0</v>
      </c>
      <c r="AP137" s="55">
        <f>G137*(1-0.66967509)</f>
        <v>0</v>
      </c>
      <c r="AQ137" s="57" t="s">
        <v>125</v>
      </c>
      <c r="AV137" s="55">
        <f>ROUND(AW137+AX137,2)</f>
        <v>0</v>
      </c>
      <c r="AW137" s="55">
        <f>ROUND(F137*AO137,2)</f>
        <v>0</v>
      </c>
      <c r="AX137" s="55">
        <f>ROUND(F137*AP137,2)</f>
        <v>0</v>
      </c>
      <c r="AY137" s="57" t="s">
        <v>343</v>
      </c>
      <c r="AZ137" s="57" t="s">
        <v>328</v>
      </c>
      <c r="BA137" s="36" t="s">
        <v>115</v>
      </c>
      <c r="BC137" s="55">
        <f>AW137+AX137</f>
        <v>0</v>
      </c>
      <c r="BD137" s="55">
        <f>G137/(100-BE137)*100</f>
        <v>0</v>
      </c>
      <c r="BE137" s="55">
        <v>0</v>
      </c>
      <c r="BF137" s="55">
        <f>137</f>
        <v>137</v>
      </c>
      <c r="BH137" s="55">
        <f>F137*AO137</f>
        <v>0</v>
      </c>
      <c r="BI137" s="55">
        <f>F137*AP137</f>
        <v>0</v>
      </c>
      <c r="BJ137" s="55">
        <f>F137*G137</f>
        <v>0</v>
      </c>
      <c r="BK137" s="55"/>
      <c r="BL137" s="55">
        <v>784</v>
      </c>
      <c r="BW137" s="55">
        <v>12</v>
      </c>
      <c r="BX137" s="3" t="s">
        <v>342</v>
      </c>
    </row>
    <row r="138" spans="1:76" x14ac:dyDescent="0.25">
      <c r="A138" s="58"/>
      <c r="C138" s="60" t="s">
        <v>344</v>
      </c>
      <c r="D138" s="60" t="s">
        <v>4</v>
      </c>
      <c r="F138" s="61">
        <v>3.6</v>
      </c>
      <c r="J138" s="50"/>
    </row>
    <row r="139" spans="1:76" x14ac:dyDescent="0.25">
      <c r="A139" s="1" t="s">
        <v>345</v>
      </c>
      <c r="B139" s="2" t="s">
        <v>346</v>
      </c>
      <c r="C139" s="82" t="s">
        <v>347</v>
      </c>
      <c r="D139" s="79"/>
      <c r="E139" s="2" t="s">
        <v>124</v>
      </c>
      <c r="F139" s="55">
        <v>3.6</v>
      </c>
      <c r="G139" s="56">
        <v>0</v>
      </c>
      <c r="H139" s="55">
        <f>ROUND(F139*G139,2)</f>
        <v>0</v>
      </c>
      <c r="I139" s="57" t="s">
        <v>112</v>
      </c>
      <c r="J139" s="50"/>
      <c r="Z139" s="55">
        <f>ROUND(IF(AQ139="5",BJ139,0),2)</f>
        <v>0</v>
      </c>
      <c r="AB139" s="55">
        <f>ROUND(IF(AQ139="1",BH139,0),2)</f>
        <v>0</v>
      </c>
      <c r="AC139" s="55">
        <f>ROUND(IF(AQ139="1",BI139,0),2)</f>
        <v>0</v>
      </c>
      <c r="AD139" s="55">
        <f>ROUND(IF(AQ139="7",BH139,0),2)</f>
        <v>0</v>
      </c>
      <c r="AE139" s="55">
        <f>ROUND(IF(AQ139="7",BI139,0),2)</f>
        <v>0</v>
      </c>
      <c r="AF139" s="55">
        <f>ROUND(IF(AQ139="2",BH139,0),2)</f>
        <v>0</v>
      </c>
      <c r="AG139" s="55">
        <f>ROUND(IF(AQ139="2",BI139,0),2)</f>
        <v>0</v>
      </c>
      <c r="AH139" s="55">
        <f>ROUND(IF(AQ139="0",BJ139,0),2)</f>
        <v>0</v>
      </c>
      <c r="AI139" s="36" t="s">
        <v>4</v>
      </c>
      <c r="AJ139" s="55">
        <f>IF(AN139=0,H139,0)</f>
        <v>0</v>
      </c>
      <c r="AK139" s="55">
        <f>IF(AN139=12,H139,0)</f>
        <v>0</v>
      </c>
      <c r="AL139" s="55">
        <f>IF(AN139=21,H139,0)</f>
        <v>0</v>
      </c>
      <c r="AN139" s="55">
        <v>12</v>
      </c>
      <c r="AO139" s="55">
        <f>G139*0.494101811</f>
        <v>0</v>
      </c>
      <c r="AP139" s="55">
        <f>G139*(1-0.494101811)</f>
        <v>0</v>
      </c>
      <c r="AQ139" s="57" t="s">
        <v>125</v>
      </c>
      <c r="AV139" s="55">
        <f>ROUND(AW139+AX139,2)</f>
        <v>0</v>
      </c>
      <c r="AW139" s="55">
        <f>ROUND(F139*AO139,2)</f>
        <v>0</v>
      </c>
      <c r="AX139" s="55">
        <f>ROUND(F139*AP139,2)</f>
        <v>0</v>
      </c>
      <c r="AY139" s="57" t="s">
        <v>343</v>
      </c>
      <c r="AZ139" s="57" t="s">
        <v>328</v>
      </c>
      <c r="BA139" s="36" t="s">
        <v>115</v>
      </c>
      <c r="BC139" s="55">
        <f>AW139+AX139</f>
        <v>0</v>
      </c>
      <c r="BD139" s="55">
        <f>G139/(100-BE139)*100</f>
        <v>0</v>
      </c>
      <c r="BE139" s="55">
        <v>0</v>
      </c>
      <c r="BF139" s="55">
        <f>139</f>
        <v>139</v>
      </c>
      <c r="BH139" s="55">
        <f>F139*AO139</f>
        <v>0</v>
      </c>
      <c r="BI139" s="55">
        <f>F139*AP139</f>
        <v>0</v>
      </c>
      <c r="BJ139" s="55">
        <f>F139*G139</f>
        <v>0</v>
      </c>
      <c r="BK139" s="55"/>
      <c r="BL139" s="55">
        <v>784</v>
      </c>
      <c r="BW139" s="55">
        <v>12</v>
      </c>
      <c r="BX139" s="3" t="s">
        <v>347</v>
      </c>
    </row>
    <row r="140" spans="1:76" x14ac:dyDescent="0.25">
      <c r="A140" s="58"/>
      <c r="C140" s="60" t="s">
        <v>344</v>
      </c>
      <c r="D140" s="60" t="s">
        <v>4</v>
      </c>
      <c r="F140" s="61">
        <v>3.6</v>
      </c>
      <c r="J140" s="50"/>
    </row>
    <row r="141" spans="1:76" x14ac:dyDescent="0.25">
      <c r="A141" s="51" t="s">
        <v>4</v>
      </c>
      <c r="B141" s="52" t="s">
        <v>348</v>
      </c>
      <c r="C141" s="155" t="s">
        <v>349</v>
      </c>
      <c r="D141" s="156"/>
      <c r="E141" s="53" t="s">
        <v>73</v>
      </c>
      <c r="F141" s="53" t="s">
        <v>73</v>
      </c>
      <c r="G141" s="54" t="s">
        <v>73</v>
      </c>
      <c r="H141" s="28">
        <f>SUM(H142:H146)</f>
        <v>0</v>
      </c>
      <c r="I141" s="36" t="s">
        <v>4</v>
      </c>
      <c r="J141" s="50"/>
      <c r="AI141" s="36" t="s">
        <v>4</v>
      </c>
      <c r="AS141" s="28">
        <f>SUM(AJ142:AJ146)</f>
        <v>0</v>
      </c>
      <c r="AT141" s="28">
        <f>SUM(AK142:AK146)</f>
        <v>0</v>
      </c>
      <c r="AU141" s="28">
        <f>SUM(AL142:AL146)</f>
        <v>0</v>
      </c>
    </row>
    <row r="142" spans="1:76" x14ac:dyDescent="0.25">
      <c r="A142" s="1" t="s">
        <v>350</v>
      </c>
      <c r="B142" s="2" t="s">
        <v>351</v>
      </c>
      <c r="C142" s="82" t="s">
        <v>352</v>
      </c>
      <c r="D142" s="79"/>
      <c r="E142" s="2" t="s">
        <v>124</v>
      </c>
      <c r="F142" s="55">
        <v>400</v>
      </c>
      <c r="G142" s="56">
        <v>0</v>
      </c>
      <c r="H142" s="55">
        <f>ROUND(F142*G142,2)</f>
        <v>0</v>
      </c>
      <c r="I142" s="57" t="s">
        <v>112</v>
      </c>
      <c r="J142" s="50"/>
      <c r="Z142" s="55">
        <f>ROUND(IF(AQ142="5",BJ142,0),2)</f>
        <v>0</v>
      </c>
      <c r="AB142" s="55">
        <f>ROUND(IF(AQ142="1",BH142,0),2)</f>
        <v>0</v>
      </c>
      <c r="AC142" s="55">
        <f>ROUND(IF(AQ142="1",BI142,0),2)</f>
        <v>0</v>
      </c>
      <c r="AD142" s="55">
        <f>ROUND(IF(AQ142="7",BH142,0),2)</f>
        <v>0</v>
      </c>
      <c r="AE142" s="55">
        <f>ROUND(IF(AQ142="7",BI142,0),2)</f>
        <v>0</v>
      </c>
      <c r="AF142" s="55">
        <f>ROUND(IF(AQ142="2",BH142,0),2)</f>
        <v>0</v>
      </c>
      <c r="AG142" s="55">
        <f>ROUND(IF(AQ142="2",BI142,0),2)</f>
        <v>0</v>
      </c>
      <c r="AH142" s="55">
        <f>ROUND(IF(AQ142="0",BJ142,0),2)</f>
        <v>0</v>
      </c>
      <c r="AI142" s="36" t="s">
        <v>4</v>
      </c>
      <c r="AJ142" s="55">
        <f>IF(AN142=0,H142,0)</f>
        <v>0</v>
      </c>
      <c r="AK142" s="55">
        <f>IF(AN142=12,H142,0)</f>
        <v>0</v>
      </c>
      <c r="AL142" s="55">
        <f>IF(AN142=21,H142,0)</f>
        <v>0</v>
      </c>
      <c r="AN142" s="55">
        <v>12</v>
      </c>
      <c r="AO142" s="55">
        <f>G142*0.00011274</f>
        <v>0</v>
      </c>
      <c r="AP142" s="55">
        <f>G142*(1-0.00011274)</f>
        <v>0</v>
      </c>
      <c r="AQ142" s="57" t="s">
        <v>108</v>
      </c>
      <c r="AV142" s="55">
        <f>ROUND(AW142+AX142,2)</f>
        <v>0</v>
      </c>
      <c r="AW142" s="55">
        <f>ROUND(F142*AO142,2)</f>
        <v>0</v>
      </c>
      <c r="AX142" s="55">
        <f>ROUND(F142*AP142,2)</f>
        <v>0</v>
      </c>
      <c r="AY142" s="57" t="s">
        <v>353</v>
      </c>
      <c r="AZ142" s="57" t="s">
        <v>354</v>
      </c>
      <c r="BA142" s="36" t="s">
        <v>115</v>
      </c>
      <c r="BC142" s="55">
        <f>AW142+AX142</f>
        <v>0</v>
      </c>
      <c r="BD142" s="55">
        <f>G142/(100-BE142)*100</f>
        <v>0</v>
      </c>
      <c r="BE142" s="55">
        <v>0</v>
      </c>
      <c r="BF142" s="55">
        <f>142</f>
        <v>142</v>
      </c>
      <c r="BH142" s="55">
        <f>F142*AO142</f>
        <v>0</v>
      </c>
      <c r="BI142" s="55">
        <f>F142*AP142</f>
        <v>0</v>
      </c>
      <c r="BJ142" s="55">
        <f>F142*G142</f>
        <v>0</v>
      </c>
      <c r="BK142" s="55"/>
      <c r="BL142" s="55">
        <v>94</v>
      </c>
      <c r="BW142" s="55">
        <v>12</v>
      </c>
      <c r="BX142" s="3" t="s">
        <v>352</v>
      </c>
    </row>
    <row r="143" spans="1:76" x14ac:dyDescent="0.25">
      <c r="A143" s="58"/>
      <c r="C143" s="60" t="s">
        <v>355</v>
      </c>
      <c r="D143" s="60" t="s">
        <v>4</v>
      </c>
      <c r="F143" s="61">
        <v>400</v>
      </c>
      <c r="J143" s="50"/>
    </row>
    <row r="144" spans="1:76" x14ac:dyDescent="0.25">
      <c r="A144" s="1" t="s">
        <v>356</v>
      </c>
      <c r="B144" s="2" t="s">
        <v>357</v>
      </c>
      <c r="C144" s="82" t="s">
        <v>358</v>
      </c>
      <c r="D144" s="79"/>
      <c r="E144" s="2" t="s">
        <v>124</v>
      </c>
      <c r="F144" s="55">
        <v>400</v>
      </c>
      <c r="G144" s="56">
        <v>0</v>
      </c>
      <c r="H144" s="55">
        <f>ROUND(F144*G144,2)</f>
        <v>0</v>
      </c>
      <c r="I144" s="57" t="s">
        <v>112</v>
      </c>
      <c r="J144" s="50"/>
      <c r="Z144" s="55">
        <f>ROUND(IF(AQ144="5",BJ144,0),2)</f>
        <v>0</v>
      </c>
      <c r="AB144" s="55">
        <f>ROUND(IF(AQ144="1",BH144,0),2)</f>
        <v>0</v>
      </c>
      <c r="AC144" s="55">
        <f>ROUND(IF(AQ144="1",BI144,0),2)</f>
        <v>0</v>
      </c>
      <c r="AD144" s="55">
        <f>ROUND(IF(AQ144="7",BH144,0),2)</f>
        <v>0</v>
      </c>
      <c r="AE144" s="55">
        <f>ROUND(IF(AQ144="7",BI144,0),2)</f>
        <v>0</v>
      </c>
      <c r="AF144" s="55">
        <f>ROUND(IF(AQ144="2",BH144,0),2)</f>
        <v>0</v>
      </c>
      <c r="AG144" s="55">
        <f>ROUND(IF(AQ144="2",BI144,0),2)</f>
        <v>0</v>
      </c>
      <c r="AH144" s="55">
        <f>ROUND(IF(AQ144="0",BJ144,0),2)</f>
        <v>0</v>
      </c>
      <c r="AI144" s="36" t="s">
        <v>4</v>
      </c>
      <c r="AJ144" s="55">
        <f>IF(AN144=0,H144,0)</f>
        <v>0</v>
      </c>
      <c r="AK144" s="55">
        <f>IF(AN144=12,H144,0)</f>
        <v>0</v>
      </c>
      <c r="AL144" s="55">
        <f>IF(AN144=21,H144,0)</f>
        <v>0</v>
      </c>
      <c r="AN144" s="55">
        <v>12</v>
      </c>
      <c r="AO144" s="55">
        <f>G144*0.946943897</f>
        <v>0</v>
      </c>
      <c r="AP144" s="55">
        <f>G144*(1-0.946943897)</f>
        <v>0</v>
      </c>
      <c r="AQ144" s="57" t="s">
        <v>108</v>
      </c>
      <c r="AV144" s="55">
        <f>ROUND(AW144+AX144,2)</f>
        <v>0</v>
      </c>
      <c r="AW144" s="55">
        <f>ROUND(F144*AO144,2)</f>
        <v>0</v>
      </c>
      <c r="AX144" s="55">
        <f>ROUND(F144*AP144,2)</f>
        <v>0</v>
      </c>
      <c r="AY144" s="57" t="s">
        <v>353</v>
      </c>
      <c r="AZ144" s="57" t="s">
        <v>354</v>
      </c>
      <c r="BA144" s="36" t="s">
        <v>115</v>
      </c>
      <c r="BC144" s="55">
        <f>AW144+AX144</f>
        <v>0</v>
      </c>
      <c r="BD144" s="55">
        <f>G144/(100-BE144)*100</f>
        <v>0</v>
      </c>
      <c r="BE144" s="55">
        <v>0</v>
      </c>
      <c r="BF144" s="55">
        <f>144</f>
        <v>144</v>
      </c>
      <c r="BH144" s="55">
        <f>F144*AO144</f>
        <v>0</v>
      </c>
      <c r="BI144" s="55">
        <f>F144*AP144</f>
        <v>0</v>
      </c>
      <c r="BJ144" s="55">
        <f>F144*G144</f>
        <v>0</v>
      </c>
      <c r="BK144" s="55"/>
      <c r="BL144" s="55">
        <v>94</v>
      </c>
      <c r="BW144" s="55">
        <v>12</v>
      </c>
      <c r="BX144" s="3" t="s">
        <v>358</v>
      </c>
    </row>
    <row r="145" spans="1:76" x14ac:dyDescent="0.25">
      <c r="A145" s="58"/>
      <c r="C145" s="60" t="s">
        <v>355</v>
      </c>
      <c r="D145" s="60" t="s">
        <v>4</v>
      </c>
      <c r="F145" s="61">
        <v>400</v>
      </c>
      <c r="J145" s="50"/>
    </row>
    <row r="146" spans="1:76" x14ac:dyDescent="0.25">
      <c r="A146" s="1" t="s">
        <v>359</v>
      </c>
      <c r="B146" s="2" t="s">
        <v>360</v>
      </c>
      <c r="C146" s="82" t="s">
        <v>361</v>
      </c>
      <c r="D146" s="79"/>
      <c r="E146" s="2" t="s">
        <v>124</v>
      </c>
      <c r="F146" s="55">
        <v>400</v>
      </c>
      <c r="G146" s="56">
        <v>0</v>
      </c>
      <c r="H146" s="55">
        <f>ROUND(F146*G146,2)</f>
        <v>0</v>
      </c>
      <c r="I146" s="57" t="s">
        <v>112</v>
      </c>
      <c r="J146" s="50"/>
      <c r="Z146" s="55">
        <f>ROUND(IF(AQ146="5",BJ146,0),2)</f>
        <v>0</v>
      </c>
      <c r="AB146" s="55">
        <f>ROUND(IF(AQ146="1",BH146,0),2)</f>
        <v>0</v>
      </c>
      <c r="AC146" s="55">
        <f>ROUND(IF(AQ146="1",BI146,0),2)</f>
        <v>0</v>
      </c>
      <c r="AD146" s="55">
        <f>ROUND(IF(AQ146="7",BH146,0),2)</f>
        <v>0</v>
      </c>
      <c r="AE146" s="55">
        <f>ROUND(IF(AQ146="7",BI146,0),2)</f>
        <v>0</v>
      </c>
      <c r="AF146" s="55">
        <f>ROUND(IF(AQ146="2",BH146,0),2)</f>
        <v>0</v>
      </c>
      <c r="AG146" s="55">
        <f>ROUND(IF(AQ146="2",BI146,0),2)</f>
        <v>0</v>
      </c>
      <c r="AH146" s="55">
        <f>ROUND(IF(AQ146="0",BJ146,0),2)</f>
        <v>0</v>
      </c>
      <c r="AI146" s="36" t="s">
        <v>4</v>
      </c>
      <c r="AJ146" s="55">
        <f>IF(AN146=0,H146,0)</f>
        <v>0</v>
      </c>
      <c r="AK146" s="55">
        <f>IF(AN146=12,H146,0)</f>
        <v>0</v>
      </c>
      <c r="AL146" s="55">
        <f>IF(AN146=21,H146,0)</f>
        <v>0</v>
      </c>
      <c r="AN146" s="55">
        <v>12</v>
      </c>
      <c r="AO146" s="55">
        <f>G146*0</f>
        <v>0</v>
      </c>
      <c r="AP146" s="55">
        <f>G146*(1-0)</f>
        <v>0</v>
      </c>
      <c r="AQ146" s="57" t="s">
        <v>108</v>
      </c>
      <c r="AV146" s="55">
        <f>ROUND(AW146+AX146,2)</f>
        <v>0</v>
      </c>
      <c r="AW146" s="55">
        <f>ROUND(F146*AO146,2)</f>
        <v>0</v>
      </c>
      <c r="AX146" s="55">
        <f>ROUND(F146*AP146,2)</f>
        <v>0</v>
      </c>
      <c r="AY146" s="57" t="s">
        <v>353</v>
      </c>
      <c r="AZ146" s="57" t="s">
        <v>354</v>
      </c>
      <c r="BA146" s="36" t="s">
        <v>115</v>
      </c>
      <c r="BC146" s="55">
        <f>AW146+AX146</f>
        <v>0</v>
      </c>
      <c r="BD146" s="55">
        <f>G146/(100-BE146)*100</f>
        <v>0</v>
      </c>
      <c r="BE146" s="55">
        <v>0</v>
      </c>
      <c r="BF146" s="55">
        <f>146</f>
        <v>146</v>
      </c>
      <c r="BH146" s="55">
        <f>F146*AO146</f>
        <v>0</v>
      </c>
      <c r="BI146" s="55">
        <f>F146*AP146</f>
        <v>0</v>
      </c>
      <c r="BJ146" s="55">
        <f>F146*G146</f>
        <v>0</v>
      </c>
      <c r="BK146" s="55"/>
      <c r="BL146" s="55">
        <v>94</v>
      </c>
      <c r="BW146" s="55">
        <v>12</v>
      </c>
      <c r="BX146" s="3" t="s">
        <v>361</v>
      </c>
    </row>
    <row r="147" spans="1:76" x14ac:dyDescent="0.25">
      <c r="A147" s="58"/>
      <c r="C147" s="60" t="s">
        <v>355</v>
      </c>
      <c r="D147" s="60" t="s">
        <v>4</v>
      </c>
      <c r="F147" s="61">
        <v>400</v>
      </c>
      <c r="J147" s="50"/>
    </row>
    <row r="148" spans="1:76" x14ac:dyDescent="0.25">
      <c r="A148" s="51" t="s">
        <v>4</v>
      </c>
      <c r="B148" s="52" t="s">
        <v>362</v>
      </c>
      <c r="C148" s="155" t="s">
        <v>363</v>
      </c>
      <c r="D148" s="156"/>
      <c r="E148" s="53" t="s">
        <v>73</v>
      </c>
      <c r="F148" s="53" t="s">
        <v>73</v>
      </c>
      <c r="G148" s="54" t="s">
        <v>73</v>
      </c>
      <c r="H148" s="28">
        <f>SUM(H149:H155)</f>
        <v>0</v>
      </c>
      <c r="I148" s="36" t="s">
        <v>4</v>
      </c>
      <c r="J148" s="50"/>
      <c r="AI148" s="36" t="s">
        <v>4</v>
      </c>
      <c r="AS148" s="28">
        <f>SUM(AJ149:AJ155)</f>
        <v>0</v>
      </c>
      <c r="AT148" s="28">
        <f>SUM(AK149:AK155)</f>
        <v>0</v>
      </c>
      <c r="AU148" s="28">
        <f>SUM(AL149:AL155)</f>
        <v>0</v>
      </c>
    </row>
    <row r="149" spans="1:76" x14ac:dyDescent="0.25">
      <c r="A149" s="1" t="s">
        <v>364</v>
      </c>
      <c r="B149" s="2" t="s">
        <v>365</v>
      </c>
      <c r="C149" s="82" t="s">
        <v>366</v>
      </c>
      <c r="D149" s="79"/>
      <c r="E149" s="2" t="s">
        <v>152</v>
      </c>
      <c r="F149" s="55">
        <v>1</v>
      </c>
      <c r="G149" s="56">
        <v>0</v>
      </c>
      <c r="H149" s="55">
        <f>ROUND(F149*G149,2)</f>
        <v>0</v>
      </c>
      <c r="I149" s="57" t="s">
        <v>144</v>
      </c>
      <c r="J149" s="50"/>
      <c r="Z149" s="55">
        <f>ROUND(IF(AQ149="5",BJ149,0),2)</f>
        <v>0</v>
      </c>
      <c r="AB149" s="55">
        <f>ROUND(IF(AQ149="1",BH149,0),2)</f>
        <v>0</v>
      </c>
      <c r="AC149" s="55">
        <f>ROUND(IF(AQ149="1",BI149,0),2)</f>
        <v>0</v>
      </c>
      <c r="AD149" s="55">
        <f>ROUND(IF(AQ149="7",BH149,0),2)</f>
        <v>0</v>
      </c>
      <c r="AE149" s="55">
        <f>ROUND(IF(AQ149="7",BI149,0),2)</f>
        <v>0</v>
      </c>
      <c r="AF149" s="55">
        <f>ROUND(IF(AQ149="2",BH149,0),2)</f>
        <v>0</v>
      </c>
      <c r="AG149" s="55">
        <f>ROUND(IF(AQ149="2",BI149,0),2)</f>
        <v>0</v>
      </c>
      <c r="AH149" s="55">
        <f>ROUND(IF(AQ149="0",BJ149,0),2)</f>
        <v>0</v>
      </c>
      <c r="AI149" s="36" t="s">
        <v>4</v>
      </c>
      <c r="AJ149" s="55">
        <f>IF(AN149=0,H149,0)</f>
        <v>0</v>
      </c>
      <c r="AK149" s="55">
        <f>IF(AN149=12,H149,0)</f>
        <v>0</v>
      </c>
      <c r="AL149" s="55">
        <f>IF(AN149=21,H149,0)</f>
        <v>0</v>
      </c>
      <c r="AN149" s="55">
        <v>12</v>
      </c>
      <c r="AO149" s="55">
        <f>G149*0.050383667</f>
        <v>0</v>
      </c>
      <c r="AP149" s="55">
        <f>G149*(1-0.050383667)</f>
        <v>0</v>
      </c>
      <c r="AQ149" s="57" t="s">
        <v>108</v>
      </c>
      <c r="AV149" s="55">
        <f>ROUND(AW149+AX149,2)</f>
        <v>0</v>
      </c>
      <c r="AW149" s="55">
        <f>ROUND(F149*AO149,2)</f>
        <v>0</v>
      </c>
      <c r="AX149" s="55">
        <f>ROUND(F149*AP149,2)</f>
        <v>0</v>
      </c>
      <c r="AY149" s="57" t="s">
        <v>367</v>
      </c>
      <c r="AZ149" s="57" t="s">
        <v>354</v>
      </c>
      <c r="BA149" s="36" t="s">
        <v>115</v>
      </c>
      <c r="BC149" s="55">
        <f>AW149+AX149</f>
        <v>0</v>
      </c>
      <c r="BD149" s="55">
        <f>G149/(100-BE149)*100</f>
        <v>0</v>
      </c>
      <c r="BE149" s="55">
        <v>0</v>
      </c>
      <c r="BF149" s="55">
        <f>149</f>
        <v>149</v>
      </c>
      <c r="BH149" s="55">
        <f>F149*AO149</f>
        <v>0</v>
      </c>
      <c r="BI149" s="55">
        <f>F149*AP149</f>
        <v>0</v>
      </c>
      <c r="BJ149" s="55">
        <f>F149*G149</f>
        <v>0</v>
      </c>
      <c r="BK149" s="55"/>
      <c r="BL149" s="55">
        <v>96</v>
      </c>
      <c r="BW149" s="55">
        <v>12</v>
      </c>
      <c r="BX149" s="3" t="s">
        <v>366</v>
      </c>
    </row>
    <row r="150" spans="1:76" x14ac:dyDescent="0.25">
      <c r="A150" s="58"/>
      <c r="C150" s="60" t="s">
        <v>108</v>
      </c>
      <c r="D150" s="60" t="s">
        <v>4</v>
      </c>
      <c r="F150" s="61">
        <v>1</v>
      </c>
      <c r="J150" s="50"/>
    </row>
    <row r="151" spans="1:76" x14ac:dyDescent="0.25">
      <c r="A151" s="1" t="s">
        <v>368</v>
      </c>
      <c r="B151" s="2" t="s">
        <v>369</v>
      </c>
      <c r="C151" s="82" t="s">
        <v>370</v>
      </c>
      <c r="D151" s="79"/>
      <c r="E151" s="2" t="s">
        <v>111</v>
      </c>
      <c r="F151" s="55">
        <v>0.5</v>
      </c>
      <c r="G151" s="56">
        <v>0</v>
      </c>
      <c r="H151" s="55">
        <f>ROUND(F151*G151,2)</f>
        <v>0</v>
      </c>
      <c r="I151" s="57" t="s">
        <v>112</v>
      </c>
      <c r="J151" s="50"/>
      <c r="Z151" s="55">
        <f>ROUND(IF(AQ151="5",BJ151,0),2)</f>
        <v>0</v>
      </c>
      <c r="AB151" s="55">
        <f>ROUND(IF(AQ151="1",BH151,0),2)</f>
        <v>0</v>
      </c>
      <c r="AC151" s="55">
        <f>ROUND(IF(AQ151="1",BI151,0),2)</f>
        <v>0</v>
      </c>
      <c r="AD151" s="55">
        <f>ROUND(IF(AQ151="7",BH151,0),2)</f>
        <v>0</v>
      </c>
      <c r="AE151" s="55">
        <f>ROUND(IF(AQ151="7",BI151,0),2)</f>
        <v>0</v>
      </c>
      <c r="AF151" s="55">
        <f>ROUND(IF(AQ151="2",BH151,0),2)</f>
        <v>0</v>
      </c>
      <c r="AG151" s="55">
        <f>ROUND(IF(AQ151="2",BI151,0),2)</f>
        <v>0</v>
      </c>
      <c r="AH151" s="55">
        <f>ROUND(IF(AQ151="0",BJ151,0),2)</f>
        <v>0</v>
      </c>
      <c r="AI151" s="36" t="s">
        <v>4</v>
      </c>
      <c r="AJ151" s="55">
        <f>IF(AN151=0,H151,0)</f>
        <v>0</v>
      </c>
      <c r="AK151" s="55">
        <f>IF(AN151=12,H151,0)</f>
        <v>0</v>
      </c>
      <c r="AL151" s="55">
        <f>IF(AN151=21,H151,0)</f>
        <v>0</v>
      </c>
      <c r="AN151" s="55">
        <v>12</v>
      </c>
      <c r="AO151" s="55">
        <f>G151*0</f>
        <v>0</v>
      </c>
      <c r="AP151" s="55">
        <f>G151*(1-0)</f>
        <v>0</v>
      </c>
      <c r="AQ151" s="57" t="s">
        <v>108</v>
      </c>
      <c r="AV151" s="55">
        <f>ROUND(AW151+AX151,2)</f>
        <v>0</v>
      </c>
      <c r="AW151" s="55">
        <f>ROUND(F151*AO151,2)</f>
        <v>0</v>
      </c>
      <c r="AX151" s="55">
        <f>ROUND(F151*AP151,2)</f>
        <v>0</v>
      </c>
      <c r="AY151" s="57" t="s">
        <v>367</v>
      </c>
      <c r="AZ151" s="57" t="s">
        <v>354</v>
      </c>
      <c r="BA151" s="36" t="s">
        <v>115</v>
      </c>
      <c r="BC151" s="55">
        <f>AW151+AX151</f>
        <v>0</v>
      </c>
      <c r="BD151" s="55">
        <f>G151/(100-BE151)*100</f>
        <v>0</v>
      </c>
      <c r="BE151" s="55">
        <v>0</v>
      </c>
      <c r="BF151" s="55">
        <f>151</f>
        <v>151</v>
      </c>
      <c r="BH151" s="55">
        <f>F151*AO151</f>
        <v>0</v>
      </c>
      <c r="BI151" s="55">
        <f>F151*AP151</f>
        <v>0</v>
      </c>
      <c r="BJ151" s="55">
        <f>F151*G151</f>
        <v>0</v>
      </c>
      <c r="BK151" s="55"/>
      <c r="BL151" s="55">
        <v>96</v>
      </c>
      <c r="BW151" s="55">
        <v>12</v>
      </c>
      <c r="BX151" s="3" t="s">
        <v>370</v>
      </c>
    </row>
    <row r="152" spans="1:76" x14ac:dyDescent="0.25">
      <c r="A152" s="58"/>
      <c r="C152" s="60" t="s">
        <v>371</v>
      </c>
      <c r="D152" s="60" t="s">
        <v>372</v>
      </c>
      <c r="F152" s="61">
        <v>0.5</v>
      </c>
      <c r="J152" s="50"/>
    </row>
    <row r="153" spans="1:76" x14ac:dyDescent="0.25">
      <c r="A153" s="1" t="s">
        <v>373</v>
      </c>
      <c r="B153" s="2" t="s">
        <v>374</v>
      </c>
      <c r="C153" s="82" t="s">
        <v>375</v>
      </c>
      <c r="D153" s="79"/>
      <c r="E153" s="2" t="s">
        <v>152</v>
      </c>
      <c r="F153" s="55">
        <v>1</v>
      </c>
      <c r="G153" s="56">
        <v>0</v>
      </c>
      <c r="H153" s="55">
        <f>ROUND(F153*G153,2)</f>
        <v>0</v>
      </c>
      <c r="I153" s="57" t="s">
        <v>112</v>
      </c>
      <c r="J153" s="50"/>
      <c r="Z153" s="55">
        <f>ROUND(IF(AQ153="5",BJ153,0),2)</f>
        <v>0</v>
      </c>
      <c r="AB153" s="55">
        <f>ROUND(IF(AQ153="1",BH153,0),2)</f>
        <v>0</v>
      </c>
      <c r="AC153" s="55">
        <f>ROUND(IF(AQ153="1",BI153,0),2)</f>
        <v>0</v>
      </c>
      <c r="AD153" s="55">
        <f>ROUND(IF(AQ153="7",BH153,0),2)</f>
        <v>0</v>
      </c>
      <c r="AE153" s="55">
        <f>ROUND(IF(AQ153="7",BI153,0),2)</f>
        <v>0</v>
      </c>
      <c r="AF153" s="55">
        <f>ROUND(IF(AQ153="2",BH153,0),2)</f>
        <v>0</v>
      </c>
      <c r="AG153" s="55">
        <f>ROUND(IF(AQ153="2",BI153,0),2)</f>
        <v>0</v>
      </c>
      <c r="AH153" s="55">
        <f>ROUND(IF(AQ153="0",BJ153,0),2)</f>
        <v>0</v>
      </c>
      <c r="AI153" s="36" t="s">
        <v>4</v>
      </c>
      <c r="AJ153" s="55">
        <f>IF(AN153=0,H153,0)</f>
        <v>0</v>
      </c>
      <c r="AK153" s="55">
        <f>IF(AN153=12,H153,0)</f>
        <v>0</v>
      </c>
      <c r="AL153" s="55">
        <f>IF(AN153=21,H153,0)</f>
        <v>0</v>
      </c>
      <c r="AN153" s="55">
        <v>12</v>
      </c>
      <c r="AO153" s="55">
        <f>G153*0.067736132</f>
        <v>0</v>
      </c>
      <c r="AP153" s="55">
        <f>G153*(1-0.067736132)</f>
        <v>0</v>
      </c>
      <c r="AQ153" s="57" t="s">
        <v>108</v>
      </c>
      <c r="AV153" s="55">
        <f>ROUND(AW153+AX153,2)</f>
        <v>0</v>
      </c>
      <c r="AW153" s="55">
        <f>ROUND(F153*AO153,2)</f>
        <v>0</v>
      </c>
      <c r="AX153" s="55">
        <f>ROUND(F153*AP153,2)</f>
        <v>0</v>
      </c>
      <c r="AY153" s="57" t="s">
        <v>367</v>
      </c>
      <c r="AZ153" s="57" t="s">
        <v>354</v>
      </c>
      <c r="BA153" s="36" t="s">
        <v>115</v>
      </c>
      <c r="BC153" s="55">
        <f>AW153+AX153</f>
        <v>0</v>
      </c>
      <c r="BD153" s="55">
        <f>G153/(100-BE153)*100</f>
        <v>0</v>
      </c>
      <c r="BE153" s="55">
        <v>0</v>
      </c>
      <c r="BF153" s="55">
        <f>153</f>
        <v>153</v>
      </c>
      <c r="BH153" s="55">
        <f>F153*AO153</f>
        <v>0</v>
      </c>
      <c r="BI153" s="55">
        <f>F153*AP153</f>
        <v>0</v>
      </c>
      <c r="BJ153" s="55">
        <f>F153*G153</f>
        <v>0</v>
      </c>
      <c r="BK153" s="55"/>
      <c r="BL153" s="55">
        <v>96</v>
      </c>
      <c r="BW153" s="55">
        <v>12</v>
      </c>
      <c r="BX153" s="3" t="s">
        <v>375</v>
      </c>
    </row>
    <row r="154" spans="1:76" x14ac:dyDescent="0.25">
      <c r="A154" s="58"/>
      <c r="C154" s="60" t="s">
        <v>108</v>
      </c>
      <c r="D154" s="60" t="s">
        <v>4</v>
      </c>
      <c r="F154" s="61">
        <v>1</v>
      </c>
      <c r="J154" s="50"/>
    </row>
    <row r="155" spans="1:76" x14ac:dyDescent="0.25">
      <c r="A155" s="1" t="s">
        <v>376</v>
      </c>
      <c r="B155" s="2" t="s">
        <v>377</v>
      </c>
      <c r="C155" s="82" t="s">
        <v>378</v>
      </c>
      <c r="D155" s="79"/>
      <c r="E155" s="2" t="s">
        <v>111</v>
      </c>
      <c r="F155" s="55">
        <v>0.11</v>
      </c>
      <c r="G155" s="56">
        <v>0</v>
      </c>
      <c r="H155" s="55">
        <f>ROUND(F155*G155,2)</f>
        <v>0</v>
      </c>
      <c r="I155" s="57" t="s">
        <v>112</v>
      </c>
      <c r="J155" s="50"/>
      <c r="Z155" s="55">
        <f>ROUND(IF(AQ155="5",BJ155,0),2)</f>
        <v>0</v>
      </c>
      <c r="AB155" s="55">
        <f>ROUND(IF(AQ155="1",BH155,0),2)</f>
        <v>0</v>
      </c>
      <c r="AC155" s="55">
        <f>ROUND(IF(AQ155="1",BI155,0),2)</f>
        <v>0</v>
      </c>
      <c r="AD155" s="55">
        <f>ROUND(IF(AQ155="7",BH155,0),2)</f>
        <v>0</v>
      </c>
      <c r="AE155" s="55">
        <f>ROUND(IF(AQ155="7",BI155,0),2)</f>
        <v>0</v>
      </c>
      <c r="AF155" s="55">
        <f>ROUND(IF(AQ155="2",BH155,0),2)</f>
        <v>0</v>
      </c>
      <c r="AG155" s="55">
        <f>ROUND(IF(AQ155="2",BI155,0),2)</f>
        <v>0</v>
      </c>
      <c r="AH155" s="55">
        <f>ROUND(IF(AQ155="0",BJ155,0),2)</f>
        <v>0</v>
      </c>
      <c r="AI155" s="36" t="s">
        <v>4</v>
      </c>
      <c r="AJ155" s="55">
        <f>IF(AN155=0,H155,0)</f>
        <v>0</v>
      </c>
      <c r="AK155" s="55">
        <f>IF(AN155=12,H155,0)</f>
        <v>0</v>
      </c>
      <c r="AL155" s="55">
        <f>IF(AN155=21,H155,0)</f>
        <v>0</v>
      </c>
      <c r="AN155" s="55">
        <v>12</v>
      </c>
      <c r="AO155" s="55">
        <f>G155*0</f>
        <v>0</v>
      </c>
      <c r="AP155" s="55">
        <f>G155*(1-0)</f>
        <v>0</v>
      </c>
      <c r="AQ155" s="57" t="s">
        <v>108</v>
      </c>
      <c r="AV155" s="55">
        <f>ROUND(AW155+AX155,2)</f>
        <v>0</v>
      </c>
      <c r="AW155" s="55">
        <f>ROUND(F155*AO155,2)</f>
        <v>0</v>
      </c>
      <c r="AX155" s="55">
        <f>ROUND(F155*AP155,2)</f>
        <v>0</v>
      </c>
      <c r="AY155" s="57" t="s">
        <v>367</v>
      </c>
      <c r="AZ155" s="57" t="s">
        <v>354</v>
      </c>
      <c r="BA155" s="36" t="s">
        <v>115</v>
      </c>
      <c r="BC155" s="55">
        <f>AW155+AX155</f>
        <v>0</v>
      </c>
      <c r="BD155" s="55">
        <f>G155/(100-BE155)*100</f>
        <v>0</v>
      </c>
      <c r="BE155" s="55">
        <v>0</v>
      </c>
      <c r="BF155" s="55">
        <f>155</f>
        <v>155</v>
      </c>
      <c r="BH155" s="55">
        <f>F155*AO155</f>
        <v>0</v>
      </c>
      <c r="BI155" s="55">
        <f>F155*AP155</f>
        <v>0</v>
      </c>
      <c r="BJ155" s="55">
        <f>F155*G155</f>
        <v>0</v>
      </c>
      <c r="BK155" s="55"/>
      <c r="BL155" s="55">
        <v>96</v>
      </c>
      <c r="BW155" s="55">
        <v>12</v>
      </c>
      <c r="BX155" s="3" t="s">
        <v>378</v>
      </c>
    </row>
    <row r="156" spans="1:76" ht="13.5" customHeight="1" x14ac:dyDescent="0.25">
      <c r="A156" s="58"/>
      <c r="B156" s="59" t="s">
        <v>116</v>
      </c>
      <c r="C156" s="157" t="s">
        <v>379</v>
      </c>
      <c r="D156" s="158"/>
      <c r="E156" s="158"/>
      <c r="F156" s="158"/>
      <c r="G156" s="159"/>
      <c r="H156" s="158"/>
      <c r="I156" s="158"/>
      <c r="J156" s="160"/>
    </row>
    <row r="157" spans="1:76" x14ac:dyDescent="0.25">
      <c r="A157" s="58"/>
      <c r="C157" s="60" t="s">
        <v>380</v>
      </c>
      <c r="D157" s="60" t="s">
        <v>381</v>
      </c>
      <c r="F157" s="61">
        <v>4.4999999999999998E-2</v>
      </c>
      <c r="J157" s="50"/>
    </row>
    <row r="158" spans="1:76" x14ac:dyDescent="0.25">
      <c r="A158" s="58"/>
      <c r="C158" s="60" t="s">
        <v>382</v>
      </c>
      <c r="D158" s="60" t="s">
        <v>4</v>
      </c>
      <c r="F158" s="61">
        <v>2.5000000000000001E-2</v>
      </c>
      <c r="J158" s="50"/>
    </row>
    <row r="159" spans="1:76" x14ac:dyDescent="0.25">
      <c r="A159" s="58"/>
      <c r="C159" s="60" t="s">
        <v>383</v>
      </c>
      <c r="D159" s="60" t="s">
        <v>4</v>
      </c>
      <c r="F159" s="61">
        <v>0.04</v>
      </c>
      <c r="J159" s="50"/>
    </row>
    <row r="160" spans="1:76" x14ac:dyDescent="0.25">
      <c r="A160" s="51" t="s">
        <v>4</v>
      </c>
      <c r="B160" s="52" t="s">
        <v>384</v>
      </c>
      <c r="C160" s="155" t="s">
        <v>385</v>
      </c>
      <c r="D160" s="156"/>
      <c r="E160" s="53" t="s">
        <v>73</v>
      </c>
      <c r="F160" s="53" t="s">
        <v>73</v>
      </c>
      <c r="G160" s="54" t="s">
        <v>73</v>
      </c>
      <c r="H160" s="28">
        <f>SUM(H161:H163)</f>
        <v>0</v>
      </c>
      <c r="I160" s="36" t="s">
        <v>4</v>
      </c>
      <c r="J160" s="50"/>
      <c r="AI160" s="36" t="s">
        <v>4</v>
      </c>
      <c r="AS160" s="28">
        <f>SUM(AJ161:AJ163)</f>
        <v>0</v>
      </c>
      <c r="AT160" s="28">
        <f>SUM(AK161:AK163)</f>
        <v>0</v>
      </c>
      <c r="AU160" s="28">
        <f>SUM(AL161:AL163)</f>
        <v>0</v>
      </c>
    </row>
    <row r="161" spans="1:76" x14ac:dyDescent="0.25">
      <c r="A161" s="1" t="s">
        <v>386</v>
      </c>
      <c r="B161" s="2" t="s">
        <v>387</v>
      </c>
      <c r="C161" s="82" t="s">
        <v>388</v>
      </c>
      <c r="D161" s="79"/>
      <c r="E161" s="2" t="s">
        <v>152</v>
      </c>
      <c r="F161" s="55">
        <v>10</v>
      </c>
      <c r="G161" s="56">
        <v>0</v>
      </c>
      <c r="H161" s="55">
        <f>ROUND(F161*G161,2)</f>
        <v>0</v>
      </c>
      <c r="I161" s="57" t="s">
        <v>112</v>
      </c>
      <c r="J161" s="50"/>
      <c r="Z161" s="55">
        <f>ROUND(IF(AQ161="5",BJ161,0),2)</f>
        <v>0</v>
      </c>
      <c r="AB161" s="55">
        <f>ROUND(IF(AQ161="1",BH161,0),2)</f>
        <v>0</v>
      </c>
      <c r="AC161" s="55">
        <f>ROUND(IF(AQ161="1",BI161,0),2)</f>
        <v>0</v>
      </c>
      <c r="AD161" s="55">
        <f>ROUND(IF(AQ161="7",BH161,0),2)</f>
        <v>0</v>
      </c>
      <c r="AE161" s="55">
        <f>ROUND(IF(AQ161="7",BI161,0),2)</f>
        <v>0</v>
      </c>
      <c r="AF161" s="55">
        <f>ROUND(IF(AQ161="2",BH161,0),2)</f>
        <v>0</v>
      </c>
      <c r="AG161" s="55">
        <f>ROUND(IF(AQ161="2",BI161,0),2)</f>
        <v>0</v>
      </c>
      <c r="AH161" s="55">
        <f>ROUND(IF(AQ161="0",BJ161,0),2)</f>
        <v>0</v>
      </c>
      <c r="AI161" s="36" t="s">
        <v>4</v>
      </c>
      <c r="AJ161" s="55">
        <f>IF(AN161=0,H161,0)</f>
        <v>0</v>
      </c>
      <c r="AK161" s="55">
        <f>IF(AN161=12,H161,0)</f>
        <v>0</v>
      </c>
      <c r="AL161" s="55">
        <f>IF(AN161=21,H161,0)</f>
        <v>0</v>
      </c>
      <c r="AN161" s="55">
        <v>12</v>
      </c>
      <c r="AO161" s="55">
        <f>G161*0.088318182</f>
        <v>0</v>
      </c>
      <c r="AP161" s="55">
        <f>G161*(1-0.088318182)</f>
        <v>0</v>
      </c>
      <c r="AQ161" s="57" t="s">
        <v>108</v>
      </c>
      <c r="AV161" s="55">
        <f>ROUND(AW161+AX161,2)</f>
        <v>0</v>
      </c>
      <c r="AW161" s="55">
        <f>ROUND(F161*AO161,2)</f>
        <v>0</v>
      </c>
      <c r="AX161" s="55">
        <f>ROUND(F161*AP161,2)</f>
        <v>0</v>
      </c>
      <c r="AY161" s="57" t="s">
        <v>389</v>
      </c>
      <c r="AZ161" s="57" t="s">
        <v>354</v>
      </c>
      <c r="BA161" s="36" t="s">
        <v>115</v>
      </c>
      <c r="BC161" s="55">
        <f>AW161+AX161</f>
        <v>0</v>
      </c>
      <c r="BD161" s="55">
        <f>G161/(100-BE161)*100</f>
        <v>0</v>
      </c>
      <c r="BE161" s="55">
        <v>0</v>
      </c>
      <c r="BF161" s="55">
        <f>161</f>
        <v>161</v>
      </c>
      <c r="BH161" s="55">
        <f>F161*AO161</f>
        <v>0</v>
      </c>
      <c r="BI161" s="55">
        <f>F161*AP161</f>
        <v>0</v>
      </c>
      <c r="BJ161" s="55">
        <f>F161*G161</f>
        <v>0</v>
      </c>
      <c r="BK161" s="55"/>
      <c r="BL161" s="55">
        <v>97</v>
      </c>
      <c r="BW161" s="55">
        <v>12</v>
      </c>
      <c r="BX161" s="3" t="s">
        <v>388</v>
      </c>
    </row>
    <row r="162" spans="1:76" x14ac:dyDescent="0.25">
      <c r="A162" s="1" t="s">
        <v>390</v>
      </c>
      <c r="B162" s="2" t="s">
        <v>391</v>
      </c>
      <c r="C162" s="82" t="s">
        <v>392</v>
      </c>
      <c r="D162" s="79"/>
      <c r="E162" s="2" t="s">
        <v>179</v>
      </c>
      <c r="F162" s="55">
        <v>20</v>
      </c>
      <c r="G162" s="56">
        <v>0</v>
      </c>
      <c r="H162" s="55">
        <f>ROUND(F162*G162,2)</f>
        <v>0</v>
      </c>
      <c r="I162" s="57" t="s">
        <v>112</v>
      </c>
      <c r="J162" s="50"/>
      <c r="Z162" s="55">
        <f>ROUND(IF(AQ162="5",BJ162,0),2)</f>
        <v>0</v>
      </c>
      <c r="AB162" s="55">
        <f>ROUND(IF(AQ162="1",BH162,0),2)</f>
        <v>0</v>
      </c>
      <c r="AC162" s="55">
        <f>ROUND(IF(AQ162="1",BI162,0),2)</f>
        <v>0</v>
      </c>
      <c r="AD162" s="55">
        <f>ROUND(IF(AQ162="7",BH162,0),2)</f>
        <v>0</v>
      </c>
      <c r="AE162" s="55">
        <f>ROUND(IF(AQ162="7",BI162,0),2)</f>
        <v>0</v>
      </c>
      <c r="AF162" s="55">
        <f>ROUND(IF(AQ162="2",BH162,0),2)</f>
        <v>0</v>
      </c>
      <c r="AG162" s="55">
        <f>ROUND(IF(AQ162="2",BI162,0),2)</f>
        <v>0</v>
      </c>
      <c r="AH162" s="55">
        <f>ROUND(IF(AQ162="0",BJ162,0),2)</f>
        <v>0</v>
      </c>
      <c r="AI162" s="36" t="s">
        <v>4</v>
      </c>
      <c r="AJ162" s="55">
        <f>IF(AN162=0,H162,0)</f>
        <v>0</v>
      </c>
      <c r="AK162" s="55">
        <f>IF(AN162=12,H162,0)</f>
        <v>0</v>
      </c>
      <c r="AL162" s="55">
        <f>IF(AN162=21,H162,0)</f>
        <v>0</v>
      </c>
      <c r="AN162" s="55">
        <v>12</v>
      </c>
      <c r="AO162" s="55">
        <f>G162*0.159621802</f>
        <v>0</v>
      </c>
      <c r="AP162" s="55">
        <f>G162*(1-0.159621802)</f>
        <v>0</v>
      </c>
      <c r="AQ162" s="57" t="s">
        <v>108</v>
      </c>
      <c r="AV162" s="55">
        <f>ROUND(AW162+AX162,2)</f>
        <v>0</v>
      </c>
      <c r="AW162" s="55">
        <f>ROUND(F162*AO162,2)</f>
        <v>0</v>
      </c>
      <c r="AX162" s="55">
        <f>ROUND(F162*AP162,2)</f>
        <v>0</v>
      </c>
      <c r="AY162" s="57" t="s">
        <v>389</v>
      </c>
      <c r="AZ162" s="57" t="s">
        <v>354</v>
      </c>
      <c r="BA162" s="36" t="s">
        <v>115</v>
      </c>
      <c r="BC162" s="55">
        <f>AW162+AX162</f>
        <v>0</v>
      </c>
      <c r="BD162" s="55">
        <f>G162/(100-BE162)*100</f>
        <v>0</v>
      </c>
      <c r="BE162" s="55">
        <v>0</v>
      </c>
      <c r="BF162" s="55">
        <f>162</f>
        <v>162</v>
      </c>
      <c r="BH162" s="55">
        <f>F162*AO162</f>
        <v>0</v>
      </c>
      <c r="BI162" s="55">
        <f>F162*AP162</f>
        <v>0</v>
      </c>
      <c r="BJ162" s="55">
        <f>F162*G162</f>
        <v>0</v>
      </c>
      <c r="BK162" s="55"/>
      <c r="BL162" s="55">
        <v>97</v>
      </c>
      <c r="BW162" s="55">
        <v>12</v>
      </c>
      <c r="BX162" s="3" t="s">
        <v>392</v>
      </c>
    </row>
    <row r="163" spans="1:76" x14ac:dyDescent="0.25">
      <c r="A163" s="1" t="s">
        <v>393</v>
      </c>
      <c r="B163" s="2" t="s">
        <v>394</v>
      </c>
      <c r="C163" s="82" t="s">
        <v>395</v>
      </c>
      <c r="D163" s="79"/>
      <c r="E163" s="2" t="s">
        <v>152</v>
      </c>
      <c r="F163" s="55">
        <v>2</v>
      </c>
      <c r="G163" s="56">
        <v>0</v>
      </c>
      <c r="H163" s="55">
        <f>ROUND(F163*G163,2)</f>
        <v>0</v>
      </c>
      <c r="I163" s="57" t="s">
        <v>112</v>
      </c>
      <c r="J163" s="50"/>
      <c r="Z163" s="55">
        <f>ROUND(IF(AQ163="5",BJ163,0),2)</f>
        <v>0</v>
      </c>
      <c r="AB163" s="55">
        <f>ROUND(IF(AQ163="1",BH163,0),2)</f>
        <v>0</v>
      </c>
      <c r="AC163" s="55">
        <f>ROUND(IF(AQ163="1",BI163,0),2)</f>
        <v>0</v>
      </c>
      <c r="AD163" s="55">
        <f>ROUND(IF(AQ163="7",BH163,0),2)</f>
        <v>0</v>
      </c>
      <c r="AE163" s="55">
        <f>ROUND(IF(AQ163="7",BI163,0),2)</f>
        <v>0</v>
      </c>
      <c r="AF163" s="55">
        <f>ROUND(IF(AQ163="2",BH163,0),2)</f>
        <v>0</v>
      </c>
      <c r="AG163" s="55">
        <f>ROUND(IF(AQ163="2",BI163,0),2)</f>
        <v>0</v>
      </c>
      <c r="AH163" s="55">
        <f>ROUND(IF(AQ163="0",BJ163,0),2)</f>
        <v>0</v>
      </c>
      <c r="AI163" s="36" t="s">
        <v>4</v>
      </c>
      <c r="AJ163" s="55">
        <f>IF(AN163=0,H163,0)</f>
        <v>0</v>
      </c>
      <c r="AK163" s="55">
        <f>IF(AN163=12,H163,0)</f>
        <v>0</v>
      </c>
      <c r="AL163" s="55">
        <f>IF(AN163=21,H163,0)</f>
        <v>0</v>
      </c>
      <c r="AN163" s="55">
        <v>12</v>
      </c>
      <c r="AO163" s="55">
        <f>G163*0.049059829</f>
        <v>0</v>
      </c>
      <c r="AP163" s="55">
        <f>G163*(1-0.049059829)</f>
        <v>0</v>
      </c>
      <c r="AQ163" s="57" t="s">
        <v>108</v>
      </c>
      <c r="AV163" s="55">
        <f>ROUND(AW163+AX163,2)</f>
        <v>0</v>
      </c>
      <c r="AW163" s="55">
        <f>ROUND(F163*AO163,2)</f>
        <v>0</v>
      </c>
      <c r="AX163" s="55">
        <f>ROUND(F163*AP163,2)</f>
        <v>0</v>
      </c>
      <c r="AY163" s="57" t="s">
        <v>389</v>
      </c>
      <c r="AZ163" s="57" t="s">
        <v>354</v>
      </c>
      <c r="BA163" s="36" t="s">
        <v>115</v>
      </c>
      <c r="BC163" s="55">
        <f>AW163+AX163</f>
        <v>0</v>
      </c>
      <c r="BD163" s="55">
        <f>G163/(100-BE163)*100</f>
        <v>0</v>
      </c>
      <c r="BE163" s="55">
        <v>0</v>
      </c>
      <c r="BF163" s="55">
        <f>163</f>
        <v>163</v>
      </c>
      <c r="BH163" s="55">
        <f>F163*AO163</f>
        <v>0</v>
      </c>
      <c r="BI163" s="55">
        <f>F163*AP163</f>
        <v>0</v>
      </c>
      <c r="BJ163" s="55">
        <f>F163*G163</f>
        <v>0</v>
      </c>
      <c r="BK163" s="55"/>
      <c r="BL163" s="55">
        <v>97</v>
      </c>
      <c r="BW163" s="55">
        <v>12</v>
      </c>
      <c r="BX163" s="3" t="s">
        <v>395</v>
      </c>
    </row>
    <row r="164" spans="1:76" x14ac:dyDescent="0.25">
      <c r="A164" s="51" t="s">
        <v>4</v>
      </c>
      <c r="B164" s="52" t="s">
        <v>396</v>
      </c>
      <c r="C164" s="155" t="s">
        <v>397</v>
      </c>
      <c r="D164" s="156"/>
      <c r="E164" s="53" t="s">
        <v>73</v>
      </c>
      <c r="F164" s="53" t="s">
        <v>73</v>
      </c>
      <c r="G164" s="54" t="s">
        <v>73</v>
      </c>
      <c r="H164" s="28">
        <f>SUM(H165:H165)</f>
        <v>0</v>
      </c>
      <c r="I164" s="36" t="s">
        <v>4</v>
      </c>
      <c r="J164" s="50"/>
      <c r="AI164" s="36" t="s">
        <v>4</v>
      </c>
      <c r="AS164" s="28">
        <f>SUM(AJ165:AJ165)</f>
        <v>0</v>
      </c>
      <c r="AT164" s="28">
        <f>SUM(AK165:AK165)</f>
        <v>0</v>
      </c>
      <c r="AU164" s="28">
        <f>SUM(AL165:AL165)</f>
        <v>0</v>
      </c>
    </row>
    <row r="165" spans="1:76" x14ac:dyDescent="0.25">
      <c r="A165" s="1" t="s">
        <v>398</v>
      </c>
      <c r="B165" s="2" t="s">
        <v>399</v>
      </c>
      <c r="C165" s="82" t="s">
        <v>400</v>
      </c>
      <c r="D165" s="79"/>
      <c r="E165" s="2" t="s">
        <v>149</v>
      </c>
      <c r="F165" s="55">
        <v>0.36007</v>
      </c>
      <c r="G165" s="56">
        <v>0</v>
      </c>
      <c r="H165" s="55">
        <f>ROUND(F165*G165,2)</f>
        <v>0</v>
      </c>
      <c r="I165" s="57" t="s">
        <v>112</v>
      </c>
      <c r="J165" s="50"/>
      <c r="Z165" s="55">
        <f>ROUND(IF(AQ165="5",BJ165,0),2)</f>
        <v>0</v>
      </c>
      <c r="AB165" s="55">
        <f>ROUND(IF(AQ165="1",BH165,0),2)</f>
        <v>0</v>
      </c>
      <c r="AC165" s="55">
        <f>ROUND(IF(AQ165="1",BI165,0),2)</f>
        <v>0</v>
      </c>
      <c r="AD165" s="55">
        <f>ROUND(IF(AQ165="7",BH165,0),2)</f>
        <v>0</v>
      </c>
      <c r="AE165" s="55">
        <f>ROUND(IF(AQ165="7",BI165,0),2)</f>
        <v>0</v>
      </c>
      <c r="AF165" s="55">
        <f>ROUND(IF(AQ165="2",BH165,0),2)</f>
        <v>0</v>
      </c>
      <c r="AG165" s="55">
        <f>ROUND(IF(AQ165="2",BI165,0),2)</f>
        <v>0</v>
      </c>
      <c r="AH165" s="55">
        <f>ROUND(IF(AQ165="0",BJ165,0),2)</f>
        <v>0</v>
      </c>
      <c r="AI165" s="36" t="s">
        <v>4</v>
      </c>
      <c r="AJ165" s="55">
        <f>IF(AN165=0,H165,0)</f>
        <v>0</v>
      </c>
      <c r="AK165" s="55">
        <f>IF(AN165=12,H165,0)</f>
        <v>0</v>
      </c>
      <c r="AL165" s="55">
        <f>IF(AN165=21,H165,0)</f>
        <v>0</v>
      </c>
      <c r="AN165" s="55">
        <v>12</v>
      </c>
      <c r="AO165" s="55">
        <f>G165*0</f>
        <v>0</v>
      </c>
      <c r="AP165" s="55">
        <f>G165*(1-0)</f>
        <v>0</v>
      </c>
      <c r="AQ165" s="57" t="s">
        <v>141</v>
      </c>
      <c r="AV165" s="55">
        <f>ROUND(AW165+AX165,2)</f>
        <v>0</v>
      </c>
      <c r="AW165" s="55">
        <f>ROUND(F165*AO165,2)</f>
        <v>0</v>
      </c>
      <c r="AX165" s="55">
        <f>ROUND(F165*AP165,2)</f>
        <v>0</v>
      </c>
      <c r="AY165" s="57" t="s">
        <v>401</v>
      </c>
      <c r="AZ165" s="57" t="s">
        <v>354</v>
      </c>
      <c r="BA165" s="36" t="s">
        <v>115</v>
      </c>
      <c r="BC165" s="55">
        <f>AW165+AX165</f>
        <v>0</v>
      </c>
      <c r="BD165" s="55">
        <f>G165/(100-BE165)*100</f>
        <v>0</v>
      </c>
      <c r="BE165" s="55">
        <v>0</v>
      </c>
      <c r="BF165" s="55">
        <f>165</f>
        <v>165</v>
      </c>
      <c r="BH165" s="55">
        <f>F165*AO165</f>
        <v>0</v>
      </c>
      <c r="BI165" s="55">
        <f>F165*AP165</f>
        <v>0</v>
      </c>
      <c r="BJ165" s="55">
        <f>F165*G165</f>
        <v>0</v>
      </c>
      <c r="BK165" s="55"/>
      <c r="BL165" s="55"/>
      <c r="BW165" s="55">
        <v>12</v>
      </c>
      <c r="BX165" s="3" t="s">
        <v>400</v>
      </c>
    </row>
    <row r="166" spans="1:76" x14ac:dyDescent="0.25">
      <c r="A166" s="51" t="s">
        <v>4</v>
      </c>
      <c r="B166" s="52" t="s">
        <v>402</v>
      </c>
      <c r="C166" s="155" t="s">
        <v>403</v>
      </c>
      <c r="D166" s="156"/>
      <c r="E166" s="53" t="s">
        <v>73</v>
      </c>
      <c r="F166" s="53" t="s">
        <v>73</v>
      </c>
      <c r="G166" s="54" t="s">
        <v>73</v>
      </c>
      <c r="H166" s="28">
        <f>SUM(H167:H198)</f>
        <v>0</v>
      </c>
      <c r="I166" s="36" t="s">
        <v>4</v>
      </c>
      <c r="J166" s="50"/>
      <c r="AI166" s="36" t="s">
        <v>4</v>
      </c>
      <c r="AS166" s="28">
        <f>SUM(AJ167:AJ198)</f>
        <v>0</v>
      </c>
      <c r="AT166" s="28">
        <f>SUM(AK167:AK198)</f>
        <v>0</v>
      </c>
      <c r="AU166" s="28">
        <f>SUM(AL167:AL198)</f>
        <v>0</v>
      </c>
    </row>
    <row r="167" spans="1:76" x14ac:dyDescent="0.25">
      <c r="A167" s="1" t="s">
        <v>404</v>
      </c>
      <c r="B167" s="2" t="s">
        <v>405</v>
      </c>
      <c r="C167" s="82" t="s">
        <v>406</v>
      </c>
      <c r="D167" s="79"/>
      <c r="E167" s="2" t="s">
        <v>179</v>
      </c>
      <c r="F167" s="55">
        <v>200</v>
      </c>
      <c r="G167" s="56">
        <v>0</v>
      </c>
      <c r="H167" s="55">
        <f>ROUND(F167*G167,2)</f>
        <v>0</v>
      </c>
      <c r="I167" s="57" t="s">
        <v>112</v>
      </c>
      <c r="J167" s="50"/>
      <c r="Z167" s="55">
        <f>ROUND(IF(AQ167="5",BJ167,0),2)</f>
        <v>0</v>
      </c>
      <c r="AB167" s="55">
        <f>ROUND(IF(AQ167="1",BH167,0),2)</f>
        <v>0</v>
      </c>
      <c r="AC167" s="55">
        <f>ROUND(IF(AQ167="1",BI167,0),2)</f>
        <v>0</v>
      </c>
      <c r="AD167" s="55">
        <f>ROUND(IF(AQ167="7",BH167,0),2)</f>
        <v>0</v>
      </c>
      <c r="AE167" s="55">
        <f>ROUND(IF(AQ167="7",BI167,0),2)</f>
        <v>0</v>
      </c>
      <c r="AF167" s="55">
        <f>ROUND(IF(AQ167="2",BH167,0),2)</f>
        <v>0</v>
      </c>
      <c r="AG167" s="55">
        <f>ROUND(IF(AQ167="2",BI167,0),2)</f>
        <v>0</v>
      </c>
      <c r="AH167" s="55">
        <f>ROUND(IF(AQ167="0",BJ167,0),2)</f>
        <v>0</v>
      </c>
      <c r="AI167" s="36" t="s">
        <v>4</v>
      </c>
      <c r="AJ167" s="55">
        <f>IF(AN167=0,H167,0)</f>
        <v>0</v>
      </c>
      <c r="AK167" s="55">
        <f>IF(AN167=12,H167,0)</f>
        <v>0</v>
      </c>
      <c r="AL167" s="55">
        <f>IF(AN167=21,H167,0)</f>
        <v>0</v>
      </c>
      <c r="AN167" s="55">
        <v>12</v>
      </c>
      <c r="AO167" s="55">
        <f>G167*0</f>
        <v>0</v>
      </c>
      <c r="AP167" s="55">
        <f>G167*(1-0)</f>
        <v>0</v>
      </c>
      <c r="AQ167" s="57" t="s">
        <v>121</v>
      </c>
      <c r="AV167" s="55">
        <f>ROUND(AW167+AX167,2)</f>
        <v>0</v>
      </c>
      <c r="AW167" s="55">
        <f>ROUND(F167*AO167,2)</f>
        <v>0</v>
      </c>
      <c r="AX167" s="55">
        <f>ROUND(F167*AP167,2)</f>
        <v>0</v>
      </c>
      <c r="AY167" s="57" t="s">
        <v>407</v>
      </c>
      <c r="AZ167" s="57" t="s">
        <v>354</v>
      </c>
      <c r="BA167" s="36" t="s">
        <v>115</v>
      </c>
      <c r="BC167" s="55">
        <f>AW167+AX167</f>
        <v>0</v>
      </c>
      <c r="BD167" s="55">
        <f>G167/(100-BE167)*100</f>
        <v>0</v>
      </c>
      <c r="BE167" s="55">
        <v>0</v>
      </c>
      <c r="BF167" s="55">
        <f>167</f>
        <v>167</v>
      </c>
      <c r="BH167" s="55">
        <f>F167*AO167</f>
        <v>0</v>
      </c>
      <c r="BI167" s="55">
        <f>F167*AP167</f>
        <v>0</v>
      </c>
      <c r="BJ167" s="55">
        <f>F167*G167</f>
        <v>0</v>
      </c>
      <c r="BK167" s="55"/>
      <c r="BL167" s="55"/>
      <c r="BW167" s="55">
        <v>12</v>
      </c>
      <c r="BX167" s="3" t="s">
        <v>406</v>
      </c>
    </row>
    <row r="168" spans="1:76" ht="13.5" customHeight="1" x14ac:dyDescent="0.25">
      <c r="A168" s="58"/>
      <c r="B168" s="59" t="s">
        <v>116</v>
      </c>
      <c r="C168" s="157" t="s">
        <v>408</v>
      </c>
      <c r="D168" s="158"/>
      <c r="E168" s="158"/>
      <c r="F168" s="158"/>
      <c r="G168" s="159"/>
      <c r="H168" s="158"/>
      <c r="I168" s="158"/>
      <c r="J168" s="160"/>
    </row>
    <row r="169" spans="1:76" x14ac:dyDescent="0.25">
      <c r="A169" s="1" t="s">
        <v>409</v>
      </c>
      <c r="B169" s="2" t="s">
        <v>410</v>
      </c>
      <c r="C169" s="82" t="s">
        <v>411</v>
      </c>
      <c r="D169" s="79"/>
      <c r="E169" s="2" t="s">
        <v>179</v>
      </c>
      <c r="F169" s="55">
        <v>30</v>
      </c>
      <c r="G169" s="56">
        <v>0</v>
      </c>
      <c r="H169" s="55">
        <f t="shared" ref="H169:H189" si="0">ROUND(F169*G169,2)</f>
        <v>0</v>
      </c>
      <c r="I169" s="57" t="s">
        <v>112</v>
      </c>
      <c r="J169" s="50"/>
      <c r="Z169" s="55">
        <f t="shared" ref="Z169:Z189" si="1">ROUND(IF(AQ169="5",BJ169,0),2)</f>
        <v>0</v>
      </c>
      <c r="AB169" s="55">
        <f t="shared" ref="AB169:AB189" si="2">ROUND(IF(AQ169="1",BH169,0),2)</f>
        <v>0</v>
      </c>
      <c r="AC169" s="55">
        <f t="shared" ref="AC169:AC189" si="3">ROUND(IF(AQ169="1",BI169,0),2)</f>
        <v>0</v>
      </c>
      <c r="AD169" s="55">
        <f t="shared" ref="AD169:AD189" si="4">ROUND(IF(AQ169="7",BH169,0),2)</f>
        <v>0</v>
      </c>
      <c r="AE169" s="55">
        <f t="shared" ref="AE169:AE189" si="5">ROUND(IF(AQ169="7",BI169,0),2)</f>
        <v>0</v>
      </c>
      <c r="AF169" s="55">
        <f t="shared" ref="AF169:AF189" si="6">ROUND(IF(AQ169="2",BH169,0),2)</f>
        <v>0</v>
      </c>
      <c r="AG169" s="55">
        <f t="shared" ref="AG169:AG189" si="7">ROUND(IF(AQ169="2",BI169,0),2)</f>
        <v>0</v>
      </c>
      <c r="AH169" s="55">
        <f t="shared" ref="AH169:AH189" si="8">ROUND(IF(AQ169="0",BJ169,0),2)</f>
        <v>0</v>
      </c>
      <c r="AI169" s="36" t="s">
        <v>4</v>
      </c>
      <c r="AJ169" s="55">
        <f t="shared" ref="AJ169:AJ189" si="9">IF(AN169=0,H169,0)</f>
        <v>0</v>
      </c>
      <c r="AK169" s="55">
        <f t="shared" ref="AK169:AK189" si="10">IF(AN169=12,H169,0)</f>
        <v>0</v>
      </c>
      <c r="AL169" s="55">
        <f t="shared" ref="AL169:AL189" si="11">IF(AN169=21,H169,0)</f>
        <v>0</v>
      </c>
      <c r="AN169" s="55">
        <v>12</v>
      </c>
      <c r="AO169" s="55">
        <f t="shared" ref="AO169:AO175" si="12">G169*0</f>
        <v>0</v>
      </c>
      <c r="AP169" s="55">
        <f t="shared" ref="AP169:AP175" si="13">G169*(1-0)</f>
        <v>0</v>
      </c>
      <c r="AQ169" s="57" t="s">
        <v>121</v>
      </c>
      <c r="AV169" s="55">
        <f t="shared" ref="AV169:AV189" si="14">ROUND(AW169+AX169,2)</f>
        <v>0</v>
      </c>
      <c r="AW169" s="55">
        <f t="shared" ref="AW169:AW189" si="15">ROUND(F169*AO169,2)</f>
        <v>0</v>
      </c>
      <c r="AX169" s="55">
        <f t="shared" ref="AX169:AX189" si="16">ROUND(F169*AP169,2)</f>
        <v>0</v>
      </c>
      <c r="AY169" s="57" t="s">
        <v>407</v>
      </c>
      <c r="AZ169" s="57" t="s">
        <v>354</v>
      </c>
      <c r="BA169" s="36" t="s">
        <v>115</v>
      </c>
      <c r="BC169" s="55">
        <f t="shared" ref="BC169:BC189" si="17">AW169+AX169</f>
        <v>0</v>
      </c>
      <c r="BD169" s="55">
        <f t="shared" ref="BD169:BD189" si="18">G169/(100-BE169)*100</f>
        <v>0</v>
      </c>
      <c r="BE169" s="55">
        <v>0</v>
      </c>
      <c r="BF169" s="55">
        <f>169</f>
        <v>169</v>
      </c>
      <c r="BH169" s="55">
        <f t="shared" ref="BH169:BH189" si="19">F169*AO169</f>
        <v>0</v>
      </c>
      <c r="BI169" s="55">
        <f t="shared" ref="BI169:BI189" si="20">F169*AP169</f>
        <v>0</v>
      </c>
      <c r="BJ169" s="55">
        <f t="shared" ref="BJ169:BJ189" si="21">F169*G169</f>
        <v>0</v>
      </c>
      <c r="BK169" s="55"/>
      <c r="BL169" s="55"/>
      <c r="BW169" s="55">
        <v>12</v>
      </c>
      <c r="BX169" s="3" t="s">
        <v>411</v>
      </c>
    </row>
    <row r="170" spans="1:76" x14ac:dyDescent="0.25">
      <c r="A170" s="1" t="s">
        <v>412</v>
      </c>
      <c r="B170" s="2" t="s">
        <v>413</v>
      </c>
      <c r="C170" s="82" t="s">
        <v>414</v>
      </c>
      <c r="D170" s="79"/>
      <c r="E170" s="2" t="s">
        <v>179</v>
      </c>
      <c r="F170" s="55">
        <v>25</v>
      </c>
      <c r="G170" s="56">
        <v>0</v>
      </c>
      <c r="H170" s="55">
        <f t="shared" si="0"/>
        <v>0</v>
      </c>
      <c r="I170" s="57" t="s">
        <v>112</v>
      </c>
      <c r="J170" s="50"/>
      <c r="Z170" s="55">
        <f t="shared" si="1"/>
        <v>0</v>
      </c>
      <c r="AB170" s="55">
        <f t="shared" si="2"/>
        <v>0</v>
      </c>
      <c r="AC170" s="55">
        <f t="shared" si="3"/>
        <v>0</v>
      </c>
      <c r="AD170" s="55">
        <f t="shared" si="4"/>
        <v>0</v>
      </c>
      <c r="AE170" s="55">
        <f t="shared" si="5"/>
        <v>0</v>
      </c>
      <c r="AF170" s="55">
        <f t="shared" si="6"/>
        <v>0</v>
      </c>
      <c r="AG170" s="55">
        <f t="shared" si="7"/>
        <v>0</v>
      </c>
      <c r="AH170" s="55">
        <f t="shared" si="8"/>
        <v>0</v>
      </c>
      <c r="AI170" s="36" t="s">
        <v>4</v>
      </c>
      <c r="AJ170" s="55">
        <f t="shared" si="9"/>
        <v>0</v>
      </c>
      <c r="AK170" s="55">
        <f t="shared" si="10"/>
        <v>0</v>
      </c>
      <c r="AL170" s="55">
        <f t="shared" si="11"/>
        <v>0</v>
      </c>
      <c r="AN170" s="55">
        <v>12</v>
      </c>
      <c r="AO170" s="55">
        <f t="shared" si="12"/>
        <v>0</v>
      </c>
      <c r="AP170" s="55">
        <f t="shared" si="13"/>
        <v>0</v>
      </c>
      <c r="AQ170" s="57" t="s">
        <v>121</v>
      </c>
      <c r="AV170" s="55">
        <f t="shared" si="14"/>
        <v>0</v>
      </c>
      <c r="AW170" s="55">
        <f t="shared" si="15"/>
        <v>0</v>
      </c>
      <c r="AX170" s="55">
        <f t="shared" si="16"/>
        <v>0</v>
      </c>
      <c r="AY170" s="57" t="s">
        <v>407</v>
      </c>
      <c r="AZ170" s="57" t="s">
        <v>354</v>
      </c>
      <c r="BA170" s="36" t="s">
        <v>115</v>
      </c>
      <c r="BC170" s="55">
        <f t="shared" si="17"/>
        <v>0</v>
      </c>
      <c r="BD170" s="55">
        <f t="shared" si="18"/>
        <v>0</v>
      </c>
      <c r="BE170" s="55">
        <v>0</v>
      </c>
      <c r="BF170" s="55">
        <f>170</f>
        <v>170</v>
      </c>
      <c r="BH170" s="55">
        <f t="shared" si="19"/>
        <v>0</v>
      </c>
      <c r="BI170" s="55">
        <f t="shared" si="20"/>
        <v>0</v>
      </c>
      <c r="BJ170" s="55">
        <f t="shared" si="21"/>
        <v>0</v>
      </c>
      <c r="BK170" s="55"/>
      <c r="BL170" s="55"/>
      <c r="BW170" s="55">
        <v>12</v>
      </c>
      <c r="BX170" s="3" t="s">
        <v>414</v>
      </c>
    </row>
    <row r="171" spans="1:76" x14ac:dyDescent="0.25">
      <c r="A171" s="1" t="s">
        <v>415</v>
      </c>
      <c r="B171" s="2" t="s">
        <v>416</v>
      </c>
      <c r="C171" s="82" t="s">
        <v>417</v>
      </c>
      <c r="D171" s="79"/>
      <c r="E171" s="2" t="s">
        <v>152</v>
      </c>
      <c r="F171" s="55">
        <v>5</v>
      </c>
      <c r="G171" s="56">
        <v>0</v>
      </c>
      <c r="H171" s="55">
        <f t="shared" si="0"/>
        <v>0</v>
      </c>
      <c r="I171" s="57" t="s">
        <v>112</v>
      </c>
      <c r="J171" s="50"/>
      <c r="Z171" s="55">
        <f t="shared" si="1"/>
        <v>0</v>
      </c>
      <c r="AB171" s="55">
        <f t="shared" si="2"/>
        <v>0</v>
      </c>
      <c r="AC171" s="55">
        <f t="shared" si="3"/>
        <v>0</v>
      </c>
      <c r="AD171" s="55">
        <f t="shared" si="4"/>
        <v>0</v>
      </c>
      <c r="AE171" s="55">
        <f t="shared" si="5"/>
        <v>0</v>
      </c>
      <c r="AF171" s="55">
        <f t="shared" si="6"/>
        <v>0</v>
      </c>
      <c r="AG171" s="55">
        <f t="shared" si="7"/>
        <v>0</v>
      </c>
      <c r="AH171" s="55">
        <f t="shared" si="8"/>
        <v>0</v>
      </c>
      <c r="AI171" s="36" t="s">
        <v>4</v>
      </c>
      <c r="AJ171" s="55">
        <f t="shared" si="9"/>
        <v>0</v>
      </c>
      <c r="AK171" s="55">
        <f t="shared" si="10"/>
        <v>0</v>
      </c>
      <c r="AL171" s="55">
        <f t="shared" si="11"/>
        <v>0</v>
      </c>
      <c r="AN171" s="55">
        <v>12</v>
      </c>
      <c r="AO171" s="55">
        <f t="shared" si="12"/>
        <v>0</v>
      </c>
      <c r="AP171" s="55">
        <f t="shared" si="13"/>
        <v>0</v>
      </c>
      <c r="AQ171" s="57" t="s">
        <v>121</v>
      </c>
      <c r="AV171" s="55">
        <f t="shared" si="14"/>
        <v>0</v>
      </c>
      <c r="AW171" s="55">
        <f t="shared" si="15"/>
        <v>0</v>
      </c>
      <c r="AX171" s="55">
        <f t="shared" si="16"/>
        <v>0</v>
      </c>
      <c r="AY171" s="57" t="s">
        <v>407</v>
      </c>
      <c r="AZ171" s="57" t="s">
        <v>354</v>
      </c>
      <c r="BA171" s="36" t="s">
        <v>115</v>
      </c>
      <c r="BC171" s="55">
        <f t="shared" si="17"/>
        <v>0</v>
      </c>
      <c r="BD171" s="55">
        <f t="shared" si="18"/>
        <v>0</v>
      </c>
      <c r="BE171" s="55">
        <v>0</v>
      </c>
      <c r="BF171" s="55">
        <f>171</f>
        <v>171</v>
      </c>
      <c r="BH171" s="55">
        <f t="shared" si="19"/>
        <v>0</v>
      </c>
      <c r="BI171" s="55">
        <f t="shared" si="20"/>
        <v>0</v>
      </c>
      <c r="BJ171" s="55">
        <f t="shared" si="21"/>
        <v>0</v>
      </c>
      <c r="BK171" s="55"/>
      <c r="BL171" s="55"/>
      <c r="BW171" s="55">
        <v>12</v>
      </c>
      <c r="BX171" s="3" t="s">
        <v>417</v>
      </c>
    </row>
    <row r="172" spans="1:76" x14ac:dyDescent="0.25">
      <c r="A172" s="1" t="s">
        <v>418</v>
      </c>
      <c r="B172" s="2" t="s">
        <v>419</v>
      </c>
      <c r="C172" s="82" t="s">
        <v>420</v>
      </c>
      <c r="D172" s="79"/>
      <c r="E172" s="2" t="s">
        <v>152</v>
      </c>
      <c r="F172" s="55">
        <v>3</v>
      </c>
      <c r="G172" s="56">
        <v>0</v>
      </c>
      <c r="H172" s="55">
        <f t="shared" si="0"/>
        <v>0</v>
      </c>
      <c r="I172" s="57" t="s">
        <v>112</v>
      </c>
      <c r="J172" s="50"/>
      <c r="Z172" s="55">
        <f t="shared" si="1"/>
        <v>0</v>
      </c>
      <c r="AB172" s="55">
        <f t="shared" si="2"/>
        <v>0</v>
      </c>
      <c r="AC172" s="55">
        <f t="shared" si="3"/>
        <v>0</v>
      </c>
      <c r="AD172" s="55">
        <f t="shared" si="4"/>
        <v>0</v>
      </c>
      <c r="AE172" s="55">
        <f t="shared" si="5"/>
        <v>0</v>
      </c>
      <c r="AF172" s="55">
        <f t="shared" si="6"/>
        <v>0</v>
      </c>
      <c r="AG172" s="55">
        <f t="shared" si="7"/>
        <v>0</v>
      </c>
      <c r="AH172" s="55">
        <f t="shared" si="8"/>
        <v>0</v>
      </c>
      <c r="AI172" s="36" t="s">
        <v>4</v>
      </c>
      <c r="AJ172" s="55">
        <f t="shared" si="9"/>
        <v>0</v>
      </c>
      <c r="AK172" s="55">
        <f t="shared" si="10"/>
        <v>0</v>
      </c>
      <c r="AL172" s="55">
        <f t="shared" si="11"/>
        <v>0</v>
      </c>
      <c r="AN172" s="55">
        <v>12</v>
      </c>
      <c r="AO172" s="55">
        <f t="shared" si="12"/>
        <v>0</v>
      </c>
      <c r="AP172" s="55">
        <f t="shared" si="13"/>
        <v>0</v>
      </c>
      <c r="AQ172" s="57" t="s">
        <v>121</v>
      </c>
      <c r="AV172" s="55">
        <f t="shared" si="14"/>
        <v>0</v>
      </c>
      <c r="AW172" s="55">
        <f t="shared" si="15"/>
        <v>0</v>
      </c>
      <c r="AX172" s="55">
        <f t="shared" si="16"/>
        <v>0</v>
      </c>
      <c r="AY172" s="57" t="s">
        <v>407</v>
      </c>
      <c r="AZ172" s="57" t="s">
        <v>354</v>
      </c>
      <c r="BA172" s="36" t="s">
        <v>115</v>
      </c>
      <c r="BC172" s="55">
        <f t="shared" si="17"/>
        <v>0</v>
      </c>
      <c r="BD172" s="55">
        <f t="shared" si="18"/>
        <v>0</v>
      </c>
      <c r="BE172" s="55">
        <v>0</v>
      </c>
      <c r="BF172" s="55">
        <f>172</f>
        <v>172</v>
      </c>
      <c r="BH172" s="55">
        <f t="shared" si="19"/>
        <v>0</v>
      </c>
      <c r="BI172" s="55">
        <f t="shared" si="20"/>
        <v>0</v>
      </c>
      <c r="BJ172" s="55">
        <f t="shared" si="21"/>
        <v>0</v>
      </c>
      <c r="BK172" s="55"/>
      <c r="BL172" s="55"/>
      <c r="BW172" s="55">
        <v>12</v>
      </c>
      <c r="BX172" s="3" t="s">
        <v>420</v>
      </c>
    </row>
    <row r="173" spans="1:76" x14ac:dyDescent="0.25">
      <c r="A173" s="1" t="s">
        <v>421</v>
      </c>
      <c r="B173" s="2" t="s">
        <v>422</v>
      </c>
      <c r="C173" s="82" t="s">
        <v>423</v>
      </c>
      <c r="D173" s="79"/>
      <c r="E173" s="2" t="s">
        <v>152</v>
      </c>
      <c r="F173" s="55">
        <v>3</v>
      </c>
      <c r="G173" s="56">
        <v>0</v>
      </c>
      <c r="H173" s="55">
        <f t="shared" si="0"/>
        <v>0</v>
      </c>
      <c r="I173" s="57" t="s">
        <v>112</v>
      </c>
      <c r="J173" s="50"/>
      <c r="Z173" s="55">
        <f t="shared" si="1"/>
        <v>0</v>
      </c>
      <c r="AB173" s="55">
        <f t="shared" si="2"/>
        <v>0</v>
      </c>
      <c r="AC173" s="55">
        <f t="shared" si="3"/>
        <v>0</v>
      </c>
      <c r="AD173" s="55">
        <f t="shared" si="4"/>
        <v>0</v>
      </c>
      <c r="AE173" s="55">
        <f t="shared" si="5"/>
        <v>0</v>
      </c>
      <c r="AF173" s="55">
        <f t="shared" si="6"/>
        <v>0</v>
      </c>
      <c r="AG173" s="55">
        <f t="shared" si="7"/>
        <v>0</v>
      </c>
      <c r="AH173" s="55">
        <f t="shared" si="8"/>
        <v>0</v>
      </c>
      <c r="AI173" s="36" t="s">
        <v>4</v>
      </c>
      <c r="AJ173" s="55">
        <f t="shared" si="9"/>
        <v>0</v>
      </c>
      <c r="AK173" s="55">
        <f t="shared" si="10"/>
        <v>0</v>
      </c>
      <c r="AL173" s="55">
        <f t="shared" si="11"/>
        <v>0</v>
      </c>
      <c r="AN173" s="55">
        <v>12</v>
      </c>
      <c r="AO173" s="55">
        <f t="shared" si="12"/>
        <v>0</v>
      </c>
      <c r="AP173" s="55">
        <f t="shared" si="13"/>
        <v>0</v>
      </c>
      <c r="AQ173" s="57" t="s">
        <v>121</v>
      </c>
      <c r="AV173" s="55">
        <f t="shared" si="14"/>
        <v>0</v>
      </c>
      <c r="AW173" s="55">
        <f t="shared" si="15"/>
        <v>0</v>
      </c>
      <c r="AX173" s="55">
        <f t="shared" si="16"/>
        <v>0</v>
      </c>
      <c r="AY173" s="57" t="s">
        <v>407</v>
      </c>
      <c r="AZ173" s="57" t="s">
        <v>354</v>
      </c>
      <c r="BA173" s="36" t="s">
        <v>115</v>
      </c>
      <c r="BC173" s="55">
        <f t="shared" si="17"/>
        <v>0</v>
      </c>
      <c r="BD173" s="55">
        <f t="shared" si="18"/>
        <v>0</v>
      </c>
      <c r="BE173" s="55">
        <v>0</v>
      </c>
      <c r="BF173" s="55">
        <f>173</f>
        <v>173</v>
      </c>
      <c r="BH173" s="55">
        <f t="shared" si="19"/>
        <v>0</v>
      </c>
      <c r="BI173" s="55">
        <f t="shared" si="20"/>
        <v>0</v>
      </c>
      <c r="BJ173" s="55">
        <f t="shared" si="21"/>
        <v>0</v>
      </c>
      <c r="BK173" s="55"/>
      <c r="BL173" s="55"/>
      <c r="BW173" s="55">
        <v>12</v>
      </c>
      <c r="BX173" s="3" t="s">
        <v>423</v>
      </c>
    </row>
    <row r="174" spans="1:76" x14ac:dyDescent="0.25">
      <c r="A174" s="1" t="s">
        <v>424</v>
      </c>
      <c r="B174" s="2" t="s">
        <v>425</v>
      </c>
      <c r="C174" s="82" t="s">
        <v>426</v>
      </c>
      <c r="D174" s="79"/>
      <c r="E174" s="2" t="s">
        <v>152</v>
      </c>
      <c r="F174" s="55">
        <v>53</v>
      </c>
      <c r="G174" s="56">
        <v>0</v>
      </c>
      <c r="H174" s="55">
        <f t="shared" si="0"/>
        <v>0</v>
      </c>
      <c r="I174" s="57" t="s">
        <v>112</v>
      </c>
      <c r="J174" s="50"/>
      <c r="Z174" s="55">
        <f t="shared" si="1"/>
        <v>0</v>
      </c>
      <c r="AB174" s="55">
        <f t="shared" si="2"/>
        <v>0</v>
      </c>
      <c r="AC174" s="55">
        <f t="shared" si="3"/>
        <v>0</v>
      </c>
      <c r="AD174" s="55">
        <f t="shared" si="4"/>
        <v>0</v>
      </c>
      <c r="AE174" s="55">
        <f t="shared" si="5"/>
        <v>0</v>
      </c>
      <c r="AF174" s="55">
        <f t="shared" si="6"/>
        <v>0</v>
      </c>
      <c r="AG174" s="55">
        <f t="shared" si="7"/>
        <v>0</v>
      </c>
      <c r="AH174" s="55">
        <f t="shared" si="8"/>
        <v>0</v>
      </c>
      <c r="AI174" s="36" t="s">
        <v>4</v>
      </c>
      <c r="AJ174" s="55">
        <f t="shared" si="9"/>
        <v>0</v>
      </c>
      <c r="AK174" s="55">
        <f t="shared" si="10"/>
        <v>0</v>
      </c>
      <c r="AL174" s="55">
        <f t="shared" si="11"/>
        <v>0</v>
      </c>
      <c r="AN174" s="55">
        <v>12</v>
      </c>
      <c r="AO174" s="55">
        <f t="shared" si="12"/>
        <v>0</v>
      </c>
      <c r="AP174" s="55">
        <f t="shared" si="13"/>
        <v>0</v>
      </c>
      <c r="AQ174" s="57" t="s">
        <v>121</v>
      </c>
      <c r="AV174" s="55">
        <f t="shared" si="14"/>
        <v>0</v>
      </c>
      <c r="AW174" s="55">
        <f t="shared" si="15"/>
        <v>0</v>
      </c>
      <c r="AX174" s="55">
        <f t="shared" si="16"/>
        <v>0</v>
      </c>
      <c r="AY174" s="57" t="s">
        <v>407</v>
      </c>
      <c r="AZ174" s="57" t="s">
        <v>354</v>
      </c>
      <c r="BA174" s="36" t="s">
        <v>115</v>
      </c>
      <c r="BC174" s="55">
        <f t="shared" si="17"/>
        <v>0</v>
      </c>
      <c r="BD174" s="55">
        <f t="shared" si="18"/>
        <v>0</v>
      </c>
      <c r="BE174" s="55">
        <v>0</v>
      </c>
      <c r="BF174" s="55">
        <f>174</f>
        <v>174</v>
      </c>
      <c r="BH174" s="55">
        <f t="shared" si="19"/>
        <v>0</v>
      </c>
      <c r="BI174" s="55">
        <f t="shared" si="20"/>
        <v>0</v>
      </c>
      <c r="BJ174" s="55">
        <f t="shared" si="21"/>
        <v>0</v>
      </c>
      <c r="BK174" s="55"/>
      <c r="BL174" s="55"/>
      <c r="BW174" s="55">
        <v>12</v>
      </c>
      <c r="BX174" s="3" t="s">
        <v>426</v>
      </c>
    </row>
    <row r="175" spans="1:76" x14ac:dyDescent="0.25">
      <c r="A175" s="1" t="s">
        <v>427</v>
      </c>
      <c r="B175" s="2" t="s">
        <v>428</v>
      </c>
      <c r="C175" s="82" t="s">
        <v>429</v>
      </c>
      <c r="D175" s="79"/>
      <c r="E175" s="2" t="s">
        <v>152</v>
      </c>
      <c r="F175" s="55">
        <v>20</v>
      </c>
      <c r="G175" s="56">
        <v>0</v>
      </c>
      <c r="H175" s="55">
        <f t="shared" si="0"/>
        <v>0</v>
      </c>
      <c r="I175" s="57" t="s">
        <v>112</v>
      </c>
      <c r="J175" s="50"/>
      <c r="Z175" s="55">
        <f t="shared" si="1"/>
        <v>0</v>
      </c>
      <c r="AB175" s="55">
        <f t="shared" si="2"/>
        <v>0</v>
      </c>
      <c r="AC175" s="55">
        <f t="shared" si="3"/>
        <v>0</v>
      </c>
      <c r="AD175" s="55">
        <f t="shared" si="4"/>
        <v>0</v>
      </c>
      <c r="AE175" s="55">
        <f t="shared" si="5"/>
        <v>0</v>
      </c>
      <c r="AF175" s="55">
        <f t="shared" si="6"/>
        <v>0</v>
      </c>
      <c r="AG175" s="55">
        <f t="shared" si="7"/>
        <v>0</v>
      </c>
      <c r="AH175" s="55">
        <f t="shared" si="8"/>
        <v>0</v>
      </c>
      <c r="AI175" s="36" t="s">
        <v>4</v>
      </c>
      <c r="AJ175" s="55">
        <f t="shared" si="9"/>
        <v>0</v>
      </c>
      <c r="AK175" s="55">
        <f t="shared" si="10"/>
        <v>0</v>
      </c>
      <c r="AL175" s="55">
        <f t="shared" si="11"/>
        <v>0</v>
      </c>
      <c r="AN175" s="55">
        <v>12</v>
      </c>
      <c r="AO175" s="55">
        <f t="shared" si="12"/>
        <v>0</v>
      </c>
      <c r="AP175" s="55">
        <f t="shared" si="13"/>
        <v>0</v>
      </c>
      <c r="AQ175" s="57" t="s">
        <v>121</v>
      </c>
      <c r="AV175" s="55">
        <f t="shared" si="14"/>
        <v>0</v>
      </c>
      <c r="AW175" s="55">
        <f t="shared" si="15"/>
        <v>0</v>
      </c>
      <c r="AX175" s="55">
        <f t="shared" si="16"/>
        <v>0</v>
      </c>
      <c r="AY175" s="57" t="s">
        <v>407</v>
      </c>
      <c r="AZ175" s="57" t="s">
        <v>354</v>
      </c>
      <c r="BA175" s="36" t="s">
        <v>115</v>
      </c>
      <c r="BC175" s="55">
        <f t="shared" si="17"/>
        <v>0</v>
      </c>
      <c r="BD175" s="55">
        <f t="shared" si="18"/>
        <v>0</v>
      </c>
      <c r="BE175" s="55">
        <v>0</v>
      </c>
      <c r="BF175" s="55">
        <f>175</f>
        <v>175</v>
      </c>
      <c r="BH175" s="55">
        <f t="shared" si="19"/>
        <v>0</v>
      </c>
      <c r="BI175" s="55">
        <f t="shared" si="20"/>
        <v>0</v>
      </c>
      <c r="BJ175" s="55">
        <f t="shared" si="21"/>
        <v>0</v>
      </c>
      <c r="BK175" s="55"/>
      <c r="BL175" s="55"/>
      <c r="BW175" s="55">
        <v>12</v>
      </c>
      <c r="BX175" s="3" t="s">
        <v>429</v>
      </c>
    </row>
    <row r="176" spans="1:76" x14ac:dyDescent="0.25">
      <c r="A176" s="1" t="s">
        <v>430</v>
      </c>
      <c r="B176" s="2" t="s">
        <v>431</v>
      </c>
      <c r="C176" s="82" t="s">
        <v>432</v>
      </c>
      <c r="D176" s="79"/>
      <c r="E176" s="2" t="s">
        <v>433</v>
      </c>
      <c r="F176" s="55">
        <v>25</v>
      </c>
      <c r="G176" s="56">
        <v>0</v>
      </c>
      <c r="H176" s="55">
        <f t="shared" si="0"/>
        <v>0</v>
      </c>
      <c r="I176" s="57" t="s">
        <v>112</v>
      </c>
      <c r="J176" s="50"/>
      <c r="Z176" s="55">
        <f t="shared" si="1"/>
        <v>0</v>
      </c>
      <c r="AB176" s="55">
        <f t="shared" si="2"/>
        <v>0</v>
      </c>
      <c r="AC176" s="55">
        <f t="shared" si="3"/>
        <v>0</v>
      </c>
      <c r="AD176" s="55">
        <f t="shared" si="4"/>
        <v>0</v>
      </c>
      <c r="AE176" s="55">
        <f t="shared" si="5"/>
        <v>0</v>
      </c>
      <c r="AF176" s="55">
        <f t="shared" si="6"/>
        <v>0</v>
      </c>
      <c r="AG176" s="55">
        <f t="shared" si="7"/>
        <v>0</v>
      </c>
      <c r="AH176" s="55">
        <f t="shared" si="8"/>
        <v>0</v>
      </c>
      <c r="AI176" s="36" t="s">
        <v>4</v>
      </c>
      <c r="AJ176" s="55">
        <f t="shared" si="9"/>
        <v>0</v>
      </c>
      <c r="AK176" s="55">
        <f t="shared" si="10"/>
        <v>0</v>
      </c>
      <c r="AL176" s="55">
        <f t="shared" si="11"/>
        <v>0</v>
      </c>
      <c r="AN176" s="55">
        <v>12</v>
      </c>
      <c r="AO176" s="55">
        <f t="shared" ref="AO176:AO188" si="22">G176*1</f>
        <v>0</v>
      </c>
      <c r="AP176" s="55">
        <f t="shared" ref="AP176:AP188" si="23">G176*(1-1)</f>
        <v>0</v>
      </c>
      <c r="AQ176" s="57" t="s">
        <v>108</v>
      </c>
      <c r="AV176" s="55">
        <f t="shared" si="14"/>
        <v>0</v>
      </c>
      <c r="AW176" s="55">
        <f t="shared" si="15"/>
        <v>0</v>
      </c>
      <c r="AX176" s="55">
        <f t="shared" si="16"/>
        <v>0</v>
      </c>
      <c r="AY176" s="57" t="s">
        <v>407</v>
      </c>
      <c r="AZ176" s="57" t="s">
        <v>354</v>
      </c>
      <c r="BA176" s="36" t="s">
        <v>115</v>
      </c>
      <c r="BC176" s="55">
        <f t="shared" si="17"/>
        <v>0</v>
      </c>
      <c r="BD176" s="55">
        <f t="shared" si="18"/>
        <v>0</v>
      </c>
      <c r="BE176" s="55">
        <v>0</v>
      </c>
      <c r="BF176" s="55">
        <f>176</f>
        <v>176</v>
      </c>
      <c r="BH176" s="55">
        <f t="shared" si="19"/>
        <v>0</v>
      </c>
      <c r="BI176" s="55">
        <f t="shared" si="20"/>
        <v>0</v>
      </c>
      <c r="BJ176" s="55">
        <f t="shared" si="21"/>
        <v>0</v>
      </c>
      <c r="BK176" s="55"/>
      <c r="BL176" s="55"/>
      <c r="BW176" s="55">
        <v>12</v>
      </c>
      <c r="BX176" s="3" t="s">
        <v>432</v>
      </c>
    </row>
    <row r="177" spans="1:76" x14ac:dyDescent="0.25">
      <c r="A177" s="1" t="s">
        <v>434</v>
      </c>
      <c r="B177" s="2" t="s">
        <v>435</v>
      </c>
      <c r="C177" s="82" t="s">
        <v>436</v>
      </c>
      <c r="D177" s="79"/>
      <c r="E177" s="2" t="s">
        <v>437</v>
      </c>
      <c r="F177" s="55">
        <v>3</v>
      </c>
      <c r="G177" s="56">
        <v>0</v>
      </c>
      <c r="H177" s="55">
        <f t="shared" si="0"/>
        <v>0</v>
      </c>
      <c r="I177" s="57" t="s">
        <v>112</v>
      </c>
      <c r="J177" s="50"/>
      <c r="Z177" s="55">
        <f t="shared" si="1"/>
        <v>0</v>
      </c>
      <c r="AB177" s="55">
        <f t="shared" si="2"/>
        <v>0</v>
      </c>
      <c r="AC177" s="55">
        <f t="shared" si="3"/>
        <v>0</v>
      </c>
      <c r="AD177" s="55">
        <f t="shared" si="4"/>
        <v>0</v>
      </c>
      <c r="AE177" s="55">
        <f t="shared" si="5"/>
        <v>0</v>
      </c>
      <c r="AF177" s="55">
        <f t="shared" si="6"/>
        <v>0</v>
      </c>
      <c r="AG177" s="55">
        <f t="shared" si="7"/>
        <v>0</v>
      </c>
      <c r="AH177" s="55">
        <f t="shared" si="8"/>
        <v>0</v>
      </c>
      <c r="AI177" s="36" t="s">
        <v>4</v>
      </c>
      <c r="AJ177" s="55">
        <f t="shared" si="9"/>
        <v>0</v>
      </c>
      <c r="AK177" s="55">
        <f t="shared" si="10"/>
        <v>0</v>
      </c>
      <c r="AL177" s="55">
        <f t="shared" si="11"/>
        <v>0</v>
      </c>
      <c r="AN177" s="55">
        <v>12</v>
      </c>
      <c r="AO177" s="55">
        <f t="shared" si="22"/>
        <v>0</v>
      </c>
      <c r="AP177" s="55">
        <f t="shared" si="23"/>
        <v>0</v>
      </c>
      <c r="AQ177" s="57" t="s">
        <v>108</v>
      </c>
      <c r="AV177" s="55">
        <f t="shared" si="14"/>
        <v>0</v>
      </c>
      <c r="AW177" s="55">
        <f t="shared" si="15"/>
        <v>0</v>
      </c>
      <c r="AX177" s="55">
        <f t="shared" si="16"/>
        <v>0</v>
      </c>
      <c r="AY177" s="57" t="s">
        <v>407</v>
      </c>
      <c r="AZ177" s="57" t="s">
        <v>354</v>
      </c>
      <c r="BA177" s="36" t="s">
        <v>115</v>
      </c>
      <c r="BC177" s="55">
        <f t="shared" si="17"/>
        <v>0</v>
      </c>
      <c r="BD177" s="55">
        <f t="shared" si="18"/>
        <v>0</v>
      </c>
      <c r="BE177" s="55">
        <v>0</v>
      </c>
      <c r="BF177" s="55">
        <f>177</f>
        <v>177</v>
      </c>
      <c r="BH177" s="55">
        <f t="shared" si="19"/>
        <v>0</v>
      </c>
      <c r="BI177" s="55">
        <f t="shared" si="20"/>
        <v>0</v>
      </c>
      <c r="BJ177" s="55">
        <f t="shared" si="21"/>
        <v>0</v>
      </c>
      <c r="BK177" s="55"/>
      <c r="BL177" s="55"/>
      <c r="BW177" s="55">
        <v>12</v>
      </c>
      <c r="BX177" s="3" t="s">
        <v>436</v>
      </c>
    </row>
    <row r="178" spans="1:76" x14ac:dyDescent="0.25">
      <c r="A178" s="1" t="s">
        <v>438</v>
      </c>
      <c r="B178" s="2" t="s">
        <v>439</v>
      </c>
      <c r="C178" s="82" t="s">
        <v>440</v>
      </c>
      <c r="D178" s="79"/>
      <c r="E178" s="2" t="s">
        <v>437</v>
      </c>
      <c r="F178" s="55">
        <v>45</v>
      </c>
      <c r="G178" s="56">
        <v>0</v>
      </c>
      <c r="H178" s="55">
        <f t="shared" si="0"/>
        <v>0</v>
      </c>
      <c r="I178" s="57" t="s">
        <v>112</v>
      </c>
      <c r="J178" s="50"/>
      <c r="Z178" s="55">
        <f t="shared" si="1"/>
        <v>0</v>
      </c>
      <c r="AB178" s="55">
        <f t="shared" si="2"/>
        <v>0</v>
      </c>
      <c r="AC178" s="55">
        <f t="shared" si="3"/>
        <v>0</v>
      </c>
      <c r="AD178" s="55">
        <f t="shared" si="4"/>
        <v>0</v>
      </c>
      <c r="AE178" s="55">
        <f t="shared" si="5"/>
        <v>0</v>
      </c>
      <c r="AF178" s="55">
        <f t="shared" si="6"/>
        <v>0</v>
      </c>
      <c r="AG178" s="55">
        <f t="shared" si="7"/>
        <v>0</v>
      </c>
      <c r="AH178" s="55">
        <f t="shared" si="8"/>
        <v>0</v>
      </c>
      <c r="AI178" s="36" t="s">
        <v>4</v>
      </c>
      <c r="AJ178" s="55">
        <f t="shared" si="9"/>
        <v>0</v>
      </c>
      <c r="AK178" s="55">
        <f t="shared" si="10"/>
        <v>0</v>
      </c>
      <c r="AL178" s="55">
        <f t="shared" si="11"/>
        <v>0</v>
      </c>
      <c r="AN178" s="55">
        <v>12</v>
      </c>
      <c r="AO178" s="55">
        <f t="shared" si="22"/>
        <v>0</v>
      </c>
      <c r="AP178" s="55">
        <f t="shared" si="23"/>
        <v>0</v>
      </c>
      <c r="AQ178" s="57" t="s">
        <v>108</v>
      </c>
      <c r="AV178" s="55">
        <f t="shared" si="14"/>
        <v>0</v>
      </c>
      <c r="AW178" s="55">
        <f t="shared" si="15"/>
        <v>0</v>
      </c>
      <c r="AX178" s="55">
        <f t="shared" si="16"/>
        <v>0</v>
      </c>
      <c r="AY178" s="57" t="s">
        <v>407</v>
      </c>
      <c r="AZ178" s="57" t="s">
        <v>354</v>
      </c>
      <c r="BA178" s="36" t="s">
        <v>115</v>
      </c>
      <c r="BC178" s="55">
        <f t="shared" si="17"/>
        <v>0</v>
      </c>
      <c r="BD178" s="55">
        <f t="shared" si="18"/>
        <v>0</v>
      </c>
      <c r="BE178" s="55">
        <v>0</v>
      </c>
      <c r="BF178" s="55">
        <f>178</f>
        <v>178</v>
      </c>
      <c r="BH178" s="55">
        <f t="shared" si="19"/>
        <v>0</v>
      </c>
      <c r="BI178" s="55">
        <f t="shared" si="20"/>
        <v>0</v>
      </c>
      <c r="BJ178" s="55">
        <f t="shared" si="21"/>
        <v>0</v>
      </c>
      <c r="BK178" s="55"/>
      <c r="BL178" s="55"/>
      <c r="BW178" s="55">
        <v>12</v>
      </c>
      <c r="BX178" s="3" t="s">
        <v>440</v>
      </c>
    </row>
    <row r="179" spans="1:76" x14ac:dyDescent="0.25">
      <c r="A179" s="1" t="s">
        <v>441</v>
      </c>
      <c r="B179" s="2" t="s">
        <v>442</v>
      </c>
      <c r="C179" s="82" t="s">
        <v>443</v>
      </c>
      <c r="D179" s="79"/>
      <c r="E179" s="2" t="s">
        <v>437</v>
      </c>
      <c r="F179" s="55">
        <v>3</v>
      </c>
      <c r="G179" s="56">
        <v>0</v>
      </c>
      <c r="H179" s="55">
        <f t="shared" si="0"/>
        <v>0</v>
      </c>
      <c r="I179" s="57" t="s">
        <v>112</v>
      </c>
      <c r="J179" s="50"/>
      <c r="Z179" s="55">
        <f t="shared" si="1"/>
        <v>0</v>
      </c>
      <c r="AB179" s="55">
        <f t="shared" si="2"/>
        <v>0</v>
      </c>
      <c r="AC179" s="55">
        <f t="shared" si="3"/>
        <v>0</v>
      </c>
      <c r="AD179" s="55">
        <f t="shared" si="4"/>
        <v>0</v>
      </c>
      <c r="AE179" s="55">
        <f t="shared" si="5"/>
        <v>0</v>
      </c>
      <c r="AF179" s="55">
        <f t="shared" si="6"/>
        <v>0</v>
      </c>
      <c r="AG179" s="55">
        <f t="shared" si="7"/>
        <v>0</v>
      </c>
      <c r="AH179" s="55">
        <f t="shared" si="8"/>
        <v>0</v>
      </c>
      <c r="AI179" s="36" t="s">
        <v>4</v>
      </c>
      <c r="AJ179" s="55">
        <f t="shared" si="9"/>
        <v>0</v>
      </c>
      <c r="AK179" s="55">
        <f t="shared" si="10"/>
        <v>0</v>
      </c>
      <c r="AL179" s="55">
        <f t="shared" si="11"/>
        <v>0</v>
      </c>
      <c r="AN179" s="55">
        <v>12</v>
      </c>
      <c r="AO179" s="55">
        <f t="shared" si="22"/>
        <v>0</v>
      </c>
      <c r="AP179" s="55">
        <f t="shared" si="23"/>
        <v>0</v>
      </c>
      <c r="AQ179" s="57" t="s">
        <v>108</v>
      </c>
      <c r="AV179" s="55">
        <f t="shared" si="14"/>
        <v>0</v>
      </c>
      <c r="AW179" s="55">
        <f t="shared" si="15"/>
        <v>0</v>
      </c>
      <c r="AX179" s="55">
        <f t="shared" si="16"/>
        <v>0</v>
      </c>
      <c r="AY179" s="57" t="s">
        <v>407</v>
      </c>
      <c r="AZ179" s="57" t="s">
        <v>354</v>
      </c>
      <c r="BA179" s="36" t="s">
        <v>115</v>
      </c>
      <c r="BC179" s="55">
        <f t="shared" si="17"/>
        <v>0</v>
      </c>
      <c r="BD179" s="55">
        <f t="shared" si="18"/>
        <v>0</v>
      </c>
      <c r="BE179" s="55">
        <v>0</v>
      </c>
      <c r="BF179" s="55">
        <f>179</f>
        <v>179</v>
      </c>
      <c r="BH179" s="55">
        <f t="shared" si="19"/>
        <v>0</v>
      </c>
      <c r="BI179" s="55">
        <f t="shared" si="20"/>
        <v>0</v>
      </c>
      <c r="BJ179" s="55">
        <f t="shared" si="21"/>
        <v>0</v>
      </c>
      <c r="BK179" s="55"/>
      <c r="BL179" s="55"/>
      <c r="BW179" s="55">
        <v>12</v>
      </c>
      <c r="BX179" s="3" t="s">
        <v>443</v>
      </c>
    </row>
    <row r="180" spans="1:76" x14ac:dyDescent="0.25">
      <c r="A180" s="1" t="s">
        <v>444</v>
      </c>
      <c r="B180" s="2" t="s">
        <v>445</v>
      </c>
      <c r="C180" s="82" t="s">
        <v>446</v>
      </c>
      <c r="D180" s="79"/>
      <c r="E180" s="2" t="s">
        <v>437</v>
      </c>
      <c r="F180" s="55">
        <v>16</v>
      </c>
      <c r="G180" s="56">
        <v>0</v>
      </c>
      <c r="H180" s="55">
        <f t="shared" si="0"/>
        <v>0</v>
      </c>
      <c r="I180" s="57" t="s">
        <v>112</v>
      </c>
      <c r="J180" s="50"/>
      <c r="Z180" s="55">
        <f t="shared" si="1"/>
        <v>0</v>
      </c>
      <c r="AB180" s="55">
        <f t="shared" si="2"/>
        <v>0</v>
      </c>
      <c r="AC180" s="55">
        <f t="shared" si="3"/>
        <v>0</v>
      </c>
      <c r="AD180" s="55">
        <f t="shared" si="4"/>
        <v>0</v>
      </c>
      <c r="AE180" s="55">
        <f t="shared" si="5"/>
        <v>0</v>
      </c>
      <c r="AF180" s="55">
        <f t="shared" si="6"/>
        <v>0</v>
      </c>
      <c r="AG180" s="55">
        <f t="shared" si="7"/>
        <v>0</v>
      </c>
      <c r="AH180" s="55">
        <f t="shared" si="8"/>
        <v>0</v>
      </c>
      <c r="AI180" s="36" t="s">
        <v>4</v>
      </c>
      <c r="AJ180" s="55">
        <f t="shared" si="9"/>
        <v>0</v>
      </c>
      <c r="AK180" s="55">
        <f t="shared" si="10"/>
        <v>0</v>
      </c>
      <c r="AL180" s="55">
        <f t="shared" si="11"/>
        <v>0</v>
      </c>
      <c r="AN180" s="55">
        <v>12</v>
      </c>
      <c r="AO180" s="55">
        <f t="shared" si="22"/>
        <v>0</v>
      </c>
      <c r="AP180" s="55">
        <f t="shared" si="23"/>
        <v>0</v>
      </c>
      <c r="AQ180" s="57" t="s">
        <v>108</v>
      </c>
      <c r="AV180" s="55">
        <f t="shared" si="14"/>
        <v>0</v>
      </c>
      <c r="AW180" s="55">
        <f t="shared" si="15"/>
        <v>0</v>
      </c>
      <c r="AX180" s="55">
        <f t="shared" si="16"/>
        <v>0</v>
      </c>
      <c r="AY180" s="57" t="s">
        <v>407</v>
      </c>
      <c r="AZ180" s="57" t="s">
        <v>354</v>
      </c>
      <c r="BA180" s="36" t="s">
        <v>115</v>
      </c>
      <c r="BC180" s="55">
        <f t="shared" si="17"/>
        <v>0</v>
      </c>
      <c r="BD180" s="55">
        <f t="shared" si="18"/>
        <v>0</v>
      </c>
      <c r="BE180" s="55">
        <v>0</v>
      </c>
      <c r="BF180" s="55">
        <f>180</f>
        <v>180</v>
      </c>
      <c r="BH180" s="55">
        <f t="shared" si="19"/>
        <v>0</v>
      </c>
      <c r="BI180" s="55">
        <f t="shared" si="20"/>
        <v>0</v>
      </c>
      <c r="BJ180" s="55">
        <f t="shared" si="21"/>
        <v>0</v>
      </c>
      <c r="BK180" s="55"/>
      <c r="BL180" s="55"/>
      <c r="BW180" s="55">
        <v>12</v>
      </c>
      <c r="BX180" s="3" t="s">
        <v>446</v>
      </c>
    </row>
    <row r="181" spans="1:76" x14ac:dyDescent="0.25">
      <c r="A181" s="1" t="s">
        <v>447</v>
      </c>
      <c r="B181" s="2" t="s">
        <v>448</v>
      </c>
      <c r="C181" s="82" t="s">
        <v>449</v>
      </c>
      <c r="D181" s="79"/>
      <c r="E181" s="2" t="s">
        <v>437</v>
      </c>
      <c r="F181" s="55">
        <v>3</v>
      </c>
      <c r="G181" s="56">
        <v>0</v>
      </c>
      <c r="H181" s="55">
        <f t="shared" si="0"/>
        <v>0</v>
      </c>
      <c r="I181" s="57" t="s">
        <v>112</v>
      </c>
      <c r="J181" s="50"/>
      <c r="Z181" s="55">
        <f t="shared" si="1"/>
        <v>0</v>
      </c>
      <c r="AB181" s="55">
        <f t="shared" si="2"/>
        <v>0</v>
      </c>
      <c r="AC181" s="55">
        <f t="shared" si="3"/>
        <v>0</v>
      </c>
      <c r="AD181" s="55">
        <f t="shared" si="4"/>
        <v>0</v>
      </c>
      <c r="AE181" s="55">
        <f t="shared" si="5"/>
        <v>0</v>
      </c>
      <c r="AF181" s="55">
        <f t="shared" si="6"/>
        <v>0</v>
      </c>
      <c r="AG181" s="55">
        <f t="shared" si="7"/>
        <v>0</v>
      </c>
      <c r="AH181" s="55">
        <f t="shared" si="8"/>
        <v>0</v>
      </c>
      <c r="AI181" s="36" t="s">
        <v>4</v>
      </c>
      <c r="AJ181" s="55">
        <f t="shared" si="9"/>
        <v>0</v>
      </c>
      <c r="AK181" s="55">
        <f t="shared" si="10"/>
        <v>0</v>
      </c>
      <c r="AL181" s="55">
        <f t="shared" si="11"/>
        <v>0</v>
      </c>
      <c r="AN181" s="55">
        <v>12</v>
      </c>
      <c r="AO181" s="55">
        <f t="shared" si="22"/>
        <v>0</v>
      </c>
      <c r="AP181" s="55">
        <f t="shared" si="23"/>
        <v>0</v>
      </c>
      <c r="AQ181" s="57" t="s">
        <v>108</v>
      </c>
      <c r="AV181" s="55">
        <f t="shared" si="14"/>
        <v>0</v>
      </c>
      <c r="AW181" s="55">
        <f t="shared" si="15"/>
        <v>0</v>
      </c>
      <c r="AX181" s="55">
        <f t="shared" si="16"/>
        <v>0</v>
      </c>
      <c r="AY181" s="57" t="s">
        <v>407</v>
      </c>
      <c r="AZ181" s="57" t="s">
        <v>354</v>
      </c>
      <c r="BA181" s="36" t="s">
        <v>115</v>
      </c>
      <c r="BC181" s="55">
        <f t="shared" si="17"/>
        <v>0</v>
      </c>
      <c r="BD181" s="55">
        <f t="shared" si="18"/>
        <v>0</v>
      </c>
      <c r="BE181" s="55">
        <v>0</v>
      </c>
      <c r="BF181" s="55">
        <f>181</f>
        <v>181</v>
      </c>
      <c r="BH181" s="55">
        <f t="shared" si="19"/>
        <v>0</v>
      </c>
      <c r="BI181" s="55">
        <f t="shared" si="20"/>
        <v>0</v>
      </c>
      <c r="BJ181" s="55">
        <f t="shared" si="21"/>
        <v>0</v>
      </c>
      <c r="BK181" s="55"/>
      <c r="BL181" s="55"/>
      <c r="BW181" s="55">
        <v>12</v>
      </c>
      <c r="BX181" s="3" t="s">
        <v>449</v>
      </c>
    </row>
    <row r="182" spans="1:76" x14ac:dyDescent="0.25">
      <c r="A182" s="1" t="s">
        <v>450</v>
      </c>
      <c r="B182" s="2" t="s">
        <v>451</v>
      </c>
      <c r="C182" s="82" t="s">
        <v>452</v>
      </c>
      <c r="D182" s="79"/>
      <c r="E182" s="2" t="s">
        <v>437</v>
      </c>
      <c r="F182" s="55">
        <v>5</v>
      </c>
      <c r="G182" s="56">
        <v>0</v>
      </c>
      <c r="H182" s="55">
        <f t="shared" si="0"/>
        <v>0</v>
      </c>
      <c r="I182" s="57" t="s">
        <v>112</v>
      </c>
      <c r="J182" s="50"/>
      <c r="Z182" s="55">
        <f t="shared" si="1"/>
        <v>0</v>
      </c>
      <c r="AB182" s="55">
        <f t="shared" si="2"/>
        <v>0</v>
      </c>
      <c r="AC182" s="55">
        <f t="shared" si="3"/>
        <v>0</v>
      </c>
      <c r="AD182" s="55">
        <f t="shared" si="4"/>
        <v>0</v>
      </c>
      <c r="AE182" s="55">
        <f t="shared" si="5"/>
        <v>0</v>
      </c>
      <c r="AF182" s="55">
        <f t="shared" si="6"/>
        <v>0</v>
      </c>
      <c r="AG182" s="55">
        <f t="shared" si="7"/>
        <v>0</v>
      </c>
      <c r="AH182" s="55">
        <f t="shared" si="8"/>
        <v>0</v>
      </c>
      <c r="AI182" s="36" t="s">
        <v>4</v>
      </c>
      <c r="AJ182" s="55">
        <f t="shared" si="9"/>
        <v>0</v>
      </c>
      <c r="AK182" s="55">
        <f t="shared" si="10"/>
        <v>0</v>
      </c>
      <c r="AL182" s="55">
        <f t="shared" si="11"/>
        <v>0</v>
      </c>
      <c r="AN182" s="55">
        <v>12</v>
      </c>
      <c r="AO182" s="55">
        <f t="shared" si="22"/>
        <v>0</v>
      </c>
      <c r="AP182" s="55">
        <f t="shared" si="23"/>
        <v>0</v>
      </c>
      <c r="AQ182" s="57" t="s">
        <v>108</v>
      </c>
      <c r="AV182" s="55">
        <f t="shared" si="14"/>
        <v>0</v>
      </c>
      <c r="AW182" s="55">
        <f t="shared" si="15"/>
        <v>0</v>
      </c>
      <c r="AX182" s="55">
        <f t="shared" si="16"/>
        <v>0</v>
      </c>
      <c r="AY182" s="57" t="s">
        <v>407</v>
      </c>
      <c r="AZ182" s="57" t="s">
        <v>354</v>
      </c>
      <c r="BA182" s="36" t="s">
        <v>115</v>
      </c>
      <c r="BC182" s="55">
        <f t="shared" si="17"/>
        <v>0</v>
      </c>
      <c r="BD182" s="55">
        <f t="shared" si="18"/>
        <v>0</v>
      </c>
      <c r="BE182" s="55">
        <v>0</v>
      </c>
      <c r="BF182" s="55">
        <f>182</f>
        <v>182</v>
      </c>
      <c r="BH182" s="55">
        <f t="shared" si="19"/>
        <v>0</v>
      </c>
      <c r="BI182" s="55">
        <f t="shared" si="20"/>
        <v>0</v>
      </c>
      <c r="BJ182" s="55">
        <f t="shared" si="21"/>
        <v>0</v>
      </c>
      <c r="BK182" s="55"/>
      <c r="BL182" s="55"/>
      <c r="BW182" s="55">
        <v>12</v>
      </c>
      <c r="BX182" s="3" t="s">
        <v>452</v>
      </c>
    </row>
    <row r="183" spans="1:76" x14ac:dyDescent="0.25">
      <c r="A183" s="1" t="s">
        <v>453</v>
      </c>
      <c r="B183" s="2" t="s">
        <v>454</v>
      </c>
      <c r="C183" s="82" t="s">
        <v>455</v>
      </c>
      <c r="D183" s="79"/>
      <c r="E183" s="2" t="s">
        <v>437</v>
      </c>
      <c r="F183" s="55">
        <v>5</v>
      </c>
      <c r="G183" s="56">
        <v>0</v>
      </c>
      <c r="H183" s="55">
        <f t="shared" si="0"/>
        <v>0</v>
      </c>
      <c r="I183" s="57" t="s">
        <v>112</v>
      </c>
      <c r="J183" s="50"/>
      <c r="Z183" s="55">
        <f t="shared" si="1"/>
        <v>0</v>
      </c>
      <c r="AB183" s="55">
        <f t="shared" si="2"/>
        <v>0</v>
      </c>
      <c r="AC183" s="55">
        <f t="shared" si="3"/>
        <v>0</v>
      </c>
      <c r="AD183" s="55">
        <f t="shared" si="4"/>
        <v>0</v>
      </c>
      <c r="AE183" s="55">
        <f t="shared" si="5"/>
        <v>0</v>
      </c>
      <c r="AF183" s="55">
        <f t="shared" si="6"/>
        <v>0</v>
      </c>
      <c r="AG183" s="55">
        <f t="shared" si="7"/>
        <v>0</v>
      </c>
      <c r="AH183" s="55">
        <f t="shared" si="8"/>
        <v>0</v>
      </c>
      <c r="AI183" s="36" t="s">
        <v>4</v>
      </c>
      <c r="AJ183" s="55">
        <f t="shared" si="9"/>
        <v>0</v>
      </c>
      <c r="AK183" s="55">
        <f t="shared" si="10"/>
        <v>0</v>
      </c>
      <c r="AL183" s="55">
        <f t="shared" si="11"/>
        <v>0</v>
      </c>
      <c r="AN183" s="55">
        <v>12</v>
      </c>
      <c r="AO183" s="55">
        <f t="shared" si="22"/>
        <v>0</v>
      </c>
      <c r="AP183" s="55">
        <f t="shared" si="23"/>
        <v>0</v>
      </c>
      <c r="AQ183" s="57" t="s">
        <v>108</v>
      </c>
      <c r="AV183" s="55">
        <f t="shared" si="14"/>
        <v>0</v>
      </c>
      <c r="AW183" s="55">
        <f t="shared" si="15"/>
        <v>0</v>
      </c>
      <c r="AX183" s="55">
        <f t="shared" si="16"/>
        <v>0</v>
      </c>
      <c r="AY183" s="57" t="s">
        <v>407</v>
      </c>
      <c r="AZ183" s="57" t="s">
        <v>354</v>
      </c>
      <c r="BA183" s="36" t="s">
        <v>115</v>
      </c>
      <c r="BC183" s="55">
        <f t="shared" si="17"/>
        <v>0</v>
      </c>
      <c r="BD183" s="55">
        <f t="shared" si="18"/>
        <v>0</v>
      </c>
      <c r="BE183" s="55">
        <v>0</v>
      </c>
      <c r="BF183" s="55">
        <f>183</f>
        <v>183</v>
      </c>
      <c r="BH183" s="55">
        <f t="shared" si="19"/>
        <v>0</v>
      </c>
      <c r="BI183" s="55">
        <f t="shared" si="20"/>
        <v>0</v>
      </c>
      <c r="BJ183" s="55">
        <f t="shared" si="21"/>
        <v>0</v>
      </c>
      <c r="BK183" s="55"/>
      <c r="BL183" s="55"/>
      <c r="BW183" s="55">
        <v>12</v>
      </c>
      <c r="BX183" s="3" t="s">
        <v>455</v>
      </c>
    </row>
    <row r="184" spans="1:76" x14ac:dyDescent="0.25">
      <c r="A184" s="1" t="s">
        <v>456</v>
      </c>
      <c r="B184" s="2" t="s">
        <v>457</v>
      </c>
      <c r="C184" s="82" t="s">
        <v>458</v>
      </c>
      <c r="D184" s="79"/>
      <c r="E184" s="2" t="s">
        <v>437</v>
      </c>
      <c r="F184" s="55">
        <v>20</v>
      </c>
      <c r="G184" s="56">
        <v>0</v>
      </c>
      <c r="H184" s="55">
        <f t="shared" si="0"/>
        <v>0</v>
      </c>
      <c r="I184" s="57" t="s">
        <v>112</v>
      </c>
      <c r="J184" s="50"/>
      <c r="Z184" s="55">
        <f t="shared" si="1"/>
        <v>0</v>
      </c>
      <c r="AB184" s="55">
        <f t="shared" si="2"/>
        <v>0</v>
      </c>
      <c r="AC184" s="55">
        <f t="shared" si="3"/>
        <v>0</v>
      </c>
      <c r="AD184" s="55">
        <f t="shared" si="4"/>
        <v>0</v>
      </c>
      <c r="AE184" s="55">
        <f t="shared" si="5"/>
        <v>0</v>
      </c>
      <c r="AF184" s="55">
        <f t="shared" si="6"/>
        <v>0</v>
      </c>
      <c r="AG184" s="55">
        <f t="shared" si="7"/>
        <v>0</v>
      </c>
      <c r="AH184" s="55">
        <f t="shared" si="8"/>
        <v>0</v>
      </c>
      <c r="AI184" s="36" t="s">
        <v>4</v>
      </c>
      <c r="AJ184" s="55">
        <f t="shared" si="9"/>
        <v>0</v>
      </c>
      <c r="AK184" s="55">
        <f t="shared" si="10"/>
        <v>0</v>
      </c>
      <c r="AL184" s="55">
        <f t="shared" si="11"/>
        <v>0</v>
      </c>
      <c r="AN184" s="55">
        <v>12</v>
      </c>
      <c r="AO184" s="55">
        <f t="shared" si="22"/>
        <v>0</v>
      </c>
      <c r="AP184" s="55">
        <f t="shared" si="23"/>
        <v>0</v>
      </c>
      <c r="AQ184" s="57" t="s">
        <v>108</v>
      </c>
      <c r="AV184" s="55">
        <f t="shared" si="14"/>
        <v>0</v>
      </c>
      <c r="AW184" s="55">
        <f t="shared" si="15"/>
        <v>0</v>
      </c>
      <c r="AX184" s="55">
        <f t="shared" si="16"/>
        <v>0</v>
      </c>
      <c r="AY184" s="57" t="s">
        <v>407</v>
      </c>
      <c r="AZ184" s="57" t="s">
        <v>354</v>
      </c>
      <c r="BA184" s="36" t="s">
        <v>115</v>
      </c>
      <c r="BC184" s="55">
        <f t="shared" si="17"/>
        <v>0</v>
      </c>
      <c r="BD184" s="55">
        <f t="shared" si="18"/>
        <v>0</v>
      </c>
      <c r="BE184" s="55">
        <v>0</v>
      </c>
      <c r="BF184" s="55">
        <f>184</f>
        <v>184</v>
      </c>
      <c r="BH184" s="55">
        <f t="shared" si="19"/>
        <v>0</v>
      </c>
      <c r="BI184" s="55">
        <f t="shared" si="20"/>
        <v>0</v>
      </c>
      <c r="BJ184" s="55">
        <f t="shared" si="21"/>
        <v>0</v>
      </c>
      <c r="BK184" s="55"/>
      <c r="BL184" s="55"/>
      <c r="BW184" s="55">
        <v>12</v>
      </c>
      <c r="BX184" s="3" t="s">
        <v>458</v>
      </c>
    </row>
    <row r="185" spans="1:76" x14ac:dyDescent="0.25">
      <c r="A185" s="1" t="s">
        <v>459</v>
      </c>
      <c r="B185" s="2" t="s">
        <v>460</v>
      </c>
      <c r="C185" s="82" t="s">
        <v>461</v>
      </c>
      <c r="D185" s="79"/>
      <c r="E185" s="2" t="s">
        <v>437</v>
      </c>
      <c r="F185" s="55">
        <v>1</v>
      </c>
      <c r="G185" s="56">
        <v>0</v>
      </c>
      <c r="H185" s="55">
        <f t="shared" si="0"/>
        <v>0</v>
      </c>
      <c r="I185" s="57" t="s">
        <v>112</v>
      </c>
      <c r="J185" s="50"/>
      <c r="Z185" s="55">
        <f t="shared" si="1"/>
        <v>0</v>
      </c>
      <c r="AB185" s="55">
        <f t="shared" si="2"/>
        <v>0</v>
      </c>
      <c r="AC185" s="55">
        <f t="shared" si="3"/>
        <v>0</v>
      </c>
      <c r="AD185" s="55">
        <f t="shared" si="4"/>
        <v>0</v>
      </c>
      <c r="AE185" s="55">
        <f t="shared" si="5"/>
        <v>0</v>
      </c>
      <c r="AF185" s="55">
        <f t="shared" si="6"/>
        <v>0</v>
      </c>
      <c r="AG185" s="55">
        <f t="shared" si="7"/>
        <v>0</v>
      </c>
      <c r="AH185" s="55">
        <f t="shared" si="8"/>
        <v>0</v>
      </c>
      <c r="AI185" s="36" t="s">
        <v>4</v>
      </c>
      <c r="AJ185" s="55">
        <f t="shared" si="9"/>
        <v>0</v>
      </c>
      <c r="AK185" s="55">
        <f t="shared" si="10"/>
        <v>0</v>
      </c>
      <c r="AL185" s="55">
        <f t="shared" si="11"/>
        <v>0</v>
      </c>
      <c r="AN185" s="55">
        <v>12</v>
      </c>
      <c r="AO185" s="55">
        <f t="shared" si="22"/>
        <v>0</v>
      </c>
      <c r="AP185" s="55">
        <f t="shared" si="23"/>
        <v>0</v>
      </c>
      <c r="AQ185" s="57" t="s">
        <v>108</v>
      </c>
      <c r="AV185" s="55">
        <f t="shared" si="14"/>
        <v>0</v>
      </c>
      <c r="AW185" s="55">
        <f t="shared" si="15"/>
        <v>0</v>
      </c>
      <c r="AX185" s="55">
        <f t="shared" si="16"/>
        <v>0</v>
      </c>
      <c r="AY185" s="57" t="s">
        <v>407</v>
      </c>
      <c r="AZ185" s="57" t="s">
        <v>354</v>
      </c>
      <c r="BA185" s="36" t="s">
        <v>115</v>
      </c>
      <c r="BC185" s="55">
        <f t="shared" si="17"/>
        <v>0</v>
      </c>
      <c r="BD185" s="55">
        <f t="shared" si="18"/>
        <v>0</v>
      </c>
      <c r="BE185" s="55">
        <v>0</v>
      </c>
      <c r="BF185" s="55">
        <f>185</f>
        <v>185</v>
      </c>
      <c r="BH185" s="55">
        <f t="shared" si="19"/>
        <v>0</v>
      </c>
      <c r="BI185" s="55">
        <f t="shared" si="20"/>
        <v>0</v>
      </c>
      <c r="BJ185" s="55">
        <f t="shared" si="21"/>
        <v>0</v>
      </c>
      <c r="BK185" s="55"/>
      <c r="BL185" s="55"/>
      <c r="BW185" s="55">
        <v>12</v>
      </c>
      <c r="BX185" s="3" t="s">
        <v>461</v>
      </c>
    </row>
    <row r="186" spans="1:76" x14ac:dyDescent="0.25">
      <c r="A186" s="1" t="s">
        <v>462</v>
      </c>
      <c r="B186" s="2" t="s">
        <v>463</v>
      </c>
      <c r="C186" s="82" t="s">
        <v>464</v>
      </c>
      <c r="D186" s="79"/>
      <c r="E186" s="2" t="s">
        <v>437</v>
      </c>
      <c r="F186" s="55">
        <v>1</v>
      </c>
      <c r="G186" s="56">
        <v>0</v>
      </c>
      <c r="H186" s="55">
        <f t="shared" si="0"/>
        <v>0</v>
      </c>
      <c r="I186" s="57" t="s">
        <v>112</v>
      </c>
      <c r="J186" s="50"/>
      <c r="Z186" s="55">
        <f t="shared" si="1"/>
        <v>0</v>
      </c>
      <c r="AB186" s="55">
        <f t="shared" si="2"/>
        <v>0</v>
      </c>
      <c r="AC186" s="55">
        <f t="shared" si="3"/>
        <v>0</v>
      </c>
      <c r="AD186" s="55">
        <f t="shared" si="4"/>
        <v>0</v>
      </c>
      <c r="AE186" s="55">
        <f t="shared" si="5"/>
        <v>0</v>
      </c>
      <c r="AF186" s="55">
        <f t="shared" si="6"/>
        <v>0</v>
      </c>
      <c r="AG186" s="55">
        <f t="shared" si="7"/>
        <v>0</v>
      </c>
      <c r="AH186" s="55">
        <f t="shared" si="8"/>
        <v>0</v>
      </c>
      <c r="AI186" s="36" t="s">
        <v>4</v>
      </c>
      <c r="AJ186" s="55">
        <f t="shared" si="9"/>
        <v>0</v>
      </c>
      <c r="AK186" s="55">
        <f t="shared" si="10"/>
        <v>0</v>
      </c>
      <c r="AL186" s="55">
        <f t="shared" si="11"/>
        <v>0</v>
      </c>
      <c r="AN186" s="55">
        <v>12</v>
      </c>
      <c r="AO186" s="55">
        <f t="shared" si="22"/>
        <v>0</v>
      </c>
      <c r="AP186" s="55">
        <f t="shared" si="23"/>
        <v>0</v>
      </c>
      <c r="AQ186" s="57" t="s">
        <v>108</v>
      </c>
      <c r="AV186" s="55">
        <f t="shared" si="14"/>
        <v>0</v>
      </c>
      <c r="AW186" s="55">
        <f t="shared" si="15"/>
        <v>0</v>
      </c>
      <c r="AX186" s="55">
        <f t="shared" si="16"/>
        <v>0</v>
      </c>
      <c r="AY186" s="57" t="s">
        <v>407</v>
      </c>
      <c r="AZ186" s="57" t="s">
        <v>354</v>
      </c>
      <c r="BA186" s="36" t="s">
        <v>115</v>
      </c>
      <c r="BC186" s="55">
        <f t="shared" si="17"/>
        <v>0</v>
      </c>
      <c r="BD186" s="55">
        <f t="shared" si="18"/>
        <v>0</v>
      </c>
      <c r="BE186" s="55">
        <v>0</v>
      </c>
      <c r="BF186" s="55">
        <f>186</f>
        <v>186</v>
      </c>
      <c r="BH186" s="55">
        <f t="shared" si="19"/>
        <v>0</v>
      </c>
      <c r="BI186" s="55">
        <f t="shared" si="20"/>
        <v>0</v>
      </c>
      <c r="BJ186" s="55">
        <f t="shared" si="21"/>
        <v>0</v>
      </c>
      <c r="BK186" s="55"/>
      <c r="BL186" s="55"/>
      <c r="BW186" s="55">
        <v>12</v>
      </c>
      <c r="BX186" s="3" t="s">
        <v>464</v>
      </c>
    </row>
    <row r="187" spans="1:76" ht="25.5" x14ac:dyDescent="0.25">
      <c r="A187" s="1" t="s">
        <v>465</v>
      </c>
      <c r="B187" s="2" t="s">
        <v>466</v>
      </c>
      <c r="C187" s="82" t="s">
        <v>467</v>
      </c>
      <c r="D187" s="79"/>
      <c r="E187" s="2" t="s">
        <v>437</v>
      </c>
      <c r="F187" s="55">
        <v>2</v>
      </c>
      <c r="G187" s="56">
        <v>0</v>
      </c>
      <c r="H187" s="55">
        <f t="shared" si="0"/>
        <v>0</v>
      </c>
      <c r="I187" s="57" t="s">
        <v>112</v>
      </c>
      <c r="J187" s="50"/>
      <c r="Z187" s="55">
        <f t="shared" si="1"/>
        <v>0</v>
      </c>
      <c r="AB187" s="55">
        <f t="shared" si="2"/>
        <v>0</v>
      </c>
      <c r="AC187" s="55">
        <f t="shared" si="3"/>
        <v>0</v>
      </c>
      <c r="AD187" s="55">
        <f t="shared" si="4"/>
        <v>0</v>
      </c>
      <c r="AE187" s="55">
        <f t="shared" si="5"/>
        <v>0</v>
      </c>
      <c r="AF187" s="55">
        <f t="shared" si="6"/>
        <v>0</v>
      </c>
      <c r="AG187" s="55">
        <f t="shared" si="7"/>
        <v>0</v>
      </c>
      <c r="AH187" s="55">
        <f t="shared" si="8"/>
        <v>0</v>
      </c>
      <c r="AI187" s="36" t="s">
        <v>4</v>
      </c>
      <c r="AJ187" s="55">
        <f t="shared" si="9"/>
        <v>0</v>
      </c>
      <c r="AK187" s="55">
        <f t="shared" si="10"/>
        <v>0</v>
      </c>
      <c r="AL187" s="55">
        <f t="shared" si="11"/>
        <v>0</v>
      </c>
      <c r="AN187" s="55">
        <v>12</v>
      </c>
      <c r="AO187" s="55">
        <f t="shared" si="22"/>
        <v>0</v>
      </c>
      <c r="AP187" s="55">
        <f t="shared" si="23"/>
        <v>0</v>
      </c>
      <c r="AQ187" s="57" t="s">
        <v>108</v>
      </c>
      <c r="AV187" s="55">
        <f t="shared" si="14"/>
        <v>0</v>
      </c>
      <c r="AW187" s="55">
        <f t="shared" si="15"/>
        <v>0</v>
      </c>
      <c r="AX187" s="55">
        <f t="shared" si="16"/>
        <v>0</v>
      </c>
      <c r="AY187" s="57" t="s">
        <v>407</v>
      </c>
      <c r="AZ187" s="57" t="s">
        <v>354</v>
      </c>
      <c r="BA187" s="36" t="s">
        <v>115</v>
      </c>
      <c r="BC187" s="55">
        <f t="shared" si="17"/>
        <v>0</v>
      </c>
      <c r="BD187" s="55">
        <f t="shared" si="18"/>
        <v>0</v>
      </c>
      <c r="BE187" s="55">
        <v>0</v>
      </c>
      <c r="BF187" s="55">
        <f>187</f>
        <v>187</v>
      </c>
      <c r="BH187" s="55">
        <f t="shared" si="19"/>
        <v>0</v>
      </c>
      <c r="BI187" s="55">
        <f t="shared" si="20"/>
        <v>0</v>
      </c>
      <c r="BJ187" s="55">
        <f t="shared" si="21"/>
        <v>0</v>
      </c>
      <c r="BK187" s="55"/>
      <c r="BL187" s="55"/>
      <c r="BW187" s="55">
        <v>12</v>
      </c>
      <c r="BX187" s="3" t="s">
        <v>467</v>
      </c>
    </row>
    <row r="188" spans="1:76" x14ac:dyDescent="0.25">
      <c r="A188" s="1" t="s">
        <v>468</v>
      </c>
      <c r="B188" s="2" t="s">
        <v>469</v>
      </c>
      <c r="C188" s="82" t="s">
        <v>470</v>
      </c>
      <c r="D188" s="79"/>
      <c r="E188" s="2" t="s">
        <v>179</v>
      </c>
      <c r="F188" s="55">
        <v>25</v>
      </c>
      <c r="G188" s="56">
        <v>0</v>
      </c>
      <c r="H188" s="55">
        <f t="shared" si="0"/>
        <v>0</v>
      </c>
      <c r="I188" s="57" t="s">
        <v>112</v>
      </c>
      <c r="J188" s="50"/>
      <c r="Z188" s="55">
        <f t="shared" si="1"/>
        <v>0</v>
      </c>
      <c r="AB188" s="55">
        <f t="shared" si="2"/>
        <v>0</v>
      </c>
      <c r="AC188" s="55">
        <f t="shared" si="3"/>
        <v>0</v>
      </c>
      <c r="AD188" s="55">
        <f t="shared" si="4"/>
        <v>0</v>
      </c>
      <c r="AE188" s="55">
        <f t="shared" si="5"/>
        <v>0</v>
      </c>
      <c r="AF188" s="55">
        <f t="shared" si="6"/>
        <v>0</v>
      </c>
      <c r="AG188" s="55">
        <f t="shared" si="7"/>
        <v>0</v>
      </c>
      <c r="AH188" s="55">
        <f t="shared" si="8"/>
        <v>0</v>
      </c>
      <c r="AI188" s="36" t="s">
        <v>4</v>
      </c>
      <c r="AJ188" s="55">
        <f t="shared" si="9"/>
        <v>0</v>
      </c>
      <c r="AK188" s="55">
        <f t="shared" si="10"/>
        <v>0</v>
      </c>
      <c r="AL188" s="55">
        <f t="shared" si="11"/>
        <v>0</v>
      </c>
      <c r="AN188" s="55">
        <v>12</v>
      </c>
      <c r="AO188" s="55">
        <f t="shared" si="22"/>
        <v>0</v>
      </c>
      <c r="AP188" s="55">
        <f t="shared" si="23"/>
        <v>0</v>
      </c>
      <c r="AQ188" s="57" t="s">
        <v>108</v>
      </c>
      <c r="AV188" s="55">
        <f t="shared" si="14"/>
        <v>0</v>
      </c>
      <c r="AW188" s="55">
        <f t="shared" si="15"/>
        <v>0</v>
      </c>
      <c r="AX188" s="55">
        <f t="shared" si="16"/>
        <v>0</v>
      </c>
      <c r="AY188" s="57" t="s">
        <v>407</v>
      </c>
      <c r="AZ188" s="57" t="s">
        <v>354</v>
      </c>
      <c r="BA188" s="36" t="s">
        <v>115</v>
      </c>
      <c r="BC188" s="55">
        <f t="shared" si="17"/>
        <v>0</v>
      </c>
      <c r="BD188" s="55">
        <f t="shared" si="18"/>
        <v>0</v>
      </c>
      <c r="BE188" s="55">
        <v>0</v>
      </c>
      <c r="BF188" s="55">
        <f>188</f>
        <v>188</v>
      </c>
      <c r="BH188" s="55">
        <f t="shared" si="19"/>
        <v>0</v>
      </c>
      <c r="BI188" s="55">
        <f t="shared" si="20"/>
        <v>0</v>
      </c>
      <c r="BJ188" s="55">
        <f t="shared" si="21"/>
        <v>0</v>
      </c>
      <c r="BK188" s="55"/>
      <c r="BL188" s="55"/>
      <c r="BW188" s="55">
        <v>12</v>
      </c>
      <c r="BX188" s="3" t="s">
        <v>470</v>
      </c>
    </row>
    <row r="189" spans="1:76" x14ac:dyDescent="0.25">
      <c r="A189" s="1" t="s">
        <v>471</v>
      </c>
      <c r="B189" s="2" t="s">
        <v>472</v>
      </c>
      <c r="C189" s="82" t="s">
        <v>473</v>
      </c>
      <c r="D189" s="79"/>
      <c r="E189" s="2" t="s">
        <v>124</v>
      </c>
      <c r="F189" s="55">
        <v>15</v>
      </c>
      <c r="G189" s="56">
        <v>0</v>
      </c>
      <c r="H189" s="55">
        <f t="shared" si="0"/>
        <v>0</v>
      </c>
      <c r="I189" s="57" t="s">
        <v>112</v>
      </c>
      <c r="J189" s="50"/>
      <c r="Z189" s="55">
        <f t="shared" si="1"/>
        <v>0</v>
      </c>
      <c r="AB189" s="55">
        <f t="shared" si="2"/>
        <v>0</v>
      </c>
      <c r="AC189" s="55">
        <f t="shared" si="3"/>
        <v>0</v>
      </c>
      <c r="AD189" s="55">
        <f t="shared" si="4"/>
        <v>0</v>
      </c>
      <c r="AE189" s="55">
        <f t="shared" si="5"/>
        <v>0</v>
      </c>
      <c r="AF189" s="55">
        <f t="shared" si="6"/>
        <v>0</v>
      </c>
      <c r="AG189" s="55">
        <f t="shared" si="7"/>
        <v>0</v>
      </c>
      <c r="AH189" s="55">
        <f t="shared" si="8"/>
        <v>0</v>
      </c>
      <c r="AI189" s="36" t="s">
        <v>4</v>
      </c>
      <c r="AJ189" s="55">
        <f t="shared" si="9"/>
        <v>0</v>
      </c>
      <c r="AK189" s="55">
        <f t="shared" si="10"/>
        <v>0</v>
      </c>
      <c r="AL189" s="55">
        <f t="shared" si="11"/>
        <v>0</v>
      </c>
      <c r="AN189" s="55">
        <v>12</v>
      </c>
      <c r="AO189" s="55">
        <f>G189*0.134200368</f>
        <v>0</v>
      </c>
      <c r="AP189" s="55">
        <f>G189*(1-0.134200368)</f>
        <v>0</v>
      </c>
      <c r="AQ189" s="57" t="s">
        <v>121</v>
      </c>
      <c r="AV189" s="55">
        <f t="shared" si="14"/>
        <v>0</v>
      </c>
      <c r="AW189" s="55">
        <f t="shared" si="15"/>
        <v>0</v>
      </c>
      <c r="AX189" s="55">
        <f t="shared" si="16"/>
        <v>0</v>
      </c>
      <c r="AY189" s="57" t="s">
        <v>407</v>
      </c>
      <c r="AZ189" s="57" t="s">
        <v>354</v>
      </c>
      <c r="BA189" s="36" t="s">
        <v>115</v>
      </c>
      <c r="BC189" s="55">
        <f t="shared" si="17"/>
        <v>0</v>
      </c>
      <c r="BD189" s="55">
        <f t="shared" si="18"/>
        <v>0</v>
      </c>
      <c r="BE189" s="55">
        <v>0</v>
      </c>
      <c r="BF189" s="55">
        <f>189</f>
        <v>189</v>
      </c>
      <c r="BH189" s="55">
        <f t="shared" si="19"/>
        <v>0</v>
      </c>
      <c r="BI189" s="55">
        <f t="shared" si="20"/>
        <v>0</v>
      </c>
      <c r="BJ189" s="55">
        <f t="shared" si="21"/>
        <v>0</v>
      </c>
      <c r="BK189" s="55"/>
      <c r="BL189" s="55"/>
      <c r="BW189" s="55">
        <v>12</v>
      </c>
      <c r="BX189" s="3" t="s">
        <v>473</v>
      </c>
    </row>
    <row r="190" spans="1:76" ht="13.5" customHeight="1" x14ac:dyDescent="0.25">
      <c r="A190" s="58"/>
      <c r="B190" s="59" t="s">
        <v>116</v>
      </c>
      <c r="C190" s="157" t="s">
        <v>474</v>
      </c>
      <c r="D190" s="158"/>
      <c r="E190" s="158"/>
      <c r="F190" s="158"/>
      <c r="G190" s="159"/>
      <c r="H190" s="158"/>
      <c r="I190" s="158"/>
      <c r="J190" s="160"/>
    </row>
    <row r="191" spans="1:76" x14ac:dyDescent="0.25">
      <c r="A191" s="1" t="s">
        <v>475</v>
      </c>
      <c r="B191" s="2" t="s">
        <v>476</v>
      </c>
      <c r="C191" s="82" t="s">
        <v>477</v>
      </c>
      <c r="D191" s="79"/>
      <c r="E191" s="2" t="s">
        <v>478</v>
      </c>
      <c r="F191" s="55">
        <v>1</v>
      </c>
      <c r="G191" s="56">
        <v>0</v>
      </c>
      <c r="H191" s="55">
        <f t="shared" ref="H191:H198" si="24">ROUND(F191*G191,2)</f>
        <v>0</v>
      </c>
      <c r="I191" s="57" t="s">
        <v>112</v>
      </c>
      <c r="J191" s="50"/>
      <c r="Z191" s="55">
        <f t="shared" ref="Z191:Z198" si="25">ROUND(IF(AQ191="5",BJ191,0),2)</f>
        <v>0</v>
      </c>
      <c r="AB191" s="55">
        <f t="shared" ref="AB191:AB198" si="26">ROUND(IF(AQ191="1",BH191,0),2)</f>
        <v>0</v>
      </c>
      <c r="AC191" s="55">
        <f t="shared" ref="AC191:AC198" si="27">ROUND(IF(AQ191="1",BI191,0),2)</f>
        <v>0</v>
      </c>
      <c r="AD191" s="55">
        <f t="shared" ref="AD191:AD198" si="28">ROUND(IF(AQ191="7",BH191,0),2)</f>
        <v>0</v>
      </c>
      <c r="AE191" s="55">
        <f t="shared" ref="AE191:AE198" si="29">ROUND(IF(AQ191="7",BI191,0),2)</f>
        <v>0</v>
      </c>
      <c r="AF191" s="55">
        <f t="shared" ref="AF191:AF198" si="30">ROUND(IF(AQ191="2",BH191,0),2)</f>
        <v>0</v>
      </c>
      <c r="AG191" s="55">
        <f t="shared" ref="AG191:AG198" si="31">ROUND(IF(AQ191="2",BI191,0),2)</f>
        <v>0</v>
      </c>
      <c r="AH191" s="55">
        <f t="shared" ref="AH191:AH198" si="32">ROUND(IF(AQ191="0",BJ191,0),2)</f>
        <v>0</v>
      </c>
      <c r="AI191" s="36" t="s">
        <v>4</v>
      </c>
      <c r="AJ191" s="55">
        <f t="shared" ref="AJ191:AJ198" si="33">IF(AN191=0,H191,0)</f>
        <v>0</v>
      </c>
      <c r="AK191" s="55">
        <f t="shared" ref="AK191:AK198" si="34">IF(AN191=12,H191,0)</f>
        <v>0</v>
      </c>
      <c r="AL191" s="55">
        <f t="shared" ref="AL191:AL198" si="35">IF(AN191=21,H191,0)</f>
        <v>0</v>
      </c>
      <c r="AN191" s="55">
        <v>12</v>
      </c>
      <c r="AO191" s="55">
        <f t="shared" ref="AO191:AO198" si="36">G191*1</f>
        <v>0</v>
      </c>
      <c r="AP191" s="55">
        <f t="shared" ref="AP191:AP198" si="37">G191*(1-1)</f>
        <v>0</v>
      </c>
      <c r="AQ191" s="57" t="s">
        <v>108</v>
      </c>
      <c r="AV191" s="55">
        <f t="shared" ref="AV191:AV198" si="38">ROUND(AW191+AX191,2)</f>
        <v>0</v>
      </c>
      <c r="AW191" s="55">
        <f t="shared" ref="AW191:AW198" si="39">ROUND(F191*AO191,2)</f>
        <v>0</v>
      </c>
      <c r="AX191" s="55">
        <f t="shared" ref="AX191:AX198" si="40">ROUND(F191*AP191,2)</f>
        <v>0</v>
      </c>
      <c r="AY191" s="57" t="s">
        <v>407</v>
      </c>
      <c r="AZ191" s="57" t="s">
        <v>354</v>
      </c>
      <c r="BA191" s="36" t="s">
        <v>115</v>
      </c>
      <c r="BC191" s="55">
        <f t="shared" ref="BC191:BC198" si="41">AW191+AX191</f>
        <v>0</v>
      </c>
      <c r="BD191" s="55">
        <f t="shared" ref="BD191:BD198" si="42">G191/(100-BE191)*100</f>
        <v>0</v>
      </c>
      <c r="BE191" s="55">
        <v>0</v>
      </c>
      <c r="BF191" s="55">
        <f>191</f>
        <v>191</v>
      </c>
      <c r="BH191" s="55">
        <f t="shared" ref="BH191:BH198" si="43">F191*AO191</f>
        <v>0</v>
      </c>
      <c r="BI191" s="55">
        <f t="shared" ref="BI191:BI198" si="44">F191*AP191</f>
        <v>0</v>
      </c>
      <c r="BJ191" s="55">
        <f t="shared" ref="BJ191:BJ198" si="45">F191*G191</f>
        <v>0</v>
      </c>
      <c r="BK191" s="55"/>
      <c r="BL191" s="55"/>
      <c r="BW191" s="55">
        <v>12</v>
      </c>
      <c r="BX191" s="3" t="s">
        <v>477</v>
      </c>
    </row>
    <row r="192" spans="1:76" x14ac:dyDescent="0.25">
      <c r="A192" s="1" t="s">
        <v>479</v>
      </c>
      <c r="B192" s="2" t="s">
        <v>480</v>
      </c>
      <c r="C192" s="82" t="s">
        <v>481</v>
      </c>
      <c r="D192" s="79"/>
      <c r="E192" s="2" t="s">
        <v>437</v>
      </c>
      <c r="F192" s="55">
        <v>30</v>
      </c>
      <c r="G192" s="56">
        <v>0</v>
      </c>
      <c r="H192" s="55">
        <f t="shared" si="24"/>
        <v>0</v>
      </c>
      <c r="I192" s="57" t="s">
        <v>112</v>
      </c>
      <c r="J192" s="50"/>
      <c r="Z192" s="55">
        <f t="shared" si="25"/>
        <v>0</v>
      </c>
      <c r="AB192" s="55">
        <f t="shared" si="26"/>
        <v>0</v>
      </c>
      <c r="AC192" s="55">
        <f t="shared" si="27"/>
        <v>0</v>
      </c>
      <c r="AD192" s="55">
        <f t="shared" si="28"/>
        <v>0</v>
      </c>
      <c r="AE192" s="55">
        <f t="shared" si="29"/>
        <v>0</v>
      </c>
      <c r="AF192" s="55">
        <f t="shared" si="30"/>
        <v>0</v>
      </c>
      <c r="AG192" s="55">
        <f t="shared" si="31"/>
        <v>0</v>
      </c>
      <c r="AH192" s="55">
        <f t="shared" si="32"/>
        <v>0</v>
      </c>
      <c r="AI192" s="36" t="s">
        <v>4</v>
      </c>
      <c r="AJ192" s="55">
        <f t="shared" si="33"/>
        <v>0</v>
      </c>
      <c r="AK192" s="55">
        <f t="shared" si="34"/>
        <v>0</v>
      </c>
      <c r="AL192" s="55">
        <f t="shared" si="35"/>
        <v>0</v>
      </c>
      <c r="AN192" s="55">
        <v>12</v>
      </c>
      <c r="AO192" s="55">
        <f t="shared" si="36"/>
        <v>0</v>
      </c>
      <c r="AP192" s="55">
        <f t="shared" si="37"/>
        <v>0</v>
      </c>
      <c r="AQ192" s="57" t="s">
        <v>108</v>
      </c>
      <c r="AV192" s="55">
        <f t="shared" si="38"/>
        <v>0</v>
      </c>
      <c r="AW192" s="55">
        <f t="shared" si="39"/>
        <v>0</v>
      </c>
      <c r="AX192" s="55">
        <f t="shared" si="40"/>
        <v>0</v>
      </c>
      <c r="AY192" s="57" t="s">
        <v>407</v>
      </c>
      <c r="AZ192" s="57" t="s">
        <v>354</v>
      </c>
      <c r="BA192" s="36" t="s">
        <v>115</v>
      </c>
      <c r="BC192" s="55">
        <f t="shared" si="41"/>
        <v>0</v>
      </c>
      <c r="BD192" s="55">
        <f t="shared" si="42"/>
        <v>0</v>
      </c>
      <c r="BE192" s="55">
        <v>0</v>
      </c>
      <c r="BF192" s="55">
        <f>192</f>
        <v>192</v>
      </c>
      <c r="BH192" s="55">
        <f t="shared" si="43"/>
        <v>0</v>
      </c>
      <c r="BI192" s="55">
        <f t="shared" si="44"/>
        <v>0</v>
      </c>
      <c r="BJ192" s="55">
        <f t="shared" si="45"/>
        <v>0</v>
      </c>
      <c r="BK192" s="55"/>
      <c r="BL192" s="55"/>
      <c r="BW192" s="55">
        <v>12</v>
      </c>
      <c r="BX192" s="3" t="s">
        <v>481</v>
      </c>
    </row>
    <row r="193" spans="1:76" x14ac:dyDescent="0.25">
      <c r="A193" s="1" t="s">
        <v>482</v>
      </c>
      <c r="B193" s="2" t="s">
        <v>483</v>
      </c>
      <c r="C193" s="82" t="s">
        <v>484</v>
      </c>
      <c r="D193" s="79"/>
      <c r="E193" s="2" t="s">
        <v>437</v>
      </c>
      <c r="F193" s="55">
        <v>35</v>
      </c>
      <c r="G193" s="56">
        <v>0</v>
      </c>
      <c r="H193" s="55">
        <f t="shared" si="24"/>
        <v>0</v>
      </c>
      <c r="I193" s="57" t="s">
        <v>112</v>
      </c>
      <c r="J193" s="50"/>
      <c r="Z193" s="55">
        <f t="shared" si="25"/>
        <v>0</v>
      </c>
      <c r="AB193" s="55">
        <f t="shared" si="26"/>
        <v>0</v>
      </c>
      <c r="AC193" s="55">
        <f t="shared" si="27"/>
        <v>0</v>
      </c>
      <c r="AD193" s="55">
        <f t="shared" si="28"/>
        <v>0</v>
      </c>
      <c r="AE193" s="55">
        <f t="shared" si="29"/>
        <v>0</v>
      </c>
      <c r="AF193" s="55">
        <f t="shared" si="30"/>
        <v>0</v>
      </c>
      <c r="AG193" s="55">
        <f t="shared" si="31"/>
        <v>0</v>
      </c>
      <c r="AH193" s="55">
        <f t="shared" si="32"/>
        <v>0</v>
      </c>
      <c r="AI193" s="36" t="s">
        <v>4</v>
      </c>
      <c r="AJ193" s="55">
        <f t="shared" si="33"/>
        <v>0</v>
      </c>
      <c r="AK193" s="55">
        <f t="shared" si="34"/>
        <v>0</v>
      </c>
      <c r="AL193" s="55">
        <f t="shared" si="35"/>
        <v>0</v>
      </c>
      <c r="AN193" s="55">
        <v>12</v>
      </c>
      <c r="AO193" s="55">
        <f t="shared" si="36"/>
        <v>0</v>
      </c>
      <c r="AP193" s="55">
        <f t="shared" si="37"/>
        <v>0</v>
      </c>
      <c r="AQ193" s="57" t="s">
        <v>108</v>
      </c>
      <c r="AV193" s="55">
        <f t="shared" si="38"/>
        <v>0</v>
      </c>
      <c r="AW193" s="55">
        <f t="shared" si="39"/>
        <v>0</v>
      </c>
      <c r="AX193" s="55">
        <f t="shared" si="40"/>
        <v>0</v>
      </c>
      <c r="AY193" s="57" t="s">
        <v>407</v>
      </c>
      <c r="AZ193" s="57" t="s">
        <v>354</v>
      </c>
      <c r="BA193" s="36" t="s">
        <v>115</v>
      </c>
      <c r="BC193" s="55">
        <f t="shared" si="41"/>
        <v>0</v>
      </c>
      <c r="BD193" s="55">
        <f t="shared" si="42"/>
        <v>0</v>
      </c>
      <c r="BE193" s="55">
        <v>0</v>
      </c>
      <c r="BF193" s="55">
        <f>193</f>
        <v>193</v>
      </c>
      <c r="BH193" s="55">
        <f t="shared" si="43"/>
        <v>0</v>
      </c>
      <c r="BI193" s="55">
        <f t="shared" si="44"/>
        <v>0</v>
      </c>
      <c r="BJ193" s="55">
        <f t="shared" si="45"/>
        <v>0</v>
      </c>
      <c r="BK193" s="55"/>
      <c r="BL193" s="55"/>
      <c r="BW193" s="55">
        <v>12</v>
      </c>
      <c r="BX193" s="3" t="s">
        <v>484</v>
      </c>
    </row>
    <row r="194" spans="1:76" x14ac:dyDescent="0.25">
      <c r="A194" s="1" t="s">
        <v>485</v>
      </c>
      <c r="B194" s="2" t="s">
        <v>486</v>
      </c>
      <c r="C194" s="82" t="s">
        <v>487</v>
      </c>
      <c r="D194" s="79"/>
      <c r="E194" s="2" t="s">
        <v>437</v>
      </c>
      <c r="F194" s="55">
        <v>3</v>
      </c>
      <c r="G194" s="56">
        <v>0</v>
      </c>
      <c r="H194" s="55">
        <f t="shared" si="24"/>
        <v>0</v>
      </c>
      <c r="I194" s="57" t="s">
        <v>112</v>
      </c>
      <c r="J194" s="50"/>
      <c r="Z194" s="55">
        <f t="shared" si="25"/>
        <v>0</v>
      </c>
      <c r="AB194" s="55">
        <f t="shared" si="26"/>
        <v>0</v>
      </c>
      <c r="AC194" s="55">
        <f t="shared" si="27"/>
        <v>0</v>
      </c>
      <c r="AD194" s="55">
        <f t="shared" si="28"/>
        <v>0</v>
      </c>
      <c r="AE194" s="55">
        <f t="shared" si="29"/>
        <v>0</v>
      </c>
      <c r="AF194" s="55">
        <f t="shared" si="30"/>
        <v>0</v>
      </c>
      <c r="AG194" s="55">
        <f t="shared" si="31"/>
        <v>0</v>
      </c>
      <c r="AH194" s="55">
        <f t="shared" si="32"/>
        <v>0</v>
      </c>
      <c r="AI194" s="36" t="s">
        <v>4</v>
      </c>
      <c r="AJ194" s="55">
        <f t="shared" si="33"/>
        <v>0</v>
      </c>
      <c r="AK194" s="55">
        <f t="shared" si="34"/>
        <v>0</v>
      </c>
      <c r="AL194" s="55">
        <f t="shared" si="35"/>
        <v>0</v>
      </c>
      <c r="AN194" s="55">
        <v>12</v>
      </c>
      <c r="AO194" s="55">
        <f t="shared" si="36"/>
        <v>0</v>
      </c>
      <c r="AP194" s="55">
        <f t="shared" si="37"/>
        <v>0</v>
      </c>
      <c r="AQ194" s="57" t="s">
        <v>108</v>
      </c>
      <c r="AV194" s="55">
        <f t="shared" si="38"/>
        <v>0</v>
      </c>
      <c r="AW194" s="55">
        <f t="shared" si="39"/>
        <v>0</v>
      </c>
      <c r="AX194" s="55">
        <f t="shared" si="40"/>
        <v>0</v>
      </c>
      <c r="AY194" s="57" t="s">
        <v>407</v>
      </c>
      <c r="AZ194" s="57" t="s">
        <v>354</v>
      </c>
      <c r="BA194" s="36" t="s">
        <v>115</v>
      </c>
      <c r="BC194" s="55">
        <f t="shared" si="41"/>
        <v>0</v>
      </c>
      <c r="BD194" s="55">
        <f t="shared" si="42"/>
        <v>0</v>
      </c>
      <c r="BE194" s="55">
        <v>0</v>
      </c>
      <c r="BF194" s="55">
        <f>194</f>
        <v>194</v>
      </c>
      <c r="BH194" s="55">
        <f t="shared" si="43"/>
        <v>0</v>
      </c>
      <c r="BI194" s="55">
        <f t="shared" si="44"/>
        <v>0</v>
      </c>
      <c r="BJ194" s="55">
        <f t="shared" si="45"/>
        <v>0</v>
      </c>
      <c r="BK194" s="55"/>
      <c r="BL194" s="55"/>
      <c r="BW194" s="55">
        <v>12</v>
      </c>
      <c r="BX194" s="3" t="s">
        <v>487</v>
      </c>
    </row>
    <row r="195" spans="1:76" x14ac:dyDescent="0.25">
      <c r="A195" s="1" t="s">
        <v>488</v>
      </c>
      <c r="B195" s="2" t="s">
        <v>489</v>
      </c>
      <c r="C195" s="82" t="s">
        <v>490</v>
      </c>
      <c r="D195" s="79"/>
      <c r="E195" s="2" t="s">
        <v>437</v>
      </c>
      <c r="F195" s="55">
        <v>20</v>
      </c>
      <c r="G195" s="56">
        <v>0</v>
      </c>
      <c r="H195" s="55">
        <f t="shared" si="24"/>
        <v>0</v>
      </c>
      <c r="I195" s="57" t="s">
        <v>112</v>
      </c>
      <c r="J195" s="50"/>
      <c r="Z195" s="55">
        <f t="shared" si="25"/>
        <v>0</v>
      </c>
      <c r="AB195" s="55">
        <f t="shared" si="26"/>
        <v>0</v>
      </c>
      <c r="AC195" s="55">
        <f t="shared" si="27"/>
        <v>0</v>
      </c>
      <c r="AD195" s="55">
        <f t="shared" si="28"/>
        <v>0</v>
      </c>
      <c r="AE195" s="55">
        <f t="shared" si="29"/>
        <v>0</v>
      </c>
      <c r="AF195" s="55">
        <f t="shared" si="30"/>
        <v>0</v>
      </c>
      <c r="AG195" s="55">
        <f t="shared" si="31"/>
        <v>0</v>
      </c>
      <c r="AH195" s="55">
        <f t="shared" si="32"/>
        <v>0</v>
      </c>
      <c r="AI195" s="36" t="s">
        <v>4</v>
      </c>
      <c r="AJ195" s="55">
        <f t="shared" si="33"/>
        <v>0</v>
      </c>
      <c r="AK195" s="55">
        <f t="shared" si="34"/>
        <v>0</v>
      </c>
      <c r="AL195" s="55">
        <f t="shared" si="35"/>
        <v>0</v>
      </c>
      <c r="AN195" s="55">
        <v>12</v>
      </c>
      <c r="AO195" s="55">
        <f t="shared" si="36"/>
        <v>0</v>
      </c>
      <c r="AP195" s="55">
        <f t="shared" si="37"/>
        <v>0</v>
      </c>
      <c r="AQ195" s="57" t="s">
        <v>108</v>
      </c>
      <c r="AV195" s="55">
        <f t="shared" si="38"/>
        <v>0</v>
      </c>
      <c r="AW195" s="55">
        <f t="shared" si="39"/>
        <v>0</v>
      </c>
      <c r="AX195" s="55">
        <f t="shared" si="40"/>
        <v>0</v>
      </c>
      <c r="AY195" s="57" t="s">
        <v>407</v>
      </c>
      <c r="AZ195" s="57" t="s">
        <v>354</v>
      </c>
      <c r="BA195" s="36" t="s">
        <v>115</v>
      </c>
      <c r="BC195" s="55">
        <f t="shared" si="41"/>
        <v>0</v>
      </c>
      <c r="BD195" s="55">
        <f t="shared" si="42"/>
        <v>0</v>
      </c>
      <c r="BE195" s="55">
        <v>0</v>
      </c>
      <c r="BF195" s="55">
        <f>195</f>
        <v>195</v>
      </c>
      <c r="BH195" s="55">
        <f t="shared" si="43"/>
        <v>0</v>
      </c>
      <c r="BI195" s="55">
        <f t="shared" si="44"/>
        <v>0</v>
      </c>
      <c r="BJ195" s="55">
        <f t="shared" si="45"/>
        <v>0</v>
      </c>
      <c r="BK195" s="55"/>
      <c r="BL195" s="55"/>
      <c r="BW195" s="55">
        <v>12</v>
      </c>
      <c r="BX195" s="3" t="s">
        <v>490</v>
      </c>
    </row>
    <row r="196" spans="1:76" x14ac:dyDescent="0.25">
      <c r="A196" s="1" t="s">
        <v>491</v>
      </c>
      <c r="B196" s="2" t="s">
        <v>492</v>
      </c>
      <c r="C196" s="82" t="s">
        <v>493</v>
      </c>
      <c r="D196" s="79"/>
      <c r="E196" s="2" t="s">
        <v>437</v>
      </c>
      <c r="F196" s="55">
        <v>5</v>
      </c>
      <c r="G196" s="56">
        <v>0</v>
      </c>
      <c r="H196" s="55">
        <f t="shared" si="24"/>
        <v>0</v>
      </c>
      <c r="I196" s="57" t="s">
        <v>112</v>
      </c>
      <c r="J196" s="50"/>
      <c r="Z196" s="55">
        <f t="shared" si="25"/>
        <v>0</v>
      </c>
      <c r="AB196" s="55">
        <f t="shared" si="26"/>
        <v>0</v>
      </c>
      <c r="AC196" s="55">
        <f t="shared" si="27"/>
        <v>0</v>
      </c>
      <c r="AD196" s="55">
        <f t="shared" si="28"/>
        <v>0</v>
      </c>
      <c r="AE196" s="55">
        <f t="shared" si="29"/>
        <v>0</v>
      </c>
      <c r="AF196" s="55">
        <f t="shared" si="30"/>
        <v>0</v>
      </c>
      <c r="AG196" s="55">
        <f t="shared" si="31"/>
        <v>0</v>
      </c>
      <c r="AH196" s="55">
        <f t="shared" si="32"/>
        <v>0</v>
      </c>
      <c r="AI196" s="36" t="s">
        <v>4</v>
      </c>
      <c r="AJ196" s="55">
        <f t="shared" si="33"/>
        <v>0</v>
      </c>
      <c r="AK196" s="55">
        <f t="shared" si="34"/>
        <v>0</v>
      </c>
      <c r="AL196" s="55">
        <f t="shared" si="35"/>
        <v>0</v>
      </c>
      <c r="AN196" s="55">
        <v>12</v>
      </c>
      <c r="AO196" s="55">
        <f t="shared" si="36"/>
        <v>0</v>
      </c>
      <c r="AP196" s="55">
        <f t="shared" si="37"/>
        <v>0</v>
      </c>
      <c r="AQ196" s="57" t="s">
        <v>108</v>
      </c>
      <c r="AV196" s="55">
        <f t="shared" si="38"/>
        <v>0</v>
      </c>
      <c r="AW196" s="55">
        <f t="shared" si="39"/>
        <v>0</v>
      </c>
      <c r="AX196" s="55">
        <f t="shared" si="40"/>
        <v>0</v>
      </c>
      <c r="AY196" s="57" t="s">
        <v>407</v>
      </c>
      <c r="AZ196" s="57" t="s">
        <v>354</v>
      </c>
      <c r="BA196" s="36" t="s">
        <v>115</v>
      </c>
      <c r="BC196" s="55">
        <f t="shared" si="41"/>
        <v>0</v>
      </c>
      <c r="BD196" s="55">
        <f t="shared" si="42"/>
        <v>0</v>
      </c>
      <c r="BE196" s="55">
        <v>0</v>
      </c>
      <c r="BF196" s="55">
        <f>196</f>
        <v>196</v>
      </c>
      <c r="BH196" s="55">
        <f t="shared" si="43"/>
        <v>0</v>
      </c>
      <c r="BI196" s="55">
        <f t="shared" si="44"/>
        <v>0</v>
      </c>
      <c r="BJ196" s="55">
        <f t="shared" si="45"/>
        <v>0</v>
      </c>
      <c r="BK196" s="55"/>
      <c r="BL196" s="55"/>
      <c r="BW196" s="55">
        <v>12</v>
      </c>
      <c r="BX196" s="3" t="s">
        <v>493</v>
      </c>
    </row>
    <row r="197" spans="1:76" x14ac:dyDescent="0.25">
      <c r="A197" s="1" t="s">
        <v>494</v>
      </c>
      <c r="B197" s="2" t="s">
        <v>495</v>
      </c>
      <c r="C197" s="82" t="s">
        <v>496</v>
      </c>
      <c r="D197" s="79"/>
      <c r="E197" s="2" t="s">
        <v>433</v>
      </c>
      <c r="F197" s="55">
        <v>18.600000000000001</v>
      </c>
      <c r="G197" s="56">
        <v>0</v>
      </c>
      <c r="H197" s="55">
        <f t="shared" si="24"/>
        <v>0</v>
      </c>
      <c r="I197" s="57" t="s">
        <v>112</v>
      </c>
      <c r="J197" s="50"/>
      <c r="Z197" s="55">
        <f t="shared" si="25"/>
        <v>0</v>
      </c>
      <c r="AB197" s="55">
        <f t="shared" si="26"/>
        <v>0</v>
      </c>
      <c r="AC197" s="55">
        <f t="shared" si="27"/>
        <v>0</v>
      </c>
      <c r="AD197" s="55">
        <f t="shared" si="28"/>
        <v>0</v>
      </c>
      <c r="AE197" s="55">
        <f t="shared" si="29"/>
        <v>0</v>
      </c>
      <c r="AF197" s="55">
        <f t="shared" si="30"/>
        <v>0</v>
      </c>
      <c r="AG197" s="55">
        <f t="shared" si="31"/>
        <v>0</v>
      </c>
      <c r="AH197" s="55">
        <f t="shared" si="32"/>
        <v>0</v>
      </c>
      <c r="AI197" s="36" t="s">
        <v>4</v>
      </c>
      <c r="AJ197" s="55">
        <f t="shared" si="33"/>
        <v>0</v>
      </c>
      <c r="AK197" s="55">
        <f t="shared" si="34"/>
        <v>0</v>
      </c>
      <c r="AL197" s="55">
        <f t="shared" si="35"/>
        <v>0</v>
      </c>
      <c r="AN197" s="55">
        <v>12</v>
      </c>
      <c r="AO197" s="55">
        <f t="shared" si="36"/>
        <v>0</v>
      </c>
      <c r="AP197" s="55">
        <f t="shared" si="37"/>
        <v>0</v>
      </c>
      <c r="AQ197" s="57" t="s">
        <v>108</v>
      </c>
      <c r="AV197" s="55">
        <f t="shared" si="38"/>
        <v>0</v>
      </c>
      <c r="AW197" s="55">
        <f t="shared" si="39"/>
        <v>0</v>
      </c>
      <c r="AX197" s="55">
        <f t="shared" si="40"/>
        <v>0</v>
      </c>
      <c r="AY197" s="57" t="s">
        <v>407</v>
      </c>
      <c r="AZ197" s="57" t="s">
        <v>354</v>
      </c>
      <c r="BA197" s="36" t="s">
        <v>115</v>
      </c>
      <c r="BC197" s="55">
        <f t="shared" si="41"/>
        <v>0</v>
      </c>
      <c r="BD197" s="55">
        <f t="shared" si="42"/>
        <v>0</v>
      </c>
      <c r="BE197" s="55">
        <v>0</v>
      </c>
      <c r="BF197" s="55">
        <f>197</f>
        <v>197</v>
      </c>
      <c r="BH197" s="55">
        <f t="shared" si="43"/>
        <v>0</v>
      </c>
      <c r="BI197" s="55">
        <f t="shared" si="44"/>
        <v>0</v>
      </c>
      <c r="BJ197" s="55">
        <f t="shared" si="45"/>
        <v>0</v>
      </c>
      <c r="BK197" s="55"/>
      <c r="BL197" s="55"/>
      <c r="BW197" s="55">
        <v>12</v>
      </c>
      <c r="BX197" s="3" t="s">
        <v>496</v>
      </c>
    </row>
    <row r="198" spans="1:76" x14ac:dyDescent="0.25">
      <c r="A198" s="1" t="s">
        <v>497</v>
      </c>
      <c r="B198" s="2" t="s">
        <v>498</v>
      </c>
      <c r="C198" s="82" t="s">
        <v>499</v>
      </c>
      <c r="D198" s="79"/>
      <c r="E198" s="2" t="s">
        <v>433</v>
      </c>
      <c r="F198" s="55">
        <v>27</v>
      </c>
      <c r="G198" s="56">
        <v>0</v>
      </c>
      <c r="H198" s="55">
        <f t="shared" si="24"/>
        <v>0</v>
      </c>
      <c r="I198" s="57" t="s">
        <v>112</v>
      </c>
      <c r="J198" s="50"/>
      <c r="Z198" s="55">
        <f t="shared" si="25"/>
        <v>0</v>
      </c>
      <c r="AB198" s="55">
        <f t="shared" si="26"/>
        <v>0</v>
      </c>
      <c r="AC198" s="55">
        <f t="shared" si="27"/>
        <v>0</v>
      </c>
      <c r="AD198" s="55">
        <f t="shared" si="28"/>
        <v>0</v>
      </c>
      <c r="AE198" s="55">
        <f t="shared" si="29"/>
        <v>0</v>
      </c>
      <c r="AF198" s="55">
        <f t="shared" si="30"/>
        <v>0</v>
      </c>
      <c r="AG198" s="55">
        <f t="shared" si="31"/>
        <v>0</v>
      </c>
      <c r="AH198" s="55">
        <f t="shared" si="32"/>
        <v>0</v>
      </c>
      <c r="AI198" s="36" t="s">
        <v>4</v>
      </c>
      <c r="AJ198" s="55">
        <f t="shared" si="33"/>
        <v>0</v>
      </c>
      <c r="AK198" s="55">
        <f t="shared" si="34"/>
        <v>0</v>
      </c>
      <c r="AL198" s="55">
        <f t="shared" si="35"/>
        <v>0</v>
      </c>
      <c r="AN198" s="55">
        <v>12</v>
      </c>
      <c r="AO198" s="55">
        <f t="shared" si="36"/>
        <v>0</v>
      </c>
      <c r="AP198" s="55">
        <f t="shared" si="37"/>
        <v>0</v>
      </c>
      <c r="AQ198" s="57" t="s">
        <v>108</v>
      </c>
      <c r="AV198" s="55">
        <f t="shared" si="38"/>
        <v>0</v>
      </c>
      <c r="AW198" s="55">
        <f t="shared" si="39"/>
        <v>0</v>
      </c>
      <c r="AX198" s="55">
        <f t="shared" si="40"/>
        <v>0</v>
      </c>
      <c r="AY198" s="57" t="s">
        <v>407</v>
      </c>
      <c r="AZ198" s="57" t="s">
        <v>354</v>
      </c>
      <c r="BA198" s="36" t="s">
        <v>115</v>
      </c>
      <c r="BC198" s="55">
        <f t="shared" si="41"/>
        <v>0</v>
      </c>
      <c r="BD198" s="55">
        <f t="shared" si="42"/>
        <v>0</v>
      </c>
      <c r="BE198" s="55">
        <v>0</v>
      </c>
      <c r="BF198" s="55">
        <f>198</f>
        <v>198</v>
      </c>
      <c r="BH198" s="55">
        <f t="shared" si="43"/>
        <v>0</v>
      </c>
      <c r="BI198" s="55">
        <f t="shared" si="44"/>
        <v>0</v>
      </c>
      <c r="BJ198" s="55">
        <f t="shared" si="45"/>
        <v>0</v>
      </c>
      <c r="BK198" s="55"/>
      <c r="BL198" s="55"/>
      <c r="BW198" s="55">
        <v>12</v>
      </c>
      <c r="BX198" s="3" t="s">
        <v>499</v>
      </c>
    </row>
    <row r="199" spans="1:76" x14ac:dyDescent="0.25">
      <c r="A199" s="51" t="s">
        <v>4</v>
      </c>
      <c r="B199" s="52" t="s">
        <v>500</v>
      </c>
      <c r="C199" s="155" t="s">
        <v>501</v>
      </c>
      <c r="D199" s="156"/>
      <c r="E199" s="53" t="s">
        <v>73</v>
      </c>
      <c r="F199" s="53" t="s">
        <v>73</v>
      </c>
      <c r="G199" s="54" t="s">
        <v>73</v>
      </c>
      <c r="H199" s="28">
        <f>SUM(H200:H208)</f>
        <v>0</v>
      </c>
      <c r="I199" s="36" t="s">
        <v>4</v>
      </c>
      <c r="J199" s="50"/>
      <c r="AI199" s="36" t="s">
        <v>4</v>
      </c>
      <c r="AS199" s="28">
        <f>SUM(AJ200:AJ208)</f>
        <v>0</v>
      </c>
      <c r="AT199" s="28">
        <f>SUM(AK200:AK208)</f>
        <v>0</v>
      </c>
      <c r="AU199" s="28">
        <f>SUM(AL200:AL208)</f>
        <v>0</v>
      </c>
    </row>
    <row r="200" spans="1:76" x14ac:dyDescent="0.25">
      <c r="A200" s="1" t="s">
        <v>502</v>
      </c>
      <c r="B200" s="2" t="s">
        <v>503</v>
      </c>
      <c r="C200" s="82" t="s">
        <v>504</v>
      </c>
      <c r="D200" s="79"/>
      <c r="E200" s="2" t="s">
        <v>179</v>
      </c>
      <c r="F200" s="55">
        <v>5</v>
      </c>
      <c r="G200" s="56">
        <v>0</v>
      </c>
      <c r="H200" s="55">
        <f>ROUND(F200*G200,2)</f>
        <v>0</v>
      </c>
      <c r="I200" s="57" t="s">
        <v>112</v>
      </c>
      <c r="J200" s="50"/>
      <c r="Z200" s="55">
        <f>ROUND(IF(AQ200="5",BJ200,0),2)</f>
        <v>0</v>
      </c>
      <c r="AB200" s="55">
        <f>ROUND(IF(AQ200="1",BH200,0),2)</f>
        <v>0</v>
      </c>
      <c r="AC200" s="55">
        <f>ROUND(IF(AQ200="1",BI200,0),2)</f>
        <v>0</v>
      </c>
      <c r="AD200" s="55">
        <f>ROUND(IF(AQ200="7",BH200,0),2)</f>
        <v>0</v>
      </c>
      <c r="AE200" s="55">
        <f>ROUND(IF(AQ200="7",BI200,0),2)</f>
        <v>0</v>
      </c>
      <c r="AF200" s="55">
        <f>ROUND(IF(AQ200="2",BH200,0),2)</f>
        <v>0</v>
      </c>
      <c r="AG200" s="55">
        <f>ROUND(IF(AQ200="2",BI200,0),2)</f>
        <v>0</v>
      </c>
      <c r="AH200" s="55">
        <f>ROUND(IF(AQ200="0",BJ200,0),2)</f>
        <v>0</v>
      </c>
      <c r="AI200" s="36" t="s">
        <v>4</v>
      </c>
      <c r="AJ200" s="55">
        <f>IF(AN200=0,H200,0)</f>
        <v>0</v>
      </c>
      <c r="AK200" s="55">
        <f>IF(AN200=12,H200,0)</f>
        <v>0</v>
      </c>
      <c r="AL200" s="55">
        <f>IF(AN200=21,H200,0)</f>
        <v>0</v>
      </c>
      <c r="AN200" s="55">
        <v>12</v>
      </c>
      <c r="AO200" s="55">
        <f>G200*0.206295503</f>
        <v>0</v>
      </c>
      <c r="AP200" s="55">
        <f>G200*(1-0.206295503)</f>
        <v>0</v>
      </c>
      <c r="AQ200" s="57" t="s">
        <v>121</v>
      </c>
      <c r="AV200" s="55">
        <f>ROUND(AW200+AX200,2)</f>
        <v>0</v>
      </c>
      <c r="AW200" s="55">
        <f>ROUND(F200*AO200,2)</f>
        <v>0</v>
      </c>
      <c r="AX200" s="55">
        <f>ROUND(F200*AP200,2)</f>
        <v>0</v>
      </c>
      <c r="AY200" s="57" t="s">
        <v>505</v>
      </c>
      <c r="AZ200" s="57" t="s">
        <v>354</v>
      </c>
      <c r="BA200" s="36" t="s">
        <v>115</v>
      </c>
      <c r="BC200" s="55">
        <f>AW200+AX200</f>
        <v>0</v>
      </c>
      <c r="BD200" s="55">
        <f>G200/(100-BE200)*100</f>
        <v>0</v>
      </c>
      <c r="BE200" s="55">
        <v>0</v>
      </c>
      <c r="BF200" s="55">
        <f>200</f>
        <v>200</v>
      </c>
      <c r="BH200" s="55">
        <f>F200*AO200</f>
        <v>0</v>
      </c>
      <c r="BI200" s="55">
        <f>F200*AP200</f>
        <v>0</v>
      </c>
      <c r="BJ200" s="55">
        <f>F200*G200</f>
        <v>0</v>
      </c>
      <c r="BK200" s="55"/>
      <c r="BL200" s="55"/>
      <c r="BW200" s="55">
        <v>12</v>
      </c>
      <c r="BX200" s="3" t="s">
        <v>504</v>
      </c>
    </row>
    <row r="201" spans="1:76" ht="13.5" customHeight="1" x14ac:dyDescent="0.25">
      <c r="A201" s="58"/>
      <c r="B201" s="59" t="s">
        <v>116</v>
      </c>
      <c r="C201" s="157" t="s">
        <v>506</v>
      </c>
      <c r="D201" s="158"/>
      <c r="E201" s="158"/>
      <c r="F201" s="158"/>
      <c r="G201" s="159"/>
      <c r="H201" s="158"/>
      <c r="I201" s="158"/>
      <c r="J201" s="160"/>
    </row>
    <row r="202" spans="1:76" x14ac:dyDescent="0.25">
      <c r="A202" s="1" t="s">
        <v>507</v>
      </c>
      <c r="B202" s="2" t="s">
        <v>508</v>
      </c>
      <c r="C202" s="82" t="s">
        <v>509</v>
      </c>
      <c r="D202" s="79"/>
      <c r="E202" s="2" t="s">
        <v>124</v>
      </c>
      <c r="F202" s="55">
        <v>4</v>
      </c>
      <c r="G202" s="56">
        <v>0</v>
      </c>
      <c r="H202" s="55">
        <f>ROUND(F202*G202,2)</f>
        <v>0</v>
      </c>
      <c r="I202" s="57" t="s">
        <v>112</v>
      </c>
      <c r="J202" s="50"/>
      <c r="Z202" s="55">
        <f>ROUND(IF(AQ202="5",BJ202,0),2)</f>
        <v>0</v>
      </c>
      <c r="AB202" s="55">
        <f>ROUND(IF(AQ202="1",BH202,0),2)</f>
        <v>0</v>
      </c>
      <c r="AC202" s="55">
        <f>ROUND(IF(AQ202="1",BI202,0),2)</f>
        <v>0</v>
      </c>
      <c r="AD202" s="55">
        <f>ROUND(IF(AQ202="7",BH202,0),2)</f>
        <v>0</v>
      </c>
      <c r="AE202" s="55">
        <f>ROUND(IF(AQ202="7",BI202,0),2)</f>
        <v>0</v>
      </c>
      <c r="AF202" s="55">
        <f>ROUND(IF(AQ202="2",BH202,0),2)</f>
        <v>0</v>
      </c>
      <c r="AG202" s="55">
        <f>ROUND(IF(AQ202="2",BI202,0),2)</f>
        <v>0</v>
      </c>
      <c r="AH202" s="55">
        <f>ROUND(IF(AQ202="0",BJ202,0),2)</f>
        <v>0</v>
      </c>
      <c r="AI202" s="36" t="s">
        <v>4</v>
      </c>
      <c r="AJ202" s="55">
        <f>IF(AN202=0,H202,0)</f>
        <v>0</v>
      </c>
      <c r="AK202" s="55">
        <f>IF(AN202=12,H202,0)</f>
        <v>0</v>
      </c>
      <c r="AL202" s="55">
        <f>IF(AN202=21,H202,0)</f>
        <v>0</v>
      </c>
      <c r="AN202" s="55">
        <v>12</v>
      </c>
      <c r="AO202" s="55">
        <f>G202*0</f>
        <v>0</v>
      </c>
      <c r="AP202" s="55">
        <f>G202*(1-0)</f>
        <v>0</v>
      </c>
      <c r="AQ202" s="57" t="s">
        <v>121</v>
      </c>
      <c r="AV202" s="55">
        <f>ROUND(AW202+AX202,2)</f>
        <v>0</v>
      </c>
      <c r="AW202" s="55">
        <f>ROUND(F202*AO202,2)</f>
        <v>0</v>
      </c>
      <c r="AX202" s="55">
        <f>ROUND(F202*AP202,2)</f>
        <v>0</v>
      </c>
      <c r="AY202" s="57" t="s">
        <v>505</v>
      </c>
      <c r="AZ202" s="57" t="s">
        <v>354</v>
      </c>
      <c r="BA202" s="36" t="s">
        <v>115</v>
      </c>
      <c r="BC202" s="55">
        <f>AW202+AX202</f>
        <v>0</v>
      </c>
      <c r="BD202" s="55">
        <f>G202/(100-BE202)*100</f>
        <v>0</v>
      </c>
      <c r="BE202" s="55">
        <v>0</v>
      </c>
      <c r="BF202" s="55">
        <f>202</f>
        <v>202</v>
      </c>
      <c r="BH202" s="55">
        <f>F202*AO202</f>
        <v>0</v>
      </c>
      <c r="BI202" s="55">
        <f>F202*AP202</f>
        <v>0</v>
      </c>
      <c r="BJ202" s="55">
        <f>F202*G202</f>
        <v>0</v>
      </c>
      <c r="BK202" s="55"/>
      <c r="BL202" s="55"/>
      <c r="BW202" s="55">
        <v>12</v>
      </c>
      <c r="BX202" s="3" t="s">
        <v>509</v>
      </c>
    </row>
    <row r="203" spans="1:76" x14ac:dyDescent="0.25">
      <c r="A203" s="1" t="s">
        <v>510</v>
      </c>
      <c r="B203" s="2" t="s">
        <v>511</v>
      </c>
      <c r="C203" s="82" t="s">
        <v>512</v>
      </c>
      <c r="D203" s="79"/>
      <c r="E203" s="2" t="s">
        <v>179</v>
      </c>
      <c r="F203" s="55">
        <v>2</v>
      </c>
      <c r="G203" s="56">
        <v>0</v>
      </c>
      <c r="H203" s="55">
        <f>ROUND(F203*G203,2)</f>
        <v>0</v>
      </c>
      <c r="I203" s="57" t="s">
        <v>112</v>
      </c>
      <c r="J203" s="50"/>
      <c r="Z203" s="55">
        <f>ROUND(IF(AQ203="5",BJ203,0),2)</f>
        <v>0</v>
      </c>
      <c r="AB203" s="55">
        <f>ROUND(IF(AQ203="1",BH203,0),2)</f>
        <v>0</v>
      </c>
      <c r="AC203" s="55">
        <f>ROUND(IF(AQ203="1",BI203,0),2)</f>
        <v>0</v>
      </c>
      <c r="AD203" s="55">
        <f>ROUND(IF(AQ203="7",BH203,0),2)</f>
        <v>0</v>
      </c>
      <c r="AE203" s="55">
        <f>ROUND(IF(AQ203="7",BI203,0),2)</f>
        <v>0</v>
      </c>
      <c r="AF203" s="55">
        <f>ROUND(IF(AQ203="2",BH203,0),2)</f>
        <v>0</v>
      </c>
      <c r="AG203" s="55">
        <f>ROUND(IF(AQ203="2",BI203,0),2)</f>
        <v>0</v>
      </c>
      <c r="AH203" s="55">
        <f>ROUND(IF(AQ203="0",BJ203,0),2)</f>
        <v>0</v>
      </c>
      <c r="AI203" s="36" t="s">
        <v>4</v>
      </c>
      <c r="AJ203" s="55">
        <f>IF(AN203=0,H203,0)</f>
        <v>0</v>
      </c>
      <c r="AK203" s="55">
        <f>IF(AN203=12,H203,0)</f>
        <v>0</v>
      </c>
      <c r="AL203" s="55">
        <f>IF(AN203=21,H203,0)</f>
        <v>0</v>
      </c>
      <c r="AN203" s="55">
        <v>12</v>
      </c>
      <c r="AO203" s="55">
        <f>G203*0</f>
        <v>0</v>
      </c>
      <c r="AP203" s="55">
        <f>G203*(1-0)</f>
        <v>0</v>
      </c>
      <c r="AQ203" s="57" t="s">
        <v>121</v>
      </c>
      <c r="AV203" s="55">
        <f>ROUND(AW203+AX203,2)</f>
        <v>0</v>
      </c>
      <c r="AW203" s="55">
        <f>ROUND(F203*AO203,2)</f>
        <v>0</v>
      </c>
      <c r="AX203" s="55">
        <f>ROUND(F203*AP203,2)</f>
        <v>0</v>
      </c>
      <c r="AY203" s="57" t="s">
        <v>505</v>
      </c>
      <c r="AZ203" s="57" t="s">
        <v>354</v>
      </c>
      <c r="BA203" s="36" t="s">
        <v>115</v>
      </c>
      <c r="BC203" s="55">
        <f>AW203+AX203</f>
        <v>0</v>
      </c>
      <c r="BD203" s="55">
        <f>G203/(100-BE203)*100</f>
        <v>0</v>
      </c>
      <c r="BE203" s="55">
        <v>0</v>
      </c>
      <c r="BF203" s="55">
        <f>203</f>
        <v>203</v>
      </c>
      <c r="BH203" s="55">
        <f>F203*AO203</f>
        <v>0</v>
      </c>
      <c r="BI203" s="55">
        <f>F203*AP203</f>
        <v>0</v>
      </c>
      <c r="BJ203" s="55">
        <f>F203*G203</f>
        <v>0</v>
      </c>
      <c r="BK203" s="55"/>
      <c r="BL203" s="55"/>
      <c r="BW203" s="55">
        <v>12</v>
      </c>
      <c r="BX203" s="3" t="s">
        <v>512</v>
      </c>
    </row>
    <row r="204" spans="1:76" ht="13.5" customHeight="1" x14ac:dyDescent="0.25">
      <c r="A204" s="58"/>
      <c r="B204" s="59" t="s">
        <v>116</v>
      </c>
      <c r="C204" s="157" t="s">
        <v>513</v>
      </c>
      <c r="D204" s="158"/>
      <c r="E204" s="158"/>
      <c r="F204" s="158"/>
      <c r="G204" s="159"/>
      <c r="H204" s="158"/>
      <c r="I204" s="158"/>
      <c r="J204" s="160"/>
    </row>
    <row r="205" spans="1:76" x14ac:dyDescent="0.25">
      <c r="A205" s="1" t="s">
        <v>514</v>
      </c>
      <c r="B205" s="2" t="s">
        <v>515</v>
      </c>
      <c r="C205" s="82" t="s">
        <v>516</v>
      </c>
      <c r="D205" s="79"/>
      <c r="E205" s="2" t="s">
        <v>179</v>
      </c>
      <c r="F205" s="55">
        <v>2</v>
      </c>
      <c r="G205" s="56">
        <v>0</v>
      </c>
      <c r="H205" s="55">
        <f>ROUND(F205*G205,2)</f>
        <v>0</v>
      </c>
      <c r="I205" s="57" t="s">
        <v>112</v>
      </c>
      <c r="J205" s="50"/>
      <c r="Z205" s="55">
        <f>ROUND(IF(AQ205="5",BJ205,0),2)</f>
        <v>0</v>
      </c>
      <c r="AB205" s="55">
        <f>ROUND(IF(AQ205="1",BH205,0),2)</f>
        <v>0</v>
      </c>
      <c r="AC205" s="55">
        <f>ROUND(IF(AQ205="1",BI205,0),2)</f>
        <v>0</v>
      </c>
      <c r="AD205" s="55">
        <f>ROUND(IF(AQ205="7",BH205,0),2)</f>
        <v>0</v>
      </c>
      <c r="AE205" s="55">
        <f>ROUND(IF(AQ205="7",BI205,0),2)</f>
        <v>0</v>
      </c>
      <c r="AF205" s="55">
        <f>ROUND(IF(AQ205="2",BH205,0),2)</f>
        <v>0</v>
      </c>
      <c r="AG205" s="55">
        <f>ROUND(IF(AQ205="2",BI205,0),2)</f>
        <v>0</v>
      </c>
      <c r="AH205" s="55">
        <f>ROUND(IF(AQ205="0",BJ205,0),2)</f>
        <v>0</v>
      </c>
      <c r="AI205" s="36" t="s">
        <v>4</v>
      </c>
      <c r="AJ205" s="55">
        <f>IF(AN205=0,H205,0)</f>
        <v>0</v>
      </c>
      <c r="AK205" s="55">
        <f>IF(AN205=12,H205,0)</f>
        <v>0</v>
      </c>
      <c r="AL205" s="55">
        <f>IF(AN205=21,H205,0)</f>
        <v>0</v>
      </c>
      <c r="AN205" s="55">
        <v>12</v>
      </c>
      <c r="AO205" s="55">
        <f>G205*0</f>
        <v>0</v>
      </c>
      <c r="AP205" s="55">
        <f>G205*(1-0)</f>
        <v>0</v>
      </c>
      <c r="AQ205" s="57" t="s">
        <v>121</v>
      </c>
      <c r="AV205" s="55">
        <f>ROUND(AW205+AX205,2)</f>
        <v>0</v>
      </c>
      <c r="AW205" s="55">
        <f>ROUND(F205*AO205,2)</f>
        <v>0</v>
      </c>
      <c r="AX205" s="55">
        <f>ROUND(F205*AP205,2)</f>
        <v>0</v>
      </c>
      <c r="AY205" s="57" t="s">
        <v>505</v>
      </c>
      <c r="AZ205" s="57" t="s">
        <v>354</v>
      </c>
      <c r="BA205" s="36" t="s">
        <v>115</v>
      </c>
      <c r="BC205" s="55">
        <f>AW205+AX205</f>
        <v>0</v>
      </c>
      <c r="BD205" s="55">
        <f>G205/(100-BE205)*100</f>
        <v>0</v>
      </c>
      <c r="BE205" s="55">
        <v>0</v>
      </c>
      <c r="BF205" s="55">
        <f>205</f>
        <v>205</v>
      </c>
      <c r="BH205" s="55">
        <f>F205*AO205</f>
        <v>0</v>
      </c>
      <c r="BI205" s="55">
        <f>F205*AP205</f>
        <v>0</v>
      </c>
      <c r="BJ205" s="55">
        <f>F205*G205</f>
        <v>0</v>
      </c>
      <c r="BK205" s="55"/>
      <c r="BL205" s="55"/>
      <c r="BW205" s="55">
        <v>12</v>
      </c>
      <c r="BX205" s="3" t="s">
        <v>516</v>
      </c>
    </row>
    <row r="206" spans="1:76" x14ac:dyDescent="0.25">
      <c r="A206" s="1" t="s">
        <v>348</v>
      </c>
      <c r="B206" s="2" t="s">
        <v>517</v>
      </c>
      <c r="C206" s="82" t="s">
        <v>518</v>
      </c>
      <c r="D206" s="79"/>
      <c r="E206" s="2" t="s">
        <v>124</v>
      </c>
      <c r="F206" s="55">
        <v>4</v>
      </c>
      <c r="G206" s="56">
        <v>0</v>
      </c>
      <c r="H206" s="55">
        <f>ROUND(F206*G206,2)</f>
        <v>0</v>
      </c>
      <c r="I206" s="57" t="s">
        <v>112</v>
      </c>
      <c r="J206" s="50"/>
      <c r="Z206" s="55">
        <f>ROUND(IF(AQ206="5",BJ206,0),2)</f>
        <v>0</v>
      </c>
      <c r="AB206" s="55">
        <f>ROUND(IF(AQ206="1",BH206,0),2)</f>
        <v>0</v>
      </c>
      <c r="AC206" s="55">
        <f>ROUND(IF(AQ206="1",BI206,0),2)</f>
        <v>0</v>
      </c>
      <c r="AD206" s="55">
        <f>ROUND(IF(AQ206="7",BH206,0),2)</f>
        <v>0</v>
      </c>
      <c r="AE206" s="55">
        <f>ROUND(IF(AQ206="7",BI206,0),2)</f>
        <v>0</v>
      </c>
      <c r="AF206" s="55">
        <f>ROUND(IF(AQ206="2",BH206,0),2)</f>
        <v>0</v>
      </c>
      <c r="AG206" s="55">
        <f>ROUND(IF(AQ206="2",BI206,0),2)</f>
        <v>0</v>
      </c>
      <c r="AH206" s="55">
        <f>ROUND(IF(AQ206="0",BJ206,0),2)</f>
        <v>0</v>
      </c>
      <c r="AI206" s="36" t="s">
        <v>4</v>
      </c>
      <c r="AJ206" s="55">
        <f>IF(AN206=0,H206,0)</f>
        <v>0</v>
      </c>
      <c r="AK206" s="55">
        <f>IF(AN206=12,H206,0)</f>
        <v>0</v>
      </c>
      <c r="AL206" s="55">
        <f>IF(AN206=21,H206,0)</f>
        <v>0</v>
      </c>
      <c r="AN206" s="55">
        <v>12</v>
      </c>
      <c r="AO206" s="55">
        <f>G206*0.711307692</f>
        <v>0</v>
      </c>
      <c r="AP206" s="55">
        <f>G206*(1-0.711307692)</f>
        <v>0</v>
      </c>
      <c r="AQ206" s="57" t="s">
        <v>121</v>
      </c>
      <c r="AV206" s="55">
        <f>ROUND(AW206+AX206,2)</f>
        <v>0</v>
      </c>
      <c r="AW206" s="55">
        <f>ROUND(F206*AO206,2)</f>
        <v>0</v>
      </c>
      <c r="AX206" s="55">
        <f>ROUND(F206*AP206,2)</f>
        <v>0</v>
      </c>
      <c r="AY206" s="57" t="s">
        <v>505</v>
      </c>
      <c r="AZ206" s="57" t="s">
        <v>354</v>
      </c>
      <c r="BA206" s="36" t="s">
        <v>115</v>
      </c>
      <c r="BC206" s="55">
        <f>AW206+AX206</f>
        <v>0</v>
      </c>
      <c r="BD206" s="55">
        <f>G206/(100-BE206)*100</f>
        <v>0</v>
      </c>
      <c r="BE206" s="55">
        <v>0</v>
      </c>
      <c r="BF206" s="55">
        <f>206</f>
        <v>206</v>
      </c>
      <c r="BH206" s="55">
        <f>F206*AO206</f>
        <v>0</v>
      </c>
      <c r="BI206" s="55">
        <f>F206*AP206</f>
        <v>0</v>
      </c>
      <c r="BJ206" s="55">
        <f>F206*G206</f>
        <v>0</v>
      </c>
      <c r="BK206" s="55"/>
      <c r="BL206" s="55"/>
      <c r="BW206" s="55">
        <v>12</v>
      </c>
      <c r="BX206" s="3" t="s">
        <v>518</v>
      </c>
    </row>
    <row r="207" spans="1:76" ht="13.5" customHeight="1" x14ac:dyDescent="0.25">
      <c r="A207" s="58"/>
      <c r="B207" s="59" t="s">
        <v>116</v>
      </c>
      <c r="C207" s="157" t="s">
        <v>519</v>
      </c>
      <c r="D207" s="158"/>
      <c r="E207" s="158"/>
      <c r="F207" s="158"/>
      <c r="G207" s="159"/>
      <c r="H207" s="158"/>
      <c r="I207" s="158"/>
      <c r="J207" s="160"/>
    </row>
    <row r="208" spans="1:76" x14ac:dyDescent="0.25">
      <c r="A208" s="1" t="s">
        <v>520</v>
      </c>
      <c r="B208" s="2" t="s">
        <v>521</v>
      </c>
      <c r="C208" s="82" t="s">
        <v>522</v>
      </c>
      <c r="D208" s="79"/>
      <c r="E208" s="2" t="s">
        <v>124</v>
      </c>
      <c r="F208" s="55">
        <v>4</v>
      </c>
      <c r="G208" s="56">
        <v>0</v>
      </c>
      <c r="H208" s="55">
        <f>ROUND(F208*G208,2)</f>
        <v>0</v>
      </c>
      <c r="I208" s="57" t="s">
        <v>112</v>
      </c>
      <c r="J208" s="50"/>
      <c r="Z208" s="55">
        <f>ROUND(IF(AQ208="5",BJ208,0),2)</f>
        <v>0</v>
      </c>
      <c r="AB208" s="55">
        <f>ROUND(IF(AQ208="1",BH208,0),2)</f>
        <v>0</v>
      </c>
      <c r="AC208" s="55">
        <f>ROUND(IF(AQ208="1",BI208,0),2)</f>
        <v>0</v>
      </c>
      <c r="AD208" s="55">
        <f>ROUND(IF(AQ208="7",BH208,0),2)</f>
        <v>0</v>
      </c>
      <c r="AE208" s="55">
        <f>ROUND(IF(AQ208="7",BI208,0),2)</f>
        <v>0</v>
      </c>
      <c r="AF208" s="55">
        <f>ROUND(IF(AQ208="2",BH208,0),2)</f>
        <v>0</v>
      </c>
      <c r="AG208" s="55">
        <f>ROUND(IF(AQ208="2",BI208,0),2)</f>
        <v>0</v>
      </c>
      <c r="AH208" s="55">
        <f>ROUND(IF(AQ208="0",BJ208,0),2)</f>
        <v>0</v>
      </c>
      <c r="AI208" s="36" t="s">
        <v>4</v>
      </c>
      <c r="AJ208" s="55">
        <f>IF(AN208=0,H208,0)</f>
        <v>0</v>
      </c>
      <c r="AK208" s="55">
        <f>IF(AN208=12,H208,0)</f>
        <v>0</v>
      </c>
      <c r="AL208" s="55">
        <f>IF(AN208=21,H208,0)</f>
        <v>0</v>
      </c>
      <c r="AN208" s="55">
        <v>12</v>
      </c>
      <c r="AO208" s="55">
        <f>G208*0</f>
        <v>0</v>
      </c>
      <c r="AP208" s="55">
        <f>G208*(1-0)</f>
        <v>0</v>
      </c>
      <c r="AQ208" s="57" t="s">
        <v>121</v>
      </c>
      <c r="AV208" s="55">
        <f>ROUND(AW208+AX208,2)</f>
        <v>0</v>
      </c>
      <c r="AW208" s="55">
        <f>ROUND(F208*AO208,2)</f>
        <v>0</v>
      </c>
      <c r="AX208" s="55">
        <f>ROUND(F208*AP208,2)</f>
        <v>0</v>
      </c>
      <c r="AY208" s="57" t="s">
        <v>505</v>
      </c>
      <c r="AZ208" s="57" t="s">
        <v>354</v>
      </c>
      <c r="BA208" s="36" t="s">
        <v>115</v>
      </c>
      <c r="BC208" s="55">
        <f>AW208+AX208</f>
        <v>0</v>
      </c>
      <c r="BD208" s="55">
        <f>G208/(100-BE208)*100</f>
        <v>0</v>
      </c>
      <c r="BE208" s="55">
        <v>0</v>
      </c>
      <c r="BF208" s="55">
        <f>208</f>
        <v>208</v>
      </c>
      <c r="BH208" s="55">
        <f>F208*AO208</f>
        <v>0</v>
      </c>
      <c r="BI208" s="55">
        <f>F208*AP208</f>
        <v>0</v>
      </c>
      <c r="BJ208" s="55">
        <f>F208*G208</f>
        <v>0</v>
      </c>
      <c r="BK208" s="55"/>
      <c r="BL208" s="55"/>
      <c r="BW208" s="55">
        <v>12</v>
      </c>
      <c r="BX208" s="3" t="s">
        <v>522</v>
      </c>
    </row>
    <row r="209" spans="1:76" ht="13.5" customHeight="1" x14ac:dyDescent="0.25">
      <c r="A209" s="58"/>
      <c r="B209" s="59" t="s">
        <v>116</v>
      </c>
      <c r="C209" s="157" t="s">
        <v>523</v>
      </c>
      <c r="D209" s="158"/>
      <c r="E209" s="158"/>
      <c r="F209" s="158"/>
      <c r="G209" s="159"/>
      <c r="H209" s="158"/>
      <c r="I209" s="158"/>
      <c r="J209" s="160"/>
    </row>
    <row r="210" spans="1:76" x14ac:dyDescent="0.25">
      <c r="A210" s="51" t="s">
        <v>4</v>
      </c>
      <c r="B210" s="52" t="s">
        <v>524</v>
      </c>
      <c r="C210" s="155" t="s">
        <v>525</v>
      </c>
      <c r="D210" s="156"/>
      <c r="E210" s="53" t="s">
        <v>73</v>
      </c>
      <c r="F210" s="53" t="s">
        <v>73</v>
      </c>
      <c r="G210" s="54" t="s">
        <v>73</v>
      </c>
      <c r="H210" s="28">
        <f>SUM(H211:H215)</f>
        <v>0</v>
      </c>
      <c r="I210" s="36" t="s">
        <v>4</v>
      </c>
      <c r="J210" s="50"/>
      <c r="AI210" s="36" t="s">
        <v>4</v>
      </c>
      <c r="AS210" s="28">
        <f>SUM(AJ211:AJ215)</f>
        <v>0</v>
      </c>
      <c r="AT210" s="28">
        <f>SUM(AK211:AK215)</f>
        <v>0</v>
      </c>
      <c r="AU210" s="28">
        <f>SUM(AL211:AL215)</f>
        <v>0</v>
      </c>
    </row>
    <row r="211" spans="1:76" x14ac:dyDescent="0.25">
      <c r="A211" s="1" t="s">
        <v>362</v>
      </c>
      <c r="B211" s="2" t="s">
        <v>526</v>
      </c>
      <c r="C211" s="82" t="s">
        <v>527</v>
      </c>
      <c r="D211" s="79"/>
      <c r="E211" s="2" t="s">
        <v>179</v>
      </c>
      <c r="F211" s="55">
        <v>100</v>
      </c>
      <c r="G211" s="56">
        <v>0</v>
      </c>
      <c r="H211" s="55">
        <f>ROUND(F211*G211,2)</f>
        <v>0</v>
      </c>
      <c r="I211" s="57" t="s">
        <v>112</v>
      </c>
      <c r="J211" s="50"/>
      <c r="Z211" s="55">
        <f>ROUND(IF(AQ211="5",BJ211,0),2)</f>
        <v>0</v>
      </c>
      <c r="AB211" s="55">
        <f>ROUND(IF(AQ211="1",BH211,0),2)</f>
        <v>0</v>
      </c>
      <c r="AC211" s="55">
        <f>ROUND(IF(AQ211="1",BI211,0),2)</f>
        <v>0</v>
      </c>
      <c r="AD211" s="55">
        <f>ROUND(IF(AQ211="7",BH211,0),2)</f>
        <v>0</v>
      </c>
      <c r="AE211" s="55">
        <f>ROUND(IF(AQ211="7",BI211,0),2)</f>
        <v>0</v>
      </c>
      <c r="AF211" s="55">
        <f>ROUND(IF(AQ211="2",BH211,0),2)</f>
        <v>0</v>
      </c>
      <c r="AG211" s="55">
        <f>ROUND(IF(AQ211="2",BI211,0),2)</f>
        <v>0</v>
      </c>
      <c r="AH211" s="55">
        <f>ROUND(IF(AQ211="0",BJ211,0),2)</f>
        <v>0</v>
      </c>
      <c r="AI211" s="36" t="s">
        <v>4</v>
      </c>
      <c r="AJ211" s="55">
        <f>IF(AN211=0,H211,0)</f>
        <v>0</v>
      </c>
      <c r="AK211" s="55">
        <f>IF(AN211=12,H211,0)</f>
        <v>0</v>
      </c>
      <c r="AL211" s="55">
        <f>IF(AN211=21,H211,0)</f>
        <v>0</v>
      </c>
      <c r="AN211" s="55">
        <v>12</v>
      </c>
      <c r="AO211" s="55">
        <f>G211*0</f>
        <v>0</v>
      </c>
      <c r="AP211" s="55">
        <f>G211*(1-0)</f>
        <v>0</v>
      </c>
      <c r="AQ211" s="57" t="s">
        <v>121</v>
      </c>
      <c r="AV211" s="55">
        <f>ROUND(AW211+AX211,2)</f>
        <v>0</v>
      </c>
      <c r="AW211" s="55">
        <f>ROUND(F211*AO211,2)</f>
        <v>0</v>
      </c>
      <c r="AX211" s="55">
        <f>ROUND(F211*AP211,2)</f>
        <v>0</v>
      </c>
      <c r="AY211" s="57" t="s">
        <v>528</v>
      </c>
      <c r="AZ211" s="57" t="s">
        <v>354</v>
      </c>
      <c r="BA211" s="36" t="s">
        <v>115</v>
      </c>
      <c r="BC211" s="55">
        <f>AW211+AX211</f>
        <v>0</v>
      </c>
      <c r="BD211" s="55">
        <f>G211/(100-BE211)*100</f>
        <v>0</v>
      </c>
      <c r="BE211" s="55">
        <v>0</v>
      </c>
      <c r="BF211" s="55">
        <f>211</f>
        <v>211</v>
      </c>
      <c r="BH211" s="55">
        <f>F211*AO211</f>
        <v>0</v>
      </c>
      <c r="BI211" s="55">
        <f>F211*AP211</f>
        <v>0</v>
      </c>
      <c r="BJ211" s="55">
        <f>F211*G211</f>
        <v>0</v>
      </c>
      <c r="BK211" s="55"/>
      <c r="BL211" s="55"/>
      <c r="BW211" s="55">
        <v>12</v>
      </c>
      <c r="BX211" s="3" t="s">
        <v>527</v>
      </c>
    </row>
    <row r="212" spans="1:76" x14ac:dyDescent="0.25">
      <c r="A212" s="1" t="s">
        <v>384</v>
      </c>
      <c r="B212" s="2" t="s">
        <v>529</v>
      </c>
      <c r="C212" s="82" t="s">
        <v>530</v>
      </c>
      <c r="D212" s="79"/>
      <c r="E212" s="2" t="s">
        <v>152</v>
      </c>
      <c r="F212" s="55">
        <v>2</v>
      </c>
      <c r="G212" s="56">
        <v>0</v>
      </c>
      <c r="H212" s="55">
        <f>ROUND(F212*G212,2)</f>
        <v>0</v>
      </c>
      <c r="I212" s="57" t="s">
        <v>112</v>
      </c>
      <c r="J212" s="50"/>
      <c r="Z212" s="55">
        <f>ROUND(IF(AQ212="5",BJ212,0),2)</f>
        <v>0</v>
      </c>
      <c r="AB212" s="55">
        <f>ROUND(IF(AQ212="1",BH212,0),2)</f>
        <v>0</v>
      </c>
      <c r="AC212" s="55">
        <f>ROUND(IF(AQ212="1",BI212,0),2)</f>
        <v>0</v>
      </c>
      <c r="AD212" s="55">
        <f>ROUND(IF(AQ212="7",BH212,0),2)</f>
        <v>0</v>
      </c>
      <c r="AE212" s="55">
        <f>ROUND(IF(AQ212="7",BI212,0),2)</f>
        <v>0</v>
      </c>
      <c r="AF212" s="55">
        <f>ROUND(IF(AQ212="2",BH212,0),2)</f>
        <v>0</v>
      </c>
      <c r="AG212" s="55">
        <f>ROUND(IF(AQ212="2",BI212,0),2)</f>
        <v>0</v>
      </c>
      <c r="AH212" s="55">
        <f>ROUND(IF(AQ212="0",BJ212,0),2)</f>
        <v>0</v>
      </c>
      <c r="AI212" s="36" t="s">
        <v>4</v>
      </c>
      <c r="AJ212" s="55">
        <f>IF(AN212=0,H212,0)</f>
        <v>0</v>
      </c>
      <c r="AK212" s="55">
        <f>IF(AN212=12,H212,0)</f>
        <v>0</v>
      </c>
      <c r="AL212" s="55">
        <f>IF(AN212=21,H212,0)</f>
        <v>0</v>
      </c>
      <c r="AN212" s="55">
        <v>12</v>
      </c>
      <c r="AO212" s="55">
        <f>G212*0</f>
        <v>0</v>
      </c>
      <c r="AP212" s="55">
        <f>G212*(1-0)</f>
        <v>0</v>
      </c>
      <c r="AQ212" s="57" t="s">
        <v>121</v>
      </c>
      <c r="AV212" s="55">
        <f>ROUND(AW212+AX212,2)</f>
        <v>0</v>
      </c>
      <c r="AW212" s="55">
        <f>ROUND(F212*AO212,2)</f>
        <v>0</v>
      </c>
      <c r="AX212" s="55">
        <f>ROUND(F212*AP212,2)</f>
        <v>0</v>
      </c>
      <c r="AY212" s="57" t="s">
        <v>528</v>
      </c>
      <c r="AZ212" s="57" t="s">
        <v>354</v>
      </c>
      <c r="BA212" s="36" t="s">
        <v>115</v>
      </c>
      <c r="BC212" s="55">
        <f>AW212+AX212</f>
        <v>0</v>
      </c>
      <c r="BD212" s="55">
        <f>G212/(100-BE212)*100</f>
        <v>0</v>
      </c>
      <c r="BE212" s="55">
        <v>0</v>
      </c>
      <c r="BF212" s="55">
        <f>212</f>
        <v>212</v>
      </c>
      <c r="BH212" s="55">
        <f>F212*AO212</f>
        <v>0</v>
      </c>
      <c r="BI212" s="55">
        <f>F212*AP212</f>
        <v>0</v>
      </c>
      <c r="BJ212" s="55">
        <f>F212*G212</f>
        <v>0</v>
      </c>
      <c r="BK212" s="55"/>
      <c r="BL212" s="55"/>
      <c r="BW212" s="55">
        <v>12</v>
      </c>
      <c r="BX212" s="3" t="s">
        <v>530</v>
      </c>
    </row>
    <row r="213" spans="1:76" x14ac:dyDescent="0.25">
      <c r="A213" s="1" t="s">
        <v>531</v>
      </c>
      <c r="B213" s="2" t="s">
        <v>532</v>
      </c>
      <c r="C213" s="82" t="s">
        <v>533</v>
      </c>
      <c r="D213" s="79"/>
      <c r="E213" s="2" t="s">
        <v>179</v>
      </c>
      <c r="F213" s="55">
        <v>25</v>
      </c>
      <c r="G213" s="56">
        <v>0</v>
      </c>
      <c r="H213" s="55">
        <f>ROUND(F213*G213,2)</f>
        <v>0</v>
      </c>
      <c r="I213" s="57" t="s">
        <v>112</v>
      </c>
      <c r="J213" s="50"/>
      <c r="Z213" s="55">
        <f>ROUND(IF(AQ213="5",BJ213,0),2)</f>
        <v>0</v>
      </c>
      <c r="AB213" s="55">
        <f>ROUND(IF(AQ213="1",BH213,0),2)</f>
        <v>0</v>
      </c>
      <c r="AC213" s="55">
        <f>ROUND(IF(AQ213="1",BI213,0),2)</f>
        <v>0</v>
      </c>
      <c r="AD213" s="55">
        <f>ROUND(IF(AQ213="7",BH213,0),2)</f>
        <v>0</v>
      </c>
      <c r="AE213" s="55">
        <f>ROUND(IF(AQ213="7",BI213,0),2)</f>
        <v>0</v>
      </c>
      <c r="AF213" s="55">
        <f>ROUND(IF(AQ213="2",BH213,0),2)</f>
        <v>0</v>
      </c>
      <c r="AG213" s="55">
        <f>ROUND(IF(AQ213="2",BI213,0),2)</f>
        <v>0</v>
      </c>
      <c r="AH213" s="55">
        <f>ROUND(IF(AQ213="0",BJ213,0),2)</f>
        <v>0</v>
      </c>
      <c r="AI213" s="36" t="s">
        <v>4</v>
      </c>
      <c r="AJ213" s="55">
        <f>IF(AN213=0,H213,0)</f>
        <v>0</v>
      </c>
      <c r="AK213" s="55">
        <f>IF(AN213=12,H213,0)</f>
        <v>0</v>
      </c>
      <c r="AL213" s="55">
        <f>IF(AN213=21,H213,0)</f>
        <v>0</v>
      </c>
      <c r="AN213" s="55">
        <v>12</v>
      </c>
      <c r="AO213" s="55">
        <f>G213*0</f>
        <v>0</v>
      </c>
      <c r="AP213" s="55">
        <f>G213*(1-0)</f>
        <v>0</v>
      </c>
      <c r="AQ213" s="57" t="s">
        <v>121</v>
      </c>
      <c r="AV213" s="55">
        <f>ROUND(AW213+AX213,2)</f>
        <v>0</v>
      </c>
      <c r="AW213" s="55">
        <f>ROUND(F213*AO213,2)</f>
        <v>0</v>
      </c>
      <c r="AX213" s="55">
        <f>ROUND(F213*AP213,2)</f>
        <v>0</v>
      </c>
      <c r="AY213" s="57" t="s">
        <v>528</v>
      </c>
      <c r="AZ213" s="57" t="s">
        <v>354</v>
      </c>
      <c r="BA213" s="36" t="s">
        <v>115</v>
      </c>
      <c r="BC213" s="55">
        <f>AW213+AX213</f>
        <v>0</v>
      </c>
      <c r="BD213" s="55">
        <f>G213/(100-BE213)*100</f>
        <v>0</v>
      </c>
      <c r="BE213" s="55">
        <v>0</v>
      </c>
      <c r="BF213" s="55">
        <f>213</f>
        <v>213</v>
      </c>
      <c r="BH213" s="55">
        <f>F213*AO213</f>
        <v>0</v>
      </c>
      <c r="BI213" s="55">
        <f>F213*AP213</f>
        <v>0</v>
      </c>
      <c r="BJ213" s="55">
        <f>F213*G213</f>
        <v>0</v>
      </c>
      <c r="BK213" s="55"/>
      <c r="BL213" s="55"/>
      <c r="BW213" s="55">
        <v>12</v>
      </c>
      <c r="BX213" s="3" t="s">
        <v>533</v>
      </c>
    </row>
    <row r="214" spans="1:76" x14ac:dyDescent="0.25">
      <c r="A214" s="1" t="s">
        <v>534</v>
      </c>
      <c r="B214" s="2" t="s">
        <v>535</v>
      </c>
      <c r="C214" s="82" t="s">
        <v>536</v>
      </c>
      <c r="D214" s="79"/>
      <c r="E214" s="2" t="s">
        <v>152</v>
      </c>
      <c r="F214" s="55">
        <v>2</v>
      </c>
      <c r="G214" s="56">
        <v>0</v>
      </c>
      <c r="H214" s="55">
        <f>ROUND(F214*G214,2)</f>
        <v>0</v>
      </c>
      <c r="I214" s="57" t="s">
        <v>112</v>
      </c>
      <c r="J214" s="50"/>
      <c r="Z214" s="55">
        <f>ROUND(IF(AQ214="5",BJ214,0),2)</f>
        <v>0</v>
      </c>
      <c r="AB214" s="55">
        <f>ROUND(IF(AQ214="1",BH214,0),2)</f>
        <v>0</v>
      </c>
      <c r="AC214" s="55">
        <f>ROUND(IF(AQ214="1",BI214,0),2)</f>
        <v>0</v>
      </c>
      <c r="AD214" s="55">
        <f>ROUND(IF(AQ214="7",BH214,0),2)</f>
        <v>0</v>
      </c>
      <c r="AE214" s="55">
        <f>ROUND(IF(AQ214="7",BI214,0),2)</f>
        <v>0</v>
      </c>
      <c r="AF214" s="55">
        <f>ROUND(IF(AQ214="2",BH214,0),2)</f>
        <v>0</v>
      </c>
      <c r="AG214" s="55">
        <f>ROUND(IF(AQ214="2",BI214,0),2)</f>
        <v>0</v>
      </c>
      <c r="AH214" s="55">
        <f>ROUND(IF(AQ214="0",BJ214,0),2)</f>
        <v>0</v>
      </c>
      <c r="AI214" s="36" t="s">
        <v>4</v>
      </c>
      <c r="AJ214" s="55">
        <f>IF(AN214=0,H214,0)</f>
        <v>0</v>
      </c>
      <c r="AK214" s="55">
        <f>IF(AN214=12,H214,0)</f>
        <v>0</v>
      </c>
      <c r="AL214" s="55">
        <f>IF(AN214=21,H214,0)</f>
        <v>0</v>
      </c>
      <c r="AN214" s="55">
        <v>12</v>
      </c>
      <c r="AO214" s="55">
        <f>G214*0</f>
        <v>0</v>
      </c>
      <c r="AP214" s="55">
        <f>G214*(1-0)</f>
        <v>0</v>
      </c>
      <c r="AQ214" s="57" t="s">
        <v>121</v>
      </c>
      <c r="AV214" s="55">
        <f>ROUND(AW214+AX214,2)</f>
        <v>0</v>
      </c>
      <c r="AW214" s="55">
        <f>ROUND(F214*AO214,2)</f>
        <v>0</v>
      </c>
      <c r="AX214" s="55">
        <f>ROUND(F214*AP214,2)</f>
        <v>0</v>
      </c>
      <c r="AY214" s="57" t="s">
        <v>528</v>
      </c>
      <c r="AZ214" s="57" t="s">
        <v>354</v>
      </c>
      <c r="BA214" s="36" t="s">
        <v>115</v>
      </c>
      <c r="BC214" s="55">
        <f>AW214+AX214</f>
        <v>0</v>
      </c>
      <c r="BD214" s="55">
        <f>G214/(100-BE214)*100</f>
        <v>0</v>
      </c>
      <c r="BE214" s="55">
        <v>0</v>
      </c>
      <c r="BF214" s="55">
        <f>214</f>
        <v>214</v>
      </c>
      <c r="BH214" s="55">
        <f>F214*AO214</f>
        <v>0</v>
      </c>
      <c r="BI214" s="55">
        <f>F214*AP214</f>
        <v>0</v>
      </c>
      <c r="BJ214" s="55">
        <f>F214*G214</f>
        <v>0</v>
      </c>
      <c r="BK214" s="55"/>
      <c r="BL214" s="55"/>
      <c r="BW214" s="55">
        <v>12</v>
      </c>
      <c r="BX214" s="3" t="s">
        <v>536</v>
      </c>
    </row>
    <row r="215" spans="1:76" x14ac:dyDescent="0.25">
      <c r="A215" s="1" t="s">
        <v>171</v>
      </c>
      <c r="B215" s="2" t="s">
        <v>537</v>
      </c>
      <c r="C215" s="82" t="s">
        <v>538</v>
      </c>
      <c r="D215" s="79"/>
      <c r="E215" s="2" t="s">
        <v>152</v>
      </c>
      <c r="F215" s="55">
        <v>3</v>
      </c>
      <c r="G215" s="56">
        <v>0</v>
      </c>
      <c r="H215" s="55">
        <f>ROUND(F215*G215,2)</f>
        <v>0</v>
      </c>
      <c r="I215" s="57" t="s">
        <v>112</v>
      </c>
      <c r="J215" s="50"/>
      <c r="Z215" s="55">
        <f>ROUND(IF(AQ215="5",BJ215,0),2)</f>
        <v>0</v>
      </c>
      <c r="AB215" s="55">
        <f>ROUND(IF(AQ215="1",BH215,0),2)</f>
        <v>0</v>
      </c>
      <c r="AC215" s="55">
        <f>ROUND(IF(AQ215="1",BI215,0),2)</f>
        <v>0</v>
      </c>
      <c r="AD215" s="55">
        <f>ROUND(IF(AQ215="7",BH215,0),2)</f>
        <v>0</v>
      </c>
      <c r="AE215" s="55">
        <f>ROUND(IF(AQ215="7",BI215,0),2)</f>
        <v>0</v>
      </c>
      <c r="AF215" s="55">
        <f>ROUND(IF(AQ215="2",BH215,0),2)</f>
        <v>0</v>
      </c>
      <c r="AG215" s="55">
        <f>ROUND(IF(AQ215="2",BI215,0),2)</f>
        <v>0</v>
      </c>
      <c r="AH215" s="55">
        <f>ROUND(IF(AQ215="0",BJ215,0),2)</f>
        <v>0</v>
      </c>
      <c r="AI215" s="36" t="s">
        <v>4</v>
      </c>
      <c r="AJ215" s="55">
        <f>IF(AN215=0,H215,0)</f>
        <v>0</v>
      </c>
      <c r="AK215" s="55">
        <f>IF(AN215=12,H215,0)</f>
        <v>0</v>
      </c>
      <c r="AL215" s="55">
        <f>IF(AN215=21,H215,0)</f>
        <v>0</v>
      </c>
      <c r="AN215" s="55">
        <v>12</v>
      </c>
      <c r="AO215" s="55">
        <f>G215*0</f>
        <v>0</v>
      </c>
      <c r="AP215" s="55">
        <f>G215*(1-0)</f>
        <v>0</v>
      </c>
      <c r="AQ215" s="57" t="s">
        <v>121</v>
      </c>
      <c r="AV215" s="55">
        <f>ROUND(AW215+AX215,2)</f>
        <v>0</v>
      </c>
      <c r="AW215" s="55">
        <f>ROUND(F215*AO215,2)</f>
        <v>0</v>
      </c>
      <c r="AX215" s="55">
        <f>ROUND(F215*AP215,2)</f>
        <v>0</v>
      </c>
      <c r="AY215" s="57" t="s">
        <v>528</v>
      </c>
      <c r="AZ215" s="57" t="s">
        <v>354</v>
      </c>
      <c r="BA215" s="36" t="s">
        <v>115</v>
      </c>
      <c r="BC215" s="55">
        <f>AW215+AX215</f>
        <v>0</v>
      </c>
      <c r="BD215" s="55">
        <f>G215/(100-BE215)*100</f>
        <v>0</v>
      </c>
      <c r="BE215" s="55">
        <v>0</v>
      </c>
      <c r="BF215" s="55">
        <f>215</f>
        <v>215</v>
      </c>
      <c r="BH215" s="55">
        <f>F215*AO215</f>
        <v>0</v>
      </c>
      <c r="BI215" s="55">
        <f>F215*AP215</f>
        <v>0</v>
      </c>
      <c r="BJ215" s="55">
        <f>F215*G215</f>
        <v>0</v>
      </c>
      <c r="BK215" s="55"/>
      <c r="BL215" s="55"/>
      <c r="BW215" s="55">
        <v>12</v>
      </c>
      <c r="BX215" s="3" t="s">
        <v>538</v>
      </c>
    </row>
    <row r="216" spans="1:76" x14ac:dyDescent="0.25">
      <c r="A216" s="51" t="s">
        <v>4</v>
      </c>
      <c r="B216" s="52" t="s">
        <v>539</v>
      </c>
      <c r="C216" s="155" t="s">
        <v>540</v>
      </c>
      <c r="D216" s="156"/>
      <c r="E216" s="53" t="s">
        <v>73</v>
      </c>
      <c r="F216" s="53" t="s">
        <v>73</v>
      </c>
      <c r="G216" s="54" t="s">
        <v>73</v>
      </c>
      <c r="H216" s="28">
        <f>SUM(H217:H230)</f>
        <v>0</v>
      </c>
      <c r="I216" s="36" t="s">
        <v>4</v>
      </c>
      <c r="J216" s="50"/>
      <c r="AI216" s="36" t="s">
        <v>4</v>
      </c>
      <c r="AS216" s="28">
        <f>SUM(AJ217:AJ230)</f>
        <v>0</v>
      </c>
      <c r="AT216" s="28">
        <f>SUM(AK217:AK230)</f>
        <v>0</v>
      </c>
      <c r="AU216" s="28">
        <f>SUM(AL217:AL230)</f>
        <v>0</v>
      </c>
    </row>
    <row r="217" spans="1:76" x14ac:dyDescent="0.25">
      <c r="A217" s="1" t="s">
        <v>541</v>
      </c>
      <c r="B217" s="2" t="s">
        <v>542</v>
      </c>
      <c r="C217" s="82" t="s">
        <v>543</v>
      </c>
      <c r="D217" s="79"/>
      <c r="E217" s="2" t="s">
        <v>149</v>
      </c>
      <c r="F217" s="55">
        <v>3.46</v>
      </c>
      <c r="G217" s="56">
        <v>0</v>
      </c>
      <c r="H217" s="55">
        <f>ROUND(F217*G217,2)</f>
        <v>0</v>
      </c>
      <c r="I217" s="57" t="s">
        <v>112</v>
      </c>
      <c r="J217" s="50"/>
      <c r="Z217" s="55">
        <f>ROUND(IF(AQ217="5",BJ217,0),2)</f>
        <v>0</v>
      </c>
      <c r="AB217" s="55">
        <f>ROUND(IF(AQ217="1",BH217,0),2)</f>
        <v>0</v>
      </c>
      <c r="AC217" s="55">
        <f>ROUND(IF(AQ217="1",BI217,0),2)</f>
        <v>0</v>
      </c>
      <c r="AD217" s="55">
        <f>ROUND(IF(AQ217="7",BH217,0),2)</f>
        <v>0</v>
      </c>
      <c r="AE217" s="55">
        <f>ROUND(IF(AQ217="7",BI217,0),2)</f>
        <v>0</v>
      </c>
      <c r="AF217" s="55">
        <f>ROUND(IF(AQ217="2",BH217,0),2)</f>
        <v>0</v>
      </c>
      <c r="AG217" s="55">
        <f>ROUND(IF(AQ217="2",BI217,0),2)</f>
        <v>0</v>
      </c>
      <c r="AH217" s="55">
        <f>ROUND(IF(AQ217="0",BJ217,0),2)</f>
        <v>0</v>
      </c>
      <c r="AI217" s="36" t="s">
        <v>4</v>
      </c>
      <c r="AJ217" s="55">
        <f>IF(AN217=0,H217,0)</f>
        <v>0</v>
      </c>
      <c r="AK217" s="55">
        <f>IF(AN217=12,H217,0)</f>
        <v>0</v>
      </c>
      <c r="AL217" s="55">
        <f>IF(AN217=21,H217,0)</f>
        <v>0</v>
      </c>
      <c r="AN217" s="55">
        <v>12</v>
      </c>
      <c r="AO217" s="55">
        <f>G217*0</f>
        <v>0</v>
      </c>
      <c r="AP217" s="55">
        <f>G217*(1-0)</f>
        <v>0</v>
      </c>
      <c r="AQ217" s="57" t="s">
        <v>141</v>
      </c>
      <c r="AV217" s="55">
        <f>ROUND(AW217+AX217,2)</f>
        <v>0</v>
      </c>
      <c r="AW217" s="55">
        <f>ROUND(F217*AO217,2)</f>
        <v>0</v>
      </c>
      <c r="AX217" s="55">
        <f>ROUND(F217*AP217,2)</f>
        <v>0</v>
      </c>
      <c r="AY217" s="57" t="s">
        <v>544</v>
      </c>
      <c r="AZ217" s="57" t="s">
        <v>354</v>
      </c>
      <c r="BA217" s="36" t="s">
        <v>115</v>
      </c>
      <c r="BC217" s="55">
        <f>AW217+AX217</f>
        <v>0</v>
      </c>
      <c r="BD217" s="55">
        <f>G217/(100-BE217)*100</f>
        <v>0</v>
      </c>
      <c r="BE217" s="55">
        <v>0</v>
      </c>
      <c r="BF217" s="55">
        <f>217</f>
        <v>217</v>
      </c>
      <c r="BH217" s="55">
        <f>F217*AO217</f>
        <v>0</v>
      </c>
      <c r="BI217" s="55">
        <f>F217*AP217</f>
        <v>0</v>
      </c>
      <c r="BJ217" s="55">
        <f>F217*G217</f>
        <v>0</v>
      </c>
      <c r="BK217" s="55"/>
      <c r="BL217" s="55"/>
      <c r="BW217" s="55">
        <v>12</v>
      </c>
      <c r="BX217" s="3" t="s">
        <v>543</v>
      </c>
    </row>
    <row r="218" spans="1:76" ht="13.5" customHeight="1" x14ac:dyDescent="0.25">
      <c r="A218" s="58"/>
      <c r="B218" s="59" t="s">
        <v>116</v>
      </c>
      <c r="C218" s="157" t="s">
        <v>545</v>
      </c>
      <c r="D218" s="158"/>
      <c r="E218" s="158"/>
      <c r="F218" s="158"/>
      <c r="G218" s="159"/>
      <c r="H218" s="158"/>
      <c r="I218" s="158"/>
      <c r="J218" s="160"/>
    </row>
    <row r="219" spans="1:76" x14ac:dyDescent="0.25">
      <c r="A219" s="58"/>
      <c r="C219" s="60" t="s">
        <v>546</v>
      </c>
      <c r="D219" s="60" t="s">
        <v>4</v>
      </c>
      <c r="F219" s="61">
        <v>3.46</v>
      </c>
      <c r="J219" s="50"/>
    </row>
    <row r="220" spans="1:76" x14ac:dyDescent="0.25">
      <c r="A220" s="1" t="s">
        <v>547</v>
      </c>
      <c r="B220" s="2" t="s">
        <v>548</v>
      </c>
      <c r="C220" s="82" t="s">
        <v>549</v>
      </c>
      <c r="D220" s="79"/>
      <c r="E220" s="2" t="s">
        <v>149</v>
      </c>
      <c r="F220" s="55">
        <v>3.46</v>
      </c>
      <c r="G220" s="56">
        <v>0</v>
      </c>
      <c r="H220" s="55">
        <f>ROUND(F220*G220,2)</f>
        <v>0</v>
      </c>
      <c r="I220" s="57" t="s">
        <v>112</v>
      </c>
      <c r="J220" s="50"/>
      <c r="Z220" s="55">
        <f>ROUND(IF(AQ220="5",BJ220,0),2)</f>
        <v>0</v>
      </c>
      <c r="AB220" s="55">
        <f>ROUND(IF(AQ220="1",BH220,0),2)</f>
        <v>0</v>
      </c>
      <c r="AC220" s="55">
        <f>ROUND(IF(AQ220="1",BI220,0),2)</f>
        <v>0</v>
      </c>
      <c r="AD220" s="55">
        <f>ROUND(IF(AQ220="7",BH220,0),2)</f>
        <v>0</v>
      </c>
      <c r="AE220" s="55">
        <f>ROUND(IF(AQ220="7",BI220,0),2)</f>
        <v>0</v>
      </c>
      <c r="AF220" s="55">
        <f>ROUND(IF(AQ220="2",BH220,0),2)</f>
        <v>0</v>
      </c>
      <c r="AG220" s="55">
        <f>ROUND(IF(AQ220="2",BI220,0),2)</f>
        <v>0</v>
      </c>
      <c r="AH220" s="55">
        <f>ROUND(IF(AQ220="0",BJ220,0),2)</f>
        <v>0</v>
      </c>
      <c r="AI220" s="36" t="s">
        <v>4</v>
      </c>
      <c r="AJ220" s="55">
        <f>IF(AN220=0,H220,0)</f>
        <v>0</v>
      </c>
      <c r="AK220" s="55">
        <f>IF(AN220=12,H220,0)</f>
        <v>0</v>
      </c>
      <c r="AL220" s="55">
        <f>IF(AN220=21,H220,0)</f>
        <v>0</v>
      </c>
      <c r="AN220" s="55">
        <v>12</v>
      </c>
      <c r="AO220" s="55">
        <f>G220*0</f>
        <v>0</v>
      </c>
      <c r="AP220" s="55">
        <f>G220*(1-0)</f>
        <v>0</v>
      </c>
      <c r="AQ220" s="57" t="s">
        <v>141</v>
      </c>
      <c r="AV220" s="55">
        <f>ROUND(AW220+AX220,2)</f>
        <v>0</v>
      </c>
      <c r="AW220" s="55">
        <f>ROUND(F220*AO220,2)</f>
        <v>0</v>
      </c>
      <c r="AX220" s="55">
        <f>ROUND(F220*AP220,2)</f>
        <v>0</v>
      </c>
      <c r="AY220" s="57" t="s">
        <v>544</v>
      </c>
      <c r="AZ220" s="57" t="s">
        <v>354</v>
      </c>
      <c r="BA220" s="36" t="s">
        <v>115</v>
      </c>
      <c r="BC220" s="55">
        <f>AW220+AX220</f>
        <v>0</v>
      </c>
      <c r="BD220" s="55">
        <f>G220/(100-BE220)*100</f>
        <v>0</v>
      </c>
      <c r="BE220" s="55">
        <v>0</v>
      </c>
      <c r="BF220" s="55">
        <f>220</f>
        <v>220</v>
      </c>
      <c r="BH220" s="55">
        <f>F220*AO220</f>
        <v>0</v>
      </c>
      <c r="BI220" s="55">
        <f>F220*AP220</f>
        <v>0</v>
      </c>
      <c r="BJ220" s="55">
        <f>F220*G220</f>
        <v>0</v>
      </c>
      <c r="BK220" s="55"/>
      <c r="BL220" s="55"/>
      <c r="BW220" s="55">
        <v>12</v>
      </c>
      <c r="BX220" s="3" t="s">
        <v>549</v>
      </c>
    </row>
    <row r="221" spans="1:76" ht="13.5" customHeight="1" x14ac:dyDescent="0.25">
      <c r="A221" s="58"/>
      <c r="B221" s="59" t="s">
        <v>116</v>
      </c>
      <c r="C221" s="157" t="s">
        <v>545</v>
      </c>
      <c r="D221" s="158"/>
      <c r="E221" s="158"/>
      <c r="F221" s="158"/>
      <c r="G221" s="159"/>
      <c r="H221" s="158"/>
      <c r="I221" s="158"/>
      <c r="J221" s="160"/>
    </row>
    <row r="222" spans="1:76" x14ac:dyDescent="0.25">
      <c r="A222" s="58"/>
      <c r="C222" s="60" t="s">
        <v>546</v>
      </c>
      <c r="D222" s="60" t="s">
        <v>4</v>
      </c>
      <c r="F222" s="61">
        <v>3.46</v>
      </c>
      <c r="J222" s="50"/>
    </row>
    <row r="223" spans="1:76" x14ac:dyDescent="0.25">
      <c r="A223" s="1" t="s">
        <v>550</v>
      </c>
      <c r="B223" s="2" t="s">
        <v>551</v>
      </c>
      <c r="C223" s="82" t="s">
        <v>552</v>
      </c>
      <c r="D223" s="79"/>
      <c r="E223" s="2" t="s">
        <v>149</v>
      </c>
      <c r="F223" s="55">
        <v>3.46</v>
      </c>
      <c r="G223" s="56">
        <v>0</v>
      </c>
      <c r="H223" s="55">
        <f>ROUND(F223*G223,2)</f>
        <v>0</v>
      </c>
      <c r="I223" s="57" t="s">
        <v>112</v>
      </c>
      <c r="J223" s="50"/>
      <c r="Z223" s="55">
        <f>ROUND(IF(AQ223="5",BJ223,0),2)</f>
        <v>0</v>
      </c>
      <c r="AB223" s="55">
        <f>ROUND(IF(AQ223="1",BH223,0),2)</f>
        <v>0</v>
      </c>
      <c r="AC223" s="55">
        <f>ROUND(IF(AQ223="1",BI223,0),2)</f>
        <v>0</v>
      </c>
      <c r="AD223" s="55">
        <f>ROUND(IF(AQ223="7",BH223,0),2)</f>
        <v>0</v>
      </c>
      <c r="AE223" s="55">
        <f>ROUND(IF(AQ223="7",BI223,0),2)</f>
        <v>0</v>
      </c>
      <c r="AF223" s="55">
        <f>ROUND(IF(AQ223="2",BH223,0),2)</f>
        <v>0</v>
      </c>
      <c r="AG223" s="55">
        <f>ROUND(IF(AQ223="2",BI223,0),2)</f>
        <v>0</v>
      </c>
      <c r="AH223" s="55">
        <f>ROUND(IF(AQ223="0",BJ223,0),2)</f>
        <v>0</v>
      </c>
      <c r="AI223" s="36" t="s">
        <v>4</v>
      </c>
      <c r="AJ223" s="55">
        <f>IF(AN223=0,H223,0)</f>
        <v>0</v>
      </c>
      <c r="AK223" s="55">
        <f>IF(AN223=12,H223,0)</f>
        <v>0</v>
      </c>
      <c r="AL223" s="55">
        <f>IF(AN223=21,H223,0)</f>
        <v>0</v>
      </c>
      <c r="AN223" s="55">
        <v>12</v>
      </c>
      <c r="AO223" s="55">
        <f>G223*0</f>
        <v>0</v>
      </c>
      <c r="AP223" s="55">
        <f>G223*(1-0)</f>
        <v>0</v>
      </c>
      <c r="AQ223" s="57" t="s">
        <v>141</v>
      </c>
      <c r="AV223" s="55">
        <f>ROUND(AW223+AX223,2)</f>
        <v>0</v>
      </c>
      <c r="AW223" s="55">
        <f>ROUND(F223*AO223,2)</f>
        <v>0</v>
      </c>
      <c r="AX223" s="55">
        <f>ROUND(F223*AP223,2)</f>
        <v>0</v>
      </c>
      <c r="AY223" s="57" t="s">
        <v>544</v>
      </c>
      <c r="AZ223" s="57" t="s">
        <v>354</v>
      </c>
      <c r="BA223" s="36" t="s">
        <v>115</v>
      </c>
      <c r="BC223" s="55">
        <f>AW223+AX223</f>
        <v>0</v>
      </c>
      <c r="BD223" s="55">
        <f>G223/(100-BE223)*100</f>
        <v>0</v>
      </c>
      <c r="BE223" s="55">
        <v>0</v>
      </c>
      <c r="BF223" s="55">
        <f>223</f>
        <v>223</v>
      </c>
      <c r="BH223" s="55">
        <f>F223*AO223</f>
        <v>0</v>
      </c>
      <c r="BI223" s="55">
        <f>F223*AP223</f>
        <v>0</v>
      </c>
      <c r="BJ223" s="55">
        <f>F223*G223</f>
        <v>0</v>
      </c>
      <c r="BK223" s="55"/>
      <c r="BL223" s="55"/>
      <c r="BW223" s="55">
        <v>12</v>
      </c>
      <c r="BX223" s="3" t="s">
        <v>552</v>
      </c>
    </row>
    <row r="224" spans="1:76" ht="13.5" customHeight="1" x14ac:dyDescent="0.25">
      <c r="A224" s="58"/>
      <c r="B224" s="59" t="s">
        <v>116</v>
      </c>
      <c r="C224" s="157" t="s">
        <v>553</v>
      </c>
      <c r="D224" s="158"/>
      <c r="E224" s="158"/>
      <c r="F224" s="158"/>
      <c r="G224" s="159"/>
      <c r="H224" s="158"/>
      <c r="I224" s="158"/>
      <c r="J224" s="160"/>
    </row>
    <row r="225" spans="1:76" x14ac:dyDescent="0.25">
      <c r="A225" s="58"/>
      <c r="C225" s="60" t="s">
        <v>546</v>
      </c>
      <c r="D225" s="60" t="s">
        <v>4</v>
      </c>
      <c r="F225" s="61">
        <v>3.46</v>
      </c>
      <c r="J225" s="50"/>
    </row>
    <row r="226" spans="1:76" x14ac:dyDescent="0.25">
      <c r="A226" s="1" t="s">
        <v>554</v>
      </c>
      <c r="B226" s="2" t="s">
        <v>555</v>
      </c>
      <c r="C226" s="82" t="s">
        <v>556</v>
      </c>
      <c r="D226" s="79"/>
      <c r="E226" s="2" t="s">
        <v>149</v>
      </c>
      <c r="F226" s="55">
        <v>3.46</v>
      </c>
      <c r="G226" s="56">
        <v>0</v>
      </c>
      <c r="H226" s="55">
        <f>ROUND(F226*G226,2)</f>
        <v>0</v>
      </c>
      <c r="I226" s="57" t="s">
        <v>112</v>
      </c>
      <c r="J226" s="50"/>
      <c r="Z226" s="55">
        <f>ROUND(IF(AQ226="5",BJ226,0),2)</f>
        <v>0</v>
      </c>
      <c r="AB226" s="55">
        <f>ROUND(IF(AQ226="1",BH226,0),2)</f>
        <v>0</v>
      </c>
      <c r="AC226" s="55">
        <f>ROUND(IF(AQ226="1",BI226,0),2)</f>
        <v>0</v>
      </c>
      <c r="AD226" s="55">
        <f>ROUND(IF(AQ226="7",BH226,0),2)</f>
        <v>0</v>
      </c>
      <c r="AE226" s="55">
        <f>ROUND(IF(AQ226="7",BI226,0),2)</f>
        <v>0</v>
      </c>
      <c r="AF226" s="55">
        <f>ROUND(IF(AQ226="2",BH226,0),2)</f>
        <v>0</v>
      </c>
      <c r="AG226" s="55">
        <f>ROUND(IF(AQ226="2",BI226,0),2)</f>
        <v>0</v>
      </c>
      <c r="AH226" s="55">
        <f>ROUND(IF(AQ226="0",BJ226,0),2)</f>
        <v>0</v>
      </c>
      <c r="AI226" s="36" t="s">
        <v>4</v>
      </c>
      <c r="AJ226" s="55">
        <f>IF(AN226=0,H226,0)</f>
        <v>0</v>
      </c>
      <c r="AK226" s="55">
        <f>IF(AN226=12,H226,0)</f>
        <v>0</v>
      </c>
      <c r="AL226" s="55">
        <f>IF(AN226=21,H226,0)</f>
        <v>0</v>
      </c>
      <c r="AN226" s="55">
        <v>12</v>
      </c>
      <c r="AO226" s="55">
        <f>G226*0</f>
        <v>0</v>
      </c>
      <c r="AP226" s="55">
        <f>G226*(1-0)</f>
        <v>0</v>
      </c>
      <c r="AQ226" s="57" t="s">
        <v>141</v>
      </c>
      <c r="AV226" s="55">
        <f>ROUND(AW226+AX226,2)</f>
        <v>0</v>
      </c>
      <c r="AW226" s="55">
        <f>ROUND(F226*AO226,2)</f>
        <v>0</v>
      </c>
      <c r="AX226" s="55">
        <f>ROUND(F226*AP226,2)</f>
        <v>0</v>
      </c>
      <c r="AY226" s="57" t="s">
        <v>544</v>
      </c>
      <c r="AZ226" s="57" t="s">
        <v>354</v>
      </c>
      <c r="BA226" s="36" t="s">
        <v>115</v>
      </c>
      <c r="BC226" s="55">
        <f>AW226+AX226</f>
        <v>0</v>
      </c>
      <c r="BD226" s="55">
        <f>G226/(100-BE226)*100</f>
        <v>0</v>
      </c>
      <c r="BE226" s="55">
        <v>0</v>
      </c>
      <c r="BF226" s="55">
        <f>226</f>
        <v>226</v>
      </c>
      <c r="BH226" s="55">
        <f>F226*AO226</f>
        <v>0</v>
      </c>
      <c r="BI226" s="55">
        <f>F226*AP226</f>
        <v>0</v>
      </c>
      <c r="BJ226" s="55">
        <f>F226*G226</f>
        <v>0</v>
      </c>
      <c r="BK226" s="55"/>
      <c r="BL226" s="55"/>
      <c r="BW226" s="55">
        <v>12</v>
      </c>
      <c r="BX226" s="3" t="s">
        <v>556</v>
      </c>
    </row>
    <row r="227" spans="1:76" x14ac:dyDescent="0.25">
      <c r="A227" s="58"/>
      <c r="C227" s="60" t="s">
        <v>557</v>
      </c>
      <c r="D227" s="60" t="s">
        <v>4</v>
      </c>
      <c r="F227" s="61">
        <v>3.46</v>
      </c>
      <c r="J227" s="50"/>
    </row>
    <row r="228" spans="1:76" x14ac:dyDescent="0.25">
      <c r="A228" s="1" t="s">
        <v>558</v>
      </c>
      <c r="B228" s="2" t="s">
        <v>559</v>
      </c>
      <c r="C228" s="82" t="s">
        <v>560</v>
      </c>
      <c r="D228" s="79"/>
      <c r="E228" s="2" t="s">
        <v>149</v>
      </c>
      <c r="F228" s="55">
        <v>1.1493199999999999</v>
      </c>
      <c r="G228" s="56">
        <v>0</v>
      </c>
      <c r="H228" s="55">
        <f>ROUND(F228*G228,2)</f>
        <v>0</v>
      </c>
      <c r="I228" s="57" t="s">
        <v>112</v>
      </c>
      <c r="J228" s="50"/>
      <c r="Z228" s="55">
        <f>ROUND(IF(AQ228="5",BJ228,0),2)</f>
        <v>0</v>
      </c>
      <c r="AB228" s="55">
        <f>ROUND(IF(AQ228="1",BH228,0),2)</f>
        <v>0</v>
      </c>
      <c r="AC228" s="55">
        <f>ROUND(IF(AQ228="1",BI228,0),2)</f>
        <v>0</v>
      </c>
      <c r="AD228" s="55">
        <f>ROUND(IF(AQ228="7",BH228,0),2)</f>
        <v>0</v>
      </c>
      <c r="AE228" s="55">
        <f>ROUND(IF(AQ228="7",BI228,0),2)</f>
        <v>0</v>
      </c>
      <c r="AF228" s="55">
        <f>ROUND(IF(AQ228="2",BH228,0),2)</f>
        <v>0</v>
      </c>
      <c r="AG228" s="55">
        <f>ROUND(IF(AQ228="2",BI228,0),2)</f>
        <v>0</v>
      </c>
      <c r="AH228" s="55">
        <f>ROUND(IF(AQ228="0",BJ228,0),2)</f>
        <v>0</v>
      </c>
      <c r="AI228" s="36" t="s">
        <v>4</v>
      </c>
      <c r="AJ228" s="55">
        <f>IF(AN228=0,H228,0)</f>
        <v>0</v>
      </c>
      <c r="AK228" s="55">
        <f>IF(AN228=12,H228,0)</f>
        <v>0</v>
      </c>
      <c r="AL228" s="55">
        <f>IF(AN228=21,H228,0)</f>
        <v>0</v>
      </c>
      <c r="AN228" s="55">
        <v>12</v>
      </c>
      <c r="AO228" s="55">
        <f>G228*0</f>
        <v>0</v>
      </c>
      <c r="AP228" s="55">
        <f>G228*(1-0)</f>
        <v>0</v>
      </c>
      <c r="AQ228" s="57" t="s">
        <v>141</v>
      </c>
      <c r="AV228" s="55">
        <f>ROUND(AW228+AX228,2)</f>
        <v>0</v>
      </c>
      <c r="AW228" s="55">
        <f>ROUND(F228*AO228,2)</f>
        <v>0</v>
      </c>
      <c r="AX228" s="55">
        <f>ROUND(F228*AP228,2)</f>
        <v>0</v>
      </c>
      <c r="AY228" s="57" t="s">
        <v>544</v>
      </c>
      <c r="AZ228" s="57" t="s">
        <v>354</v>
      </c>
      <c r="BA228" s="36" t="s">
        <v>115</v>
      </c>
      <c r="BC228" s="55">
        <f>AW228+AX228</f>
        <v>0</v>
      </c>
      <c r="BD228" s="55">
        <f>G228/(100-BE228)*100</f>
        <v>0</v>
      </c>
      <c r="BE228" s="55">
        <v>0</v>
      </c>
      <c r="BF228" s="55">
        <f>228</f>
        <v>228</v>
      </c>
      <c r="BH228" s="55">
        <f>F228*AO228</f>
        <v>0</v>
      </c>
      <c r="BI228" s="55">
        <f>F228*AP228</f>
        <v>0</v>
      </c>
      <c r="BJ228" s="55">
        <f>F228*G228</f>
        <v>0</v>
      </c>
      <c r="BK228" s="55"/>
      <c r="BL228" s="55"/>
      <c r="BW228" s="55">
        <v>12</v>
      </c>
      <c r="BX228" s="3" t="s">
        <v>560</v>
      </c>
    </row>
    <row r="229" spans="1:76" ht="25.5" x14ac:dyDescent="0.25">
      <c r="A229" s="1" t="s">
        <v>561</v>
      </c>
      <c r="B229" s="2" t="s">
        <v>562</v>
      </c>
      <c r="C229" s="82" t="s">
        <v>563</v>
      </c>
      <c r="D229" s="79"/>
      <c r="E229" s="2" t="s">
        <v>149</v>
      </c>
      <c r="F229" s="55">
        <v>0.75239</v>
      </c>
      <c r="G229" s="56">
        <v>0</v>
      </c>
      <c r="H229" s="55">
        <f>ROUND(F229*G229,2)</f>
        <v>0</v>
      </c>
      <c r="I229" s="57" t="s">
        <v>112</v>
      </c>
      <c r="J229" s="50"/>
      <c r="Z229" s="55">
        <f>ROUND(IF(AQ229="5",BJ229,0),2)</f>
        <v>0</v>
      </c>
      <c r="AB229" s="55">
        <f>ROUND(IF(AQ229="1",BH229,0),2)</f>
        <v>0</v>
      </c>
      <c r="AC229" s="55">
        <f>ROUND(IF(AQ229="1",BI229,0),2)</f>
        <v>0</v>
      </c>
      <c r="AD229" s="55">
        <f>ROUND(IF(AQ229="7",BH229,0),2)</f>
        <v>0</v>
      </c>
      <c r="AE229" s="55">
        <f>ROUND(IF(AQ229="7",BI229,0),2)</f>
        <v>0</v>
      </c>
      <c r="AF229" s="55">
        <f>ROUND(IF(AQ229="2",BH229,0),2)</f>
        <v>0</v>
      </c>
      <c r="AG229" s="55">
        <f>ROUND(IF(AQ229="2",BI229,0),2)</f>
        <v>0</v>
      </c>
      <c r="AH229" s="55">
        <f>ROUND(IF(AQ229="0",BJ229,0),2)</f>
        <v>0</v>
      </c>
      <c r="AI229" s="36" t="s">
        <v>4</v>
      </c>
      <c r="AJ229" s="55">
        <f>IF(AN229=0,H229,0)</f>
        <v>0</v>
      </c>
      <c r="AK229" s="55">
        <f>IF(AN229=12,H229,0)</f>
        <v>0</v>
      </c>
      <c r="AL229" s="55">
        <f>IF(AN229=21,H229,0)</f>
        <v>0</v>
      </c>
      <c r="AN229" s="55">
        <v>12</v>
      </c>
      <c r="AO229" s="55">
        <f>G229*0</f>
        <v>0</v>
      </c>
      <c r="AP229" s="55">
        <f>G229*(1-0)</f>
        <v>0</v>
      </c>
      <c r="AQ229" s="57" t="s">
        <v>141</v>
      </c>
      <c r="AV229" s="55">
        <f>ROUND(AW229+AX229,2)</f>
        <v>0</v>
      </c>
      <c r="AW229" s="55">
        <f>ROUND(F229*AO229,2)</f>
        <v>0</v>
      </c>
      <c r="AX229" s="55">
        <f>ROUND(F229*AP229,2)</f>
        <v>0</v>
      </c>
      <c r="AY229" s="57" t="s">
        <v>544</v>
      </c>
      <c r="AZ229" s="57" t="s">
        <v>354</v>
      </c>
      <c r="BA229" s="36" t="s">
        <v>115</v>
      </c>
      <c r="BC229" s="55">
        <f>AW229+AX229</f>
        <v>0</v>
      </c>
      <c r="BD229" s="55">
        <f>G229/(100-BE229)*100</f>
        <v>0</v>
      </c>
      <c r="BE229" s="55">
        <v>0</v>
      </c>
      <c r="BF229" s="55">
        <f>229</f>
        <v>229</v>
      </c>
      <c r="BH229" s="55">
        <f>F229*AO229</f>
        <v>0</v>
      </c>
      <c r="BI229" s="55">
        <f>F229*AP229</f>
        <v>0</v>
      </c>
      <c r="BJ229" s="55">
        <f>F229*G229</f>
        <v>0</v>
      </c>
      <c r="BK229" s="55"/>
      <c r="BL229" s="55"/>
      <c r="BW229" s="55">
        <v>12</v>
      </c>
      <c r="BX229" s="3" t="s">
        <v>563</v>
      </c>
    </row>
    <row r="230" spans="1:76" x14ac:dyDescent="0.25">
      <c r="A230" s="4" t="s">
        <v>564</v>
      </c>
      <c r="B230" s="5" t="s">
        <v>565</v>
      </c>
      <c r="C230" s="168" t="s">
        <v>566</v>
      </c>
      <c r="D230" s="89"/>
      <c r="E230" s="5" t="s">
        <v>149</v>
      </c>
      <c r="F230" s="62">
        <v>1.54491</v>
      </c>
      <c r="G230" s="63">
        <v>0</v>
      </c>
      <c r="H230" s="62">
        <f>ROUND(F230*G230,2)</f>
        <v>0</v>
      </c>
      <c r="I230" s="64" t="s">
        <v>112</v>
      </c>
      <c r="J230" s="65"/>
      <c r="Z230" s="55">
        <f>ROUND(IF(AQ230="5",BJ230,0),2)</f>
        <v>0</v>
      </c>
      <c r="AB230" s="55">
        <f>ROUND(IF(AQ230="1",BH230,0),2)</f>
        <v>0</v>
      </c>
      <c r="AC230" s="55">
        <f>ROUND(IF(AQ230="1",BI230,0),2)</f>
        <v>0</v>
      </c>
      <c r="AD230" s="55">
        <f>ROUND(IF(AQ230="7",BH230,0),2)</f>
        <v>0</v>
      </c>
      <c r="AE230" s="55">
        <f>ROUND(IF(AQ230="7",BI230,0),2)</f>
        <v>0</v>
      </c>
      <c r="AF230" s="55">
        <f>ROUND(IF(AQ230="2",BH230,0),2)</f>
        <v>0</v>
      </c>
      <c r="AG230" s="55">
        <f>ROUND(IF(AQ230="2",BI230,0),2)</f>
        <v>0</v>
      </c>
      <c r="AH230" s="55">
        <f>ROUND(IF(AQ230="0",BJ230,0),2)</f>
        <v>0</v>
      </c>
      <c r="AI230" s="36" t="s">
        <v>4</v>
      </c>
      <c r="AJ230" s="55">
        <f>IF(AN230=0,H230,0)</f>
        <v>0</v>
      </c>
      <c r="AK230" s="55">
        <f>IF(AN230=12,H230,0)</f>
        <v>0</v>
      </c>
      <c r="AL230" s="55">
        <f>IF(AN230=21,H230,0)</f>
        <v>0</v>
      </c>
      <c r="AN230" s="55">
        <v>12</v>
      </c>
      <c r="AO230" s="55">
        <f>G230*0</f>
        <v>0</v>
      </c>
      <c r="AP230" s="55">
        <f>G230*(1-0)</f>
        <v>0</v>
      </c>
      <c r="AQ230" s="57" t="s">
        <v>141</v>
      </c>
      <c r="AV230" s="55">
        <f>ROUND(AW230+AX230,2)</f>
        <v>0</v>
      </c>
      <c r="AW230" s="55">
        <f>ROUND(F230*AO230,2)</f>
        <v>0</v>
      </c>
      <c r="AX230" s="55">
        <f>ROUND(F230*AP230,2)</f>
        <v>0</v>
      </c>
      <c r="AY230" s="57" t="s">
        <v>544</v>
      </c>
      <c r="AZ230" s="57" t="s">
        <v>354</v>
      </c>
      <c r="BA230" s="36" t="s">
        <v>115</v>
      </c>
      <c r="BC230" s="55">
        <f>AW230+AX230</f>
        <v>0</v>
      </c>
      <c r="BD230" s="55">
        <f>G230/(100-BE230)*100</f>
        <v>0</v>
      </c>
      <c r="BE230" s="55">
        <v>0</v>
      </c>
      <c r="BF230" s="55">
        <f>230</f>
        <v>230</v>
      </c>
      <c r="BH230" s="55">
        <f>F230*AO230</f>
        <v>0</v>
      </c>
      <c r="BI230" s="55">
        <f>F230*AP230</f>
        <v>0</v>
      </c>
      <c r="BJ230" s="55">
        <f>F230*G230</f>
        <v>0</v>
      </c>
      <c r="BK230" s="55"/>
      <c r="BL230" s="55"/>
      <c r="BW230" s="55">
        <v>12</v>
      </c>
      <c r="BX230" s="3" t="s">
        <v>566</v>
      </c>
    </row>
    <row r="231" spans="1:76" x14ac:dyDescent="0.25">
      <c r="H231" s="66">
        <f>ROUND(H13+H17+H20+H33+H49+H109+H128+H136+H141+H148+H160+H164+H166+H199+H210+H216,2)</f>
        <v>0</v>
      </c>
    </row>
    <row r="232" spans="1:76" x14ac:dyDescent="0.25">
      <c r="A232" s="67" t="s">
        <v>57</v>
      </c>
    </row>
    <row r="233" spans="1:76" ht="12.75" customHeight="1" x14ac:dyDescent="0.25">
      <c r="A233" s="82" t="s">
        <v>4</v>
      </c>
      <c r="B233" s="79"/>
      <c r="C233" s="79"/>
      <c r="D233" s="79"/>
      <c r="E233" s="79"/>
      <c r="F233" s="79"/>
      <c r="G233" s="79"/>
      <c r="H233" s="79"/>
      <c r="I233" s="79"/>
      <c r="J233" s="79"/>
    </row>
  </sheetData>
  <sheetProtection password="E93C" sheet="1"/>
  <mergeCells count="183">
    <mergeCell ref="C230:D230"/>
    <mergeCell ref="A233:J233"/>
    <mergeCell ref="C223:D223"/>
    <mergeCell ref="C224:J224"/>
    <mergeCell ref="C226:D226"/>
    <mergeCell ref="C228:D228"/>
    <mergeCell ref="C229:D229"/>
    <mergeCell ref="C216:D216"/>
    <mergeCell ref="C217:D217"/>
    <mergeCell ref="C218:J218"/>
    <mergeCell ref="C220:D220"/>
    <mergeCell ref="C221:J221"/>
    <mergeCell ref="C211:D211"/>
    <mergeCell ref="C212:D212"/>
    <mergeCell ref="C213:D213"/>
    <mergeCell ref="C214:D214"/>
    <mergeCell ref="C215:D215"/>
    <mergeCell ref="C206:D206"/>
    <mergeCell ref="C207:J207"/>
    <mergeCell ref="C208:D208"/>
    <mergeCell ref="C209:J209"/>
    <mergeCell ref="C210:D210"/>
    <mergeCell ref="C201:J201"/>
    <mergeCell ref="C202:D202"/>
    <mergeCell ref="C203:D203"/>
    <mergeCell ref="C204:J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J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C171:D171"/>
    <mergeCell ref="C172:D172"/>
    <mergeCell ref="C173:D173"/>
    <mergeCell ref="C174:D174"/>
    <mergeCell ref="C175:D175"/>
    <mergeCell ref="C166:D166"/>
    <mergeCell ref="C167:D167"/>
    <mergeCell ref="C168:J168"/>
    <mergeCell ref="C169:D169"/>
    <mergeCell ref="C170:D170"/>
    <mergeCell ref="C161:D161"/>
    <mergeCell ref="C162:D162"/>
    <mergeCell ref="C163:D163"/>
    <mergeCell ref="C164:D164"/>
    <mergeCell ref="C165:D165"/>
    <mergeCell ref="C151:D151"/>
    <mergeCell ref="C153:D153"/>
    <mergeCell ref="C155:D155"/>
    <mergeCell ref="C156:J156"/>
    <mergeCell ref="C160:D160"/>
    <mergeCell ref="C142:D142"/>
    <mergeCell ref="C144:D144"/>
    <mergeCell ref="C146:D146"/>
    <mergeCell ref="C148:D148"/>
    <mergeCell ref="C149:D149"/>
    <mergeCell ref="C134:D134"/>
    <mergeCell ref="C136:D136"/>
    <mergeCell ref="C137:D137"/>
    <mergeCell ref="C139:D139"/>
    <mergeCell ref="C141:D141"/>
    <mergeCell ref="C126:D126"/>
    <mergeCell ref="C128:D128"/>
    <mergeCell ref="C129:D129"/>
    <mergeCell ref="C131:D131"/>
    <mergeCell ref="C132:J132"/>
    <mergeCell ref="C119:D119"/>
    <mergeCell ref="C120:J120"/>
    <mergeCell ref="C122:D122"/>
    <mergeCell ref="C123:J123"/>
    <mergeCell ref="C125:D125"/>
    <mergeCell ref="C110:D110"/>
    <mergeCell ref="C111:J111"/>
    <mergeCell ref="C114:D114"/>
    <mergeCell ref="C115:J115"/>
    <mergeCell ref="C117:D117"/>
    <mergeCell ref="C102:J102"/>
    <mergeCell ref="C104:D104"/>
    <mergeCell ref="C106:D106"/>
    <mergeCell ref="C107:D107"/>
    <mergeCell ref="C109:D109"/>
    <mergeCell ref="C95:D95"/>
    <mergeCell ref="C96:J96"/>
    <mergeCell ref="C98:D98"/>
    <mergeCell ref="C99:J99"/>
    <mergeCell ref="C101:D101"/>
    <mergeCell ref="C86:D86"/>
    <mergeCell ref="C89:D89"/>
    <mergeCell ref="C90:J90"/>
    <mergeCell ref="C92:D92"/>
    <mergeCell ref="C93:J93"/>
    <mergeCell ref="C76:D76"/>
    <mergeCell ref="C79:D79"/>
    <mergeCell ref="C81:D81"/>
    <mergeCell ref="C82:J82"/>
    <mergeCell ref="C84:D84"/>
    <mergeCell ref="C67:D67"/>
    <mergeCell ref="C69:D69"/>
    <mergeCell ref="C71:D71"/>
    <mergeCell ref="C72:J72"/>
    <mergeCell ref="C74:D74"/>
    <mergeCell ref="C55:D55"/>
    <mergeCell ref="C57:D57"/>
    <mergeCell ref="C59:D59"/>
    <mergeCell ref="C63:D63"/>
    <mergeCell ref="C65:D65"/>
    <mergeCell ref="C46:J46"/>
    <mergeCell ref="C48:D48"/>
    <mergeCell ref="C49:D49"/>
    <mergeCell ref="C50:D50"/>
    <mergeCell ref="C51:J51"/>
    <mergeCell ref="C39:D39"/>
    <mergeCell ref="C40:J40"/>
    <mergeCell ref="C42:D42"/>
    <mergeCell ref="C43:J43"/>
    <mergeCell ref="C45:D45"/>
    <mergeCell ref="C31:J31"/>
    <mergeCell ref="C33:D33"/>
    <mergeCell ref="C34:D34"/>
    <mergeCell ref="C36:D36"/>
    <mergeCell ref="C37:J37"/>
    <mergeCell ref="C24:D24"/>
    <mergeCell ref="C25:J25"/>
    <mergeCell ref="C27:D27"/>
    <mergeCell ref="C29:D29"/>
    <mergeCell ref="C30:D30"/>
    <mergeCell ref="C17:D17"/>
    <mergeCell ref="C18:D18"/>
    <mergeCell ref="C20:D20"/>
    <mergeCell ref="C21:D21"/>
    <mergeCell ref="C22:J22"/>
    <mergeCell ref="C11:D11"/>
    <mergeCell ref="C12:D12"/>
    <mergeCell ref="C13:D13"/>
    <mergeCell ref="C14:D14"/>
    <mergeCell ref="C15:J15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Bárta</cp:lastModifiedBy>
  <cp:lastPrinted>2025-05-21T13:31:45Z</cp:lastPrinted>
  <dcterms:created xsi:type="dcterms:W3CDTF">2021-06-10T20:06:38Z</dcterms:created>
  <dcterms:modified xsi:type="dcterms:W3CDTF">2025-05-21T13:37:12Z</dcterms:modified>
</cp:coreProperties>
</file>