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d3ca05e84f73388/Zakázky Já/2025/09_Tílie_Škroupovo náměstí/PD/ROZPOČET/"/>
    </mc:Choice>
  </mc:AlternateContent>
  <xr:revisionPtr revIDLastSave="25" documentId="11_E464A6B6041C25AF2343BFBC8D7FFDA78A3C6971" xr6:coauthVersionLast="47" xr6:coauthVersionMax="47" xr10:uidLastSave="{64E7256F-6814-4228-862C-C60AD9470294}"/>
  <bookViews>
    <workbookView xWindow="-120" yWindow="-120" windowWidth="29040" windowHeight="15720" activeTab="1" xr2:uid="{00000000-000D-0000-FFFF-FFFF00000000}"/>
  </bookViews>
  <sheets>
    <sheet name="Krycí list rozpočtu" sheetId="1" r:id="rId1"/>
    <sheet name="VORN" sheetId="2" r:id="rId2"/>
    <sheet name="Stavební rozpočet" sheetId="3" r:id="rId3"/>
  </sheets>
  <definedNames>
    <definedName name="vorn_sum">VORN!$I$39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2" l="1"/>
  <c r="BJ133" i="3"/>
  <c r="BF133" i="3"/>
  <c r="BD133" i="3"/>
  <c r="AP133" i="3"/>
  <c r="BI133" i="3" s="1"/>
  <c r="AO133" i="3"/>
  <c r="BH133" i="3" s="1"/>
  <c r="AK133" i="3"/>
  <c r="AJ133" i="3"/>
  <c r="AH133" i="3"/>
  <c r="AG133" i="3"/>
  <c r="AF133" i="3"/>
  <c r="AE133" i="3"/>
  <c r="AD133" i="3"/>
  <c r="AC133" i="3"/>
  <c r="AB133" i="3"/>
  <c r="Z133" i="3"/>
  <c r="H133" i="3"/>
  <c r="AL133" i="3" s="1"/>
  <c r="AU132" i="3" s="1"/>
  <c r="AT132" i="3"/>
  <c r="AS132" i="3"/>
  <c r="BJ131" i="3"/>
  <c r="Z131" i="3" s="1"/>
  <c r="BI131" i="3"/>
  <c r="BH131" i="3"/>
  <c r="BF131" i="3"/>
  <c r="BD131" i="3"/>
  <c r="AX131" i="3"/>
  <c r="AW131" i="3"/>
  <c r="AV131" i="3" s="1"/>
  <c r="AP131" i="3"/>
  <c r="AO131" i="3"/>
  <c r="AL131" i="3"/>
  <c r="AK131" i="3"/>
  <c r="AJ131" i="3"/>
  <c r="AH131" i="3"/>
  <c r="AG131" i="3"/>
  <c r="AF131" i="3"/>
  <c r="AE131" i="3"/>
  <c r="AD131" i="3"/>
  <c r="AC131" i="3"/>
  <c r="AB131" i="3"/>
  <c r="H131" i="3"/>
  <c r="BJ130" i="3"/>
  <c r="BH130" i="3"/>
  <c r="BF130" i="3"/>
  <c r="BD130" i="3"/>
  <c r="AW130" i="3"/>
  <c r="BC130" i="3" s="1"/>
  <c r="AP130" i="3"/>
  <c r="AX130" i="3" s="1"/>
  <c r="AV130" i="3" s="1"/>
  <c r="AO130" i="3"/>
  <c r="AK130" i="3"/>
  <c r="AJ130" i="3"/>
  <c r="AH130" i="3"/>
  <c r="AG130" i="3"/>
  <c r="AF130" i="3"/>
  <c r="AE130" i="3"/>
  <c r="AD130" i="3"/>
  <c r="AC130" i="3"/>
  <c r="AB130" i="3"/>
  <c r="Z130" i="3"/>
  <c r="H130" i="3"/>
  <c r="AL130" i="3" s="1"/>
  <c r="BJ129" i="3"/>
  <c r="BF129" i="3"/>
  <c r="BD129" i="3"/>
  <c r="AP129" i="3"/>
  <c r="AX129" i="3" s="1"/>
  <c r="AO129" i="3"/>
  <c r="BH129" i="3" s="1"/>
  <c r="AK129" i="3"/>
  <c r="AJ129" i="3"/>
  <c r="AH129" i="3"/>
  <c r="AG129" i="3"/>
  <c r="AF129" i="3"/>
  <c r="AE129" i="3"/>
  <c r="AD129" i="3"/>
  <c r="AC129" i="3"/>
  <c r="AB129" i="3"/>
  <c r="Z129" i="3"/>
  <c r="H129" i="3"/>
  <c r="AL129" i="3" s="1"/>
  <c r="BJ127" i="3"/>
  <c r="BF127" i="3"/>
  <c r="BD127" i="3"/>
  <c r="AP127" i="3"/>
  <c r="BI127" i="3" s="1"/>
  <c r="AO127" i="3"/>
  <c r="BH127" i="3" s="1"/>
  <c r="AL127" i="3"/>
  <c r="AK127" i="3"/>
  <c r="AJ127" i="3"/>
  <c r="AH127" i="3"/>
  <c r="AG127" i="3"/>
  <c r="AF127" i="3"/>
  <c r="AE127" i="3"/>
  <c r="AD127" i="3"/>
  <c r="AC127" i="3"/>
  <c r="AB127" i="3"/>
  <c r="Z127" i="3"/>
  <c r="H127" i="3"/>
  <c r="BJ124" i="3"/>
  <c r="Z124" i="3" s="1"/>
  <c r="BF124" i="3"/>
  <c r="BD124" i="3"/>
  <c r="AP124" i="3"/>
  <c r="BI124" i="3" s="1"/>
  <c r="AO124" i="3"/>
  <c r="BH124" i="3" s="1"/>
  <c r="AL124" i="3"/>
  <c r="AK124" i="3"/>
  <c r="AJ124" i="3"/>
  <c r="AH124" i="3"/>
  <c r="AG124" i="3"/>
  <c r="AF124" i="3"/>
  <c r="AE124" i="3"/>
  <c r="AD124" i="3"/>
  <c r="AC124" i="3"/>
  <c r="AB124" i="3"/>
  <c r="H124" i="3"/>
  <c r="BJ121" i="3"/>
  <c r="Z121" i="3" s="1"/>
  <c r="BI121" i="3"/>
  <c r="BF121" i="3"/>
  <c r="BD121" i="3"/>
  <c r="AP121" i="3"/>
  <c r="AX121" i="3" s="1"/>
  <c r="AO121" i="3"/>
  <c r="BH121" i="3" s="1"/>
  <c r="AL121" i="3"/>
  <c r="AK121" i="3"/>
  <c r="AJ121" i="3"/>
  <c r="AH121" i="3"/>
  <c r="AG121" i="3"/>
  <c r="AF121" i="3"/>
  <c r="AE121" i="3"/>
  <c r="AD121" i="3"/>
  <c r="AC121" i="3"/>
  <c r="AB121" i="3"/>
  <c r="H121" i="3"/>
  <c r="BJ119" i="3"/>
  <c r="Z119" i="3" s="1"/>
  <c r="BI119" i="3"/>
  <c r="BH119" i="3"/>
  <c r="BF119" i="3"/>
  <c r="BD119" i="3"/>
  <c r="AX119" i="3"/>
  <c r="AP119" i="3"/>
  <c r="AO119" i="3"/>
  <c r="AW119" i="3" s="1"/>
  <c r="AL119" i="3"/>
  <c r="AK119" i="3"/>
  <c r="AJ119" i="3"/>
  <c r="AH119" i="3"/>
  <c r="AG119" i="3"/>
  <c r="AF119" i="3"/>
  <c r="AE119" i="3"/>
  <c r="AD119" i="3"/>
  <c r="AC119" i="3"/>
  <c r="AB119" i="3"/>
  <c r="H119" i="3"/>
  <c r="BJ117" i="3"/>
  <c r="Z117" i="3" s="1"/>
  <c r="BI117" i="3"/>
  <c r="BH117" i="3"/>
  <c r="BF117" i="3"/>
  <c r="BD117" i="3"/>
  <c r="AW117" i="3"/>
  <c r="AP117" i="3"/>
  <c r="AX117" i="3" s="1"/>
  <c r="AO117" i="3"/>
  <c r="AL117" i="3"/>
  <c r="AK117" i="3"/>
  <c r="AT116" i="3" s="1"/>
  <c r="AJ117" i="3"/>
  <c r="AS116" i="3" s="1"/>
  <c r="AH117" i="3"/>
  <c r="AG117" i="3"/>
  <c r="AF117" i="3"/>
  <c r="AE117" i="3"/>
  <c r="AD117" i="3"/>
  <c r="AC117" i="3"/>
  <c r="AB117" i="3"/>
  <c r="H117" i="3"/>
  <c r="BJ115" i="3"/>
  <c r="Z115" i="3" s="1"/>
  <c r="BF115" i="3"/>
  <c r="BD115" i="3"/>
  <c r="AP115" i="3"/>
  <c r="BI115" i="3" s="1"/>
  <c r="AO115" i="3"/>
  <c r="BH115" i="3" s="1"/>
  <c r="AL115" i="3"/>
  <c r="AK115" i="3"/>
  <c r="AJ115" i="3"/>
  <c r="AH115" i="3"/>
  <c r="AG115" i="3"/>
  <c r="AF115" i="3"/>
  <c r="AE115" i="3"/>
  <c r="AD115" i="3"/>
  <c r="AC115" i="3"/>
  <c r="AB115" i="3"/>
  <c r="H115" i="3"/>
  <c r="H114" i="3" s="1"/>
  <c r="AU114" i="3"/>
  <c r="AT114" i="3"/>
  <c r="AS114" i="3"/>
  <c r="BJ111" i="3"/>
  <c r="BH111" i="3"/>
  <c r="BF111" i="3"/>
  <c r="BD111" i="3"/>
  <c r="AW111" i="3"/>
  <c r="BC111" i="3" s="1"/>
  <c r="AP111" i="3"/>
  <c r="AX111" i="3" s="1"/>
  <c r="AV111" i="3" s="1"/>
  <c r="AO111" i="3"/>
  <c r="AL111" i="3"/>
  <c r="AK111" i="3"/>
  <c r="AJ111" i="3"/>
  <c r="AH111" i="3"/>
  <c r="AG111" i="3"/>
  <c r="AF111" i="3"/>
  <c r="AE111" i="3"/>
  <c r="AD111" i="3"/>
  <c r="AB111" i="3"/>
  <c r="Z111" i="3"/>
  <c r="H111" i="3"/>
  <c r="BJ109" i="3"/>
  <c r="BF109" i="3"/>
  <c r="BD109" i="3"/>
  <c r="AP109" i="3"/>
  <c r="BI109" i="3" s="1"/>
  <c r="AC109" i="3" s="1"/>
  <c r="AO109" i="3"/>
  <c r="BH109" i="3" s="1"/>
  <c r="AB109" i="3" s="1"/>
  <c r="AK109" i="3"/>
  <c r="AJ109" i="3"/>
  <c r="AH109" i="3"/>
  <c r="AG109" i="3"/>
  <c r="AF109" i="3"/>
  <c r="AE109" i="3"/>
  <c r="AD109" i="3"/>
  <c r="Z109" i="3"/>
  <c r="H109" i="3"/>
  <c r="AL109" i="3" s="1"/>
  <c r="BJ107" i="3"/>
  <c r="BF107" i="3"/>
  <c r="BD107" i="3"/>
  <c r="AP107" i="3"/>
  <c r="BI107" i="3" s="1"/>
  <c r="AC107" i="3" s="1"/>
  <c r="AO107" i="3"/>
  <c r="BH107" i="3" s="1"/>
  <c r="AB107" i="3" s="1"/>
  <c r="AL107" i="3"/>
  <c r="AK107" i="3"/>
  <c r="AJ107" i="3"/>
  <c r="AH107" i="3"/>
  <c r="AG107" i="3"/>
  <c r="AF107" i="3"/>
  <c r="AE107" i="3"/>
  <c r="AD107" i="3"/>
  <c r="Z107" i="3"/>
  <c r="H107" i="3"/>
  <c r="BJ105" i="3"/>
  <c r="BF105" i="3"/>
  <c r="BD105" i="3"/>
  <c r="AP105" i="3"/>
  <c r="BI105" i="3" s="1"/>
  <c r="AC105" i="3" s="1"/>
  <c r="AO105" i="3"/>
  <c r="BH105" i="3" s="1"/>
  <c r="AB105" i="3" s="1"/>
  <c r="AL105" i="3"/>
  <c r="AK105" i="3"/>
  <c r="AJ105" i="3"/>
  <c r="AH105" i="3"/>
  <c r="AG105" i="3"/>
  <c r="AF105" i="3"/>
  <c r="AE105" i="3"/>
  <c r="AD105" i="3"/>
  <c r="Z105" i="3"/>
  <c r="H105" i="3"/>
  <c r="H94" i="3" s="1"/>
  <c r="BJ103" i="3"/>
  <c r="BI103" i="3"/>
  <c r="AC103" i="3" s="1"/>
  <c r="BF103" i="3"/>
  <c r="BD103" i="3"/>
  <c r="AP103" i="3"/>
  <c r="AX103" i="3" s="1"/>
  <c r="AO103" i="3"/>
  <c r="BH103" i="3" s="1"/>
  <c r="AB103" i="3" s="1"/>
  <c r="AL103" i="3"/>
  <c r="AK103" i="3"/>
  <c r="AJ103" i="3"/>
  <c r="AH103" i="3"/>
  <c r="AG103" i="3"/>
  <c r="AF103" i="3"/>
  <c r="AE103" i="3"/>
  <c r="AD103" i="3"/>
  <c r="Z103" i="3"/>
  <c r="H103" i="3"/>
  <c r="BJ101" i="3"/>
  <c r="BI101" i="3"/>
  <c r="AC101" i="3" s="1"/>
  <c r="BH101" i="3"/>
  <c r="AB101" i="3" s="1"/>
  <c r="BF101" i="3"/>
  <c r="BD101" i="3"/>
  <c r="AX101" i="3"/>
  <c r="AP101" i="3"/>
  <c r="AO101" i="3"/>
  <c r="AW101" i="3" s="1"/>
  <c r="AL101" i="3"/>
  <c r="AK101" i="3"/>
  <c r="AJ101" i="3"/>
  <c r="AH101" i="3"/>
  <c r="AG101" i="3"/>
  <c r="AF101" i="3"/>
  <c r="AE101" i="3"/>
  <c r="AD101" i="3"/>
  <c r="Z101" i="3"/>
  <c r="H101" i="3"/>
  <c r="BJ99" i="3"/>
  <c r="BI99" i="3"/>
  <c r="AC99" i="3" s="1"/>
  <c r="BH99" i="3"/>
  <c r="AB99" i="3" s="1"/>
  <c r="BF99" i="3"/>
  <c r="BD99" i="3"/>
  <c r="AW99" i="3"/>
  <c r="AP99" i="3"/>
  <c r="AX99" i="3" s="1"/>
  <c r="BC99" i="3" s="1"/>
  <c r="AO99" i="3"/>
  <c r="AL99" i="3"/>
  <c r="AK99" i="3"/>
  <c r="AJ99" i="3"/>
  <c r="AH99" i="3"/>
  <c r="AG99" i="3"/>
  <c r="AF99" i="3"/>
  <c r="AE99" i="3"/>
  <c r="AD99" i="3"/>
  <c r="Z99" i="3"/>
  <c r="H99" i="3"/>
  <c r="BJ97" i="3"/>
  <c r="BI97" i="3"/>
  <c r="AC97" i="3" s="1"/>
  <c r="BH97" i="3"/>
  <c r="AB97" i="3" s="1"/>
  <c r="BF97" i="3"/>
  <c r="BD97" i="3"/>
  <c r="AX97" i="3"/>
  <c r="AP97" i="3"/>
  <c r="AO97" i="3"/>
  <c r="AW97" i="3" s="1"/>
  <c r="AK97" i="3"/>
  <c r="AT94" i="3" s="1"/>
  <c r="AJ97" i="3"/>
  <c r="AS94" i="3" s="1"/>
  <c r="AH97" i="3"/>
  <c r="AG97" i="3"/>
  <c r="AF97" i="3"/>
  <c r="AE97" i="3"/>
  <c r="AD97" i="3"/>
  <c r="Z97" i="3"/>
  <c r="H97" i="3"/>
  <c r="AL97" i="3" s="1"/>
  <c r="BJ95" i="3"/>
  <c r="BI95" i="3"/>
  <c r="AC95" i="3" s="1"/>
  <c r="BH95" i="3"/>
  <c r="AB95" i="3" s="1"/>
  <c r="BF95" i="3"/>
  <c r="BD95" i="3"/>
  <c r="AW95" i="3"/>
  <c r="AV95" i="3" s="1"/>
  <c r="AP95" i="3"/>
  <c r="AX95" i="3" s="1"/>
  <c r="BC95" i="3" s="1"/>
  <c r="AO95" i="3"/>
  <c r="AK95" i="3"/>
  <c r="AJ95" i="3"/>
  <c r="AH95" i="3"/>
  <c r="AG95" i="3"/>
  <c r="AF95" i="3"/>
  <c r="AE95" i="3"/>
  <c r="AD95" i="3"/>
  <c r="Z95" i="3"/>
  <c r="H95" i="3"/>
  <c r="AL95" i="3" s="1"/>
  <c r="BJ93" i="3"/>
  <c r="Z93" i="3" s="1"/>
  <c r="BI93" i="3"/>
  <c r="BH93" i="3"/>
  <c r="BF93" i="3"/>
  <c r="BD93" i="3"/>
  <c r="AX93" i="3"/>
  <c r="AP93" i="3"/>
  <c r="AO93" i="3"/>
  <c r="AW93" i="3" s="1"/>
  <c r="AL93" i="3"/>
  <c r="AK93" i="3"/>
  <c r="AJ93" i="3"/>
  <c r="AH93" i="3"/>
  <c r="AG93" i="3"/>
  <c r="AF93" i="3"/>
  <c r="AE93" i="3"/>
  <c r="AD93" i="3"/>
  <c r="AC93" i="3"/>
  <c r="AB93" i="3"/>
  <c r="H93" i="3"/>
  <c r="BJ91" i="3"/>
  <c r="BI91" i="3"/>
  <c r="AE91" i="3" s="1"/>
  <c r="BH91" i="3"/>
  <c r="AD91" i="3" s="1"/>
  <c r="BF91" i="3"/>
  <c r="BD91" i="3"/>
  <c r="AW91" i="3"/>
  <c r="AV91" i="3" s="1"/>
  <c r="AP91" i="3"/>
  <c r="AX91" i="3" s="1"/>
  <c r="BC91" i="3" s="1"/>
  <c r="AO91" i="3"/>
  <c r="AL91" i="3"/>
  <c r="AK91" i="3"/>
  <c r="AJ91" i="3"/>
  <c r="AH91" i="3"/>
  <c r="AG91" i="3"/>
  <c r="AF91" i="3"/>
  <c r="AC91" i="3"/>
  <c r="AB91" i="3"/>
  <c r="Z91" i="3"/>
  <c r="H91" i="3"/>
  <c r="BJ87" i="3"/>
  <c r="BI87" i="3"/>
  <c r="AE87" i="3" s="1"/>
  <c r="BH87" i="3"/>
  <c r="AD87" i="3" s="1"/>
  <c r="BF87" i="3"/>
  <c r="BD87" i="3"/>
  <c r="AX87" i="3"/>
  <c r="AP87" i="3"/>
  <c r="AO87" i="3"/>
  <c r="AW87" i="3" s="1"/>
  <c r="AK87" i="3"/>
  <c r="AJ87" i="3"/>
  <c r="AH87" i="3"/>
  <c r="AG87" i="3"/>
  <c r="AF87" i="3"/>
  <c r="AC87" i="3"/>
  <c r="AB87" i="3"/>
  <c r="Z87" i="3"/>
  <c r="H87" i="3"/>
  <c r="AL87" i="3" s="1"/>
  <c r="BJ85" i="3"/>
  <c r="BI85" i="3"/>
  <c r="BH85" i="3"/>
  <c r="AD85" i="3" s="1"/>
  <c r="BF85" i="3"/>
  <c r="BD85" i="3"/>
  <c r="AW85" i="3"/>
  <c r="AP85" i="3"/>
  <c r="AX85" i="3" s="1"/>
  <c r="BC85" i="3" s="1"/>
  <c r="AO85" i="3"/>
  <c r="AK85" i="3"/>
  <c r="AJ85" i="3"/>
  <c r="AH85" i="3"/>
  <c r="AG85" i="3"/>
  <c r="AF85" i="3"/>
  <c r="AE85" i="3"/>
  <c r="AC85" i="3"/>
  <c r="AB85" i="3"/>
  <c r="Z85" i="3"/>
  <c r="H85" i="3"/>
  <c r="AL85" i="3" s="1"/>
  <c r="BJ83" i="3"/>
  <c r="BH83" i="3"/>
  <c r="BF83" i="3"/>
  <c r="BD83" i="3"/>
  <c r="AX83" i="3"/>
  <c r="AP83" i="3"/>
  <c r="BI83" i="3" s="1"/>
  <c r="AE83" i="3" s="1"/>
  <c r="AO83" i="3"/>
  <c r="AW83" i="3" s="1"/>
  <c r="AK83" i="3"/>
  <c r="AJ83" i="3"/>
  <c r="AH83" i="3"/>
  <c r="AG83" i="3"/>
  <c r="AF83" i="3"/>
  <c r="AD83" i="3"/>
  <c r="AC83" i="3"/>
  <c r="AB83" i="3"/>
  <c r="Z83" i="3"/>
  <c r="H83" i="3"/>
  <c r="AL83" i="3" s="1"/>
  <c r="BJ81" i="3"/>
  <c r="BF81" i="3"/>
  <c r="BD81" i="3"/>
  <c r="AX81" i="3"/>
  <c r="AW81" i="3"/>
  <c r="AV81" i="3" s="1"/>
  <c r="AP81" i="3"/>
  <c r="BI81" i="3" s="1"/>
  <c r="AE81" i="3" s="1"/>
  <c r="AO81" i="3"/>
  <c r="BH81" i="3" s="1"/>
  <c r="AD81" i="3" s="1"/>
  <c r="AL81" i="3"/>
  <c r="AK81" i="3"/>
  <c r="AJ81" i="3"/>
  <c r="AH81" i="3"/>
  <c r="AG81" i="3"/>
  <c r="AF81" i="3"/>
  <c r="AC81" i="3"/>
  <c r="AB81" i="3"/>
  <c r="Z81" i="3"/>
  <c r="H81" i="3"/>
  <c r="BJ79" i="3"/>
  <c r="BF79" i="3"/>
  <c r="BD79" i="3"/>
  <c r="AX79" i="3"/>
  <c r="AW79" i="3"/>
  <c r="BC79" i="3" s="1"/>
  <c r="AV79" i="3"/>
  <c r="AP79" i="3"/>
  <c r="BI79" i="3" s="1"/>
  <c r="AE79" i="3" s="1"/>
  <c r="AO79" i="3"/>
  <c r="BH79" i="3" s="1"/>
  <c r="AD79" i="3" s="1"/>
  <c r="AK79" i="3"/>
  <c r="AJ79" i="3"/>
  <c r="AH79" i="3"/>
  <c r="AG79" i="3"/>
  <c r="AF79" i="3"/>
  <c r="AC79" i="3"/>
  <c r="AB79" i="3"/>
  <c r="Z79" i="3"/>
  <c r="H79" i="3"/>
  <c r="AL79" i="3" s="1"/>
  <c r="BJ77" i="3"/>
  <c r="BF77" i="3"/>
  <c r="BD77" i="3"/>
  <c r="AW77" i="3"/>
  <c r="AP77" i="3"/>
  <c r="BI77" i="3" s="1"/>
  <c r="AE77" i="3" s="1"/>
  <c r="AO77" i="3"/>
  <c r="BH77" i="3" s="1"/>
  <c r="AD77" i="3" s="1"/>
  <c r="AL77" i="3"/>
  <c r="AK77" i="3"/>
  <c r="AJ77" i="3"/>
  <c r="AH77" i="3"/>
  <c r="AG77" i="3"/>
  <c r="AF77" i="3"/>
  <c r="AC77" i="3"/>
  <c r="AB77" i="3"/>
  <c r="Z77" i="3"/>
  <c r="H77" i="3"/>
  <c r="BJ75" i="3"/>
  <c r="BF75" i="3"/>
  <c r="BD75" i="3"/>
  <c r="AP75" i="3"/>
  <c r="AX75" i="3" s="1"/>
  <c r="AO75" i="3"/>
  <c r="AW75" i="3" s="1"/>
  <c r="AK75" i="3"/>
  <c r="AJ75" i="3"/>
  <c r="AH75" i="3"/>
  <c r="AG75" i="3"/>
  <c r="AF75" i="3"/>
  <c r="AC75" i="3"/>
  <c r="AB75" i="3"/>
  <c r="Z75" i="3"/>
  <c r="H75" i="3"/>
  <c r="AL75" i="3" s="1"/>
  <c r="BJ73" i="3"/>
  <c r="BF73" i="3"/>
  <c r="BD73" i="3"/>
  <c r="AP73" i="3"/>
  <c r="BI73" i="3" s="1"/>
  <c r="AE73" i="3" s="1"/>
  <c r="AO73" i="3"/>
  <c r="BH73" i="3" s="1"/>
  <c r="AD73" i="3" s="1"/>
  <c r="AL73" i="3"/>
  <c r="AK73" i="3"/>
  <c r="AJ73" i="3"/>
  <c r="AH73" i="3"/>
  <c r="AG73" i="3"/>
  <c r="AF73" i="3"/>
  <c r="AC73" i="3"/>
  <c r="AB73" i="3"/>
  <c r="Z73" i="3"/>
  <c r="H73" i="3"/>
  <c r="H62" i="3" s="1"/>
  <c r="BJ71" i="3"/>
  <c r="BF71" i="3"/>
  <c r="BD71" i="3"/>
  <c r="AP71" i="3"/>
  <c r="BI71" i="3" s="1"/>
  <c r="AE71" i="3" s="1"/>
  <c r="AO71" i="3"/>
  <c r="BH71" i="3" s="1"/>
  <c r="AD71" i="3" s="1"/>
  <c r="AL71" i="3"/>
  <c r="AK71" i="3"/>
  <c r="AJ71" i="3"/>
  <c r="AH71" i="3"/>
  <c r="AG71" i="3"/>
  <c r="AF71" i="3"/>
  <c r="AC71" i="3"/>
  <c r="AB71" i="3"/>
  <c r="Z71" i="3"/>
  <c r="H71" i="3"/>
  <c r="BJ69" i="3"/>
  <c r="BI69" i="3"/>
  <c r="AE69" i="3" s="1"/>
  <c r="BF69" i="3"/>
  <c r="BD69" i="3"/>
  <c r="AP69" i="3"/>
  <c r="AX69" i="3" s="1"/>
  <c r="AO69" i="3"/>
  <c r="BH69" i="3" s="1"/>
  <c r="AD69" i="3" s="1"/>
  <c r="AL69" i="3"/>
  <c r="AK69" i="3"/>
  <c r="AJ69" i="3"/>
  <c r="AH69" i="3"/>
  <c r="AG69" i="3"/>
  <c r="AF69" i="3"/>
  <c r="AC69" i="3"/>
  <c r="AB69" i="3"/>
  <c r="Z69" i="3"/>
  <c r="H69" i="3"/>
  <c r="BJ67" i="3"/>
  <c r="BI67" i="3"/>
  <c r="AE67" i="3" s="1"/>
  <c r="BH67" i="3"/>
  <c r="AD67" i="3" s="1"/>
  <c r="BF67" i="3"/>
  <c r="BD67" i="3"/>
  <c r="AX67" i="3"/>
  <c r="AP67" i="3"/>
  <c r="AO67" i="3"/>
  <c r="AW67" i="3" s="1"/>
  <c r="AL67" i="3"/>
  <c r="AK67" i="3"/>
  <c r="AJ67" i="3"/>
  <c r="AH67" i="3"/>
  <c r="AG67" i="3"/>
  <c r="AF67" i="3"/>
  <c r="AC67" i="3"/>
  <c r="AB67" i="3"/>
  <c r="Z67" i="3"/>
  <c r="H67" i="3"/>
  <c r="BJ65" i="3"/>
  <c r="BI65" i="3"/>
  <c r="AE65" i="3" s="1"/>
  <c r="BH65" i="3"/>
  <c r="AD65" i="3" s="1"/>
  <c r="BF65" i="3"/>
  <c r="BD65" i="3"/>
  <c r="AW65" i="3"/>
  <c r="AV65" i="3" s="1"/>
  <c r="AP65" i="3"/>
  <c r="AX65" i="3" s="1"/>
  <c r="BC65" i="3" s="1"/>
  <c r="AO65" i="3"/>
  <c r="AL65" i="3"/>
  <c r="AK65" i="3"/>
  <c r="AJ65" i="3"/>
  <c r="AS62" i="3" s="1"/>
  <c r="AH65" i="3"/>
  <c r="AG65" i="3"/>
  <c r="AF65" i="3"/>
  <c r="AC65" i="3"/>
  <c r="AB65" i="3"/>
  <c r="Z65" i="3"/>
  <c r="H65" i="3"/>
  <c r="BJ63" i="3"/>
  <c r="BI63" i="3"/>
  <c r="AE63" i="3" s="1"/>
  <c r="BH63" i="3"/>
  <c r="AD63" i="3" s="1"/>
  <c r="BF63" i="3"/>
  <c r="BD63" i="3"/>
  <c r="AX63" i="3"/>
  <c r="AP63" i="3"/>
  <c r="AO63" i="3"/>
  <c r="AW63" i="3" s="1"/>
  <c r="AK63" i="3"/>
  <c r="AT62" i="3" s="1"/>
  <c r="AJ63" i="3"/>
  <c r="AH63" i="3"/>
  <c r="AG63" i="3"/>
  <c r="AF63" i="3"/>
  <c r="AC63" i="3"/>
  <c r="AB63" i="3"/>
  <c r="Z63" i="3"/>
  <c r="H63" i="3"/>
  <c r="AL63" i="3" s="1"/>
  <c r="BJ61" i="3"/>
  <c r="Z61" i="3" s="1"/>
  <c r="BI61" i="3"/>
  <c r="BF61" i="3"/>
  <c r="BD61" i="3"/>
  <c r="AP61" i="3"/>
  <c r="AX61" i="3" s="1"/>
  <c r="AO61" i="3"/>
  <c r="BH61" i="3" s="1"/>
  <c r="AL61" i="3"/>
  <c r="AK61" i="3"/>
  <c r="AJ61" i="3"/>
  <c r="AH61" i="3"/>
  <c r="AG61" i="3"/>
  <c r="AF61" i="3"/>
  <c r="AE61" i="3"/>
  <c r="AD61" i="3"/>
  <c r="AC61" i="3"/>
  <c r="AB61" i="3"/>
  <c r="H61" i="3"/>
  <c r="BJ59" i="3"/>
  <c r="BI59" i="3"/>
  <c r="AE59" i="3" s="1"/>
  <c r="BH59" i="3"/>
  <c r="AD59" i="3" s="1"/>
  <c r="BF59" i="3"/>
  <c r="BD59" i="3"/>
  <c r="AX59" i="3"/>
  <c r="AP59" i="3"/>
  <c r="AO59" i="3"/>
  <c r="AW59" i="3" s="1"/>
  <c r="AL59" i="3"/>
  <c r="AU55" i="3" s="1"/>
  <c r="AK59" i="3"/>
  <c r="AJ59" i="3"/>
  <c r="AS55" i="3" s="1"/>
  <c r="AH59" i="3"/>
  <c r="AG59" i="3"/>
  <c r="AF59" i="3"/>
  <c r="AC59" i="3"/>
  <c r="AB59" i="3"/>
  <c r="Z59" i="3"/>
  <c r="H59" i="3"/>
  <c r="BJ56" i="3"/>
  <c r="BI56" i="3"/>
  <c r="AE56" i="3" s="1"/>
  <c r="BH56" i="3"/>
  <c r="AD56" i="3" s="1"/>
  <c r="BF56" i="3"/>
  <c r="BD56" i="3"/>
  <c r="AW56" i="3"/>
  <c r="AP56" i="3"/>
  <c r="AX56" i="3" s="1"/>
  <c r="AO56" i="3"/>
  <c r="AL56" i="3"/>
  <c r="AK56" i="3"/>
  <c r="AT55" i="3" s="1"/>
  <c r="AJ56" i="3"/>
  <c r="AH56" i="3"/>
  <c r="AG56" i="3"/>
  <c r="AF56" i="3"/>
  <c r="AC56" i="3"/>
  <c r="AB56" i="3"/>
  <c r="Z56" i="3"/>
  <c r="H56" i="3"/>
  <c r="H55" i="3"/>
  <c r="BJ53" i="3"/>
  <c r="BF53" i="3"/>
  <c r="BD53" i="3"/>
  <c r="AP53" i="3"/>
  <c r="BI53" i="3" s="1"/>
  <c r="AE53" i="3" s="1"/>
  <c r="AO53" i="3"/>
  <c r="BH53" i="3" s="1"/>
  <c r="AD53" i="3" s="1"/>
  <c r="AL53" i="3"/>
  <c r="AK53" i="3"/>
  <c r="AJ53" i="3"/>
  <c r="AH53" i="3"/>
  <c r="AG53" i="3"/>
  <c r="AF53" i="3"/>
  <c r="AC53" i="3"/>
  <c r="AB53" i="3"/>
  <c r="Z53" i="3"/>
  <c r="H53" i="3"/>
  <c r="H38" i="3" s="1"/>
  <c r="BJ50" i="3"/>
  <c r="BI50" i="3"/>
  <c r="AE50" i="3" s="1"/>
  <c r="BF50" i="3"/>
  <c r="BD50" i="3"/>
  <c r="AP50" i="3"/>
  <c r="AX50" i="3" s="1"/>
  <c r="AO50" i="3"/>
  <c r="BH50" i="3" s="1"/>
  <c r="AD50" i="3" s="1"/>
  <c r="AL50" i="3"/>
  <c r="AK50" i="3"/>
  <c r="AJ50" i="3"/>
  <c r="AH50" i="3"/>
  <c r="AG50" i="3"/>
  <c r="AF50" i="3"/>
  <c r="AC50" i="3"/>
  <c r="AB50" i="3"/>
  <c r="Z50" i="3"/>
  <c r="H50" i="3"/>
  <c r="BJ47" i="3"/>
  <c r="BI47" i="3"/>
  <c r="AE47" i="3" s="1"/>
  <c r="BH47" i="3"/>
  <c r="AD47" i="3" s="1"/>
  <c r="BF47" i="3"/>
  <c r="BD47" i="3"/>
  <c r="AX47" i="3"/>
  <c r="AP47" i="3"/>
  <c r="AO47" i="3"/>
  <c r="AW47" i="3" s="1"/>
  <c r="AL47" i="3"/>
  <c r="AK47" i="3"/>
  <c r="AJ47" i="3"/>
  <c r="AH47" i="3"/>
  <c r="AG47" i="3"/>
  <c r="AF47" i="3"/>
  <c r="AC47" i="3"/>
  <c r="AB47" i="3"/>
  <c r="Z47" i="3"/>
  <c r="H47" i="3"/>
  <c r="BJ44" i="3"/>
  <c r="BI44" i="3"/>
  <c r="AE44" i="3" s="1"/>
  <c r="BH44" i="3"/>
  <c r="AD44" i="3" s="1"/>
  <c r="BF44" i="3"/>
  <c r="BD44" i="3"/>
  <c r="AW44" i="3"/>
  <c r="BC44" i="3" s="1"/>
  <c r="AP44" i="3"/>
  <c r="AX44" i="3" s="1"/>
  <c r="AO44" i="3"/>
  <c r="AL44" i="3"/>
  <c r="AK44" i="3"/>
  <c r="AJ44" i="3"/>
  <c r="AH44" i="3"/>
  <c r="AG44" i="3"/>
  <c r="AF44" i="3"/>
  <c r="AC44" i="3"/>
  <c r="AB44" i="3"/>
  <c r="Z44" i="3"/>
  <c r="H44" i="3"/>
  <c r="BJ42" i="3"/>
  <c r="BI42" i="3"/>
  <c r="AE42" i="3" s="1"/>
  <c r="BH42" i="3"/>
  <c r="AD42" i="3" s="1"/>
  <c r="BF42" i="3"/>
  <c r="BD42" i="3"/>
  <c r="AX42" i="3"/>
  <c r="AP42" i="3"/>
  <c r="AO42" i="3"/>
  <c r="AW42" i="3" s="1"/>
  <c r="AK42" i="3"/>
  <c r="AT38" i="3" s="1"/>
  <c r="AJ42" i="3"/>
  <c r="AH42" i="3"/>
  <c r="AG42" i="3"/>
  <c r="AF42" i="3"/>
  <c r="AC42" i="3"/>
  <c r="AB42" i="3"/>
  <c r="Z42" i="3"/>
  <c r="H42" i="3"/>
  <c r="AL42" i="3" s="1"/>
  <c r="BJ39" i="3"/>
  <c r="BI39" i="3"/>
  <c r="BH39" i="3"/>
  <c r="AD39" i="3" s="1"/>
  <c r="BF39" i="3"/>
  <c r="BD39" i="3"/>
  <c r="AW39" i="3"/>
  <c r="AP39" i="3"/>
  <c r="AX39" i="3" s="1"/>
  <c r="BC39" i="3" s="1"/>
  <c r="AO39" i="3"/>
  <c r="AK39" i="3"/>
  <c r="AJ39" i="3"/>
  <c r="AS38" i="3" s="1"/>
  <c r="AH39" i="3"/>
  <c r="AG39" i="3"/>
  <c r="AF39" i="3"/>
  <c r="AE39" i="3"/>
  <c r="AC39" i="3"/>
  <c r="AB39" i="3"/>
  <c r="Z39" i="3"/>
  <c r="H39" i="3"/>
  <c r="AL39" i="3" s="1"/>
  <c r="BJ37" i="3"/>
  <c r="Z37" i="3" s="1"/>
  <c r="BI37" i="3"/>
  <c r="BH37" i="3"/>
  <c r="BF37" i="3"/>
  <c r="BD37" i="3"/>
  <c r="AX37" i="3"/>
  <c r="AP37" i="3"/>
  <c r="AO37" i="3"/>
  <c r="AW37" i="3" s="1"/>
  <c r="AL37" i="3"/>
  <c r="AK37" i="3"/>
  <c r="AJ37" i="3"/>
  <c r="AH37" i="3"/>
  <c r="AG37" i="3"/>
  <c r="AF37" i="3"/>
  <c r="AE37" i="3"/>
  <c r="AD37" i="3"/>
  <c r="AC37" i="3"/>
  <c r="AB37" i="3"/>
  <c r="H37" i="3"/>
  <c r="BJ35" i="3"/>
  <c r="BI35" i="3"/>
  <c r="AE35" i="3" s="1"/>
  <c r="BH35" i="3"/>
  <c r="AD35" i="3" s="1"/>
  <c r="BF35" i="3"/>
  <c r="BD35" i="3"/>
  <c r="AW35" i="3"/>
  <c r="BC35" i="3" s="1"/>
  <c r="AP35" i="3"/>
  <c r="AX35" i="3" s="1"/>
  <c r="AO35" i="3"/>
  <c r="AL35" i="3"/>
  <c r="AK35" i="3"/>
  <c r="AJ35" i="3"/>
  <c r="AH35" i="3"/>
  <c r="AG35" i="3"/>
  <c r="AF35" i="3"/>
  <c r="AC35" i="3"/>
  <c r="AB35" i="3"/>
  <c r="Z35" i="3"/>
  <c r="H35" i="3"/>
  <c r="BJ32" i="3"/>
  <c r="BI32" i="3"/>
  <c r="AE32" i="3" s="1"/>
  <c r="BH32" i="3"/>
  <c r="AD32" i="3" s="1"/>
  <c r="BF32" i="3"/>
  <c r="BD32" i="3"/>
  <c r="AX32" i="3"/>
  <c r="AP32" i="3"/>
  <c r="AO32" i="3"/>
  <c r="AW32" i="3" s="1"/>
  <c r="AK32" i="3"/>
  <c r="AT22" i="3" s="1"/>
  <c r="AJ32" i="3"/>
  <c r="AH32" i="3"/>
  <c r="AG32" i="3"/>
  <c r="AF32" i="3"/>
  <c r="AC32" i="3"/>
  <c r="AB32" i="3"/>
  <c r="Z32" i="3"/>
  <c r="H32" i="3"/>
  <c r="AL32" i="3" s="1"/>
  <c r="BJ29" i="3"/>
  <c r="BI29" i="3"/>
  <c r="BH29" i="3"/>
  <c r="AD29" i="3" s="1"/>
  <c r="BF29" i="3"/>
  <c r="BD29" i="3"/>
  <c r="AW29" i="3"/>
  <c r="AP29" i="3"/>
  <c r="AX29" i="3" s="1"/>
  <c r="BC29" i="3" s="1"/>
  <c r="AO29" i="3"/>
  <c r="AK29" i="3"/>
  <c r="AJ29" i="3"/>
  <c r="AS22" i="3" s="1"/>
  <c r="AH29" i="3"/>
  <c r="AG29" i="3"/>
  <c r="AF29" i="3"/>
  <c r="AE29" i="3"/>
  <c r="AC29" i="3"/>
  <c r="AB29" i="3"/>
  <c r="Z29" i="3"/>
  <c r="H29" i="3"/>
  <c r="AL29" i="3" s="1"/>
  <c r="BJ26" i="3"/>
  <c r="BH26" i="3"/>
  <c r="BF26" i="3"/>
  <c r="BD26" i="3"/>
  <c r="AX26" i="3"/>
  <c r="AP26" i="3"/>
  <c r="BI26" i="3" s="1"/>
  <c r="AE26" i="3" s="1"/>
  <c r="AO26" i="3"/>
  <c r="AW26" i="3" s="1"/>
  <c r="AK26" i="3"/>
  <c r="AJ26" i="3"/>
  <c r="AH26" i="3"/>
  <c r="AG26" i="3"/>
  <c r="AF26" i="3"/>
  <c r="AD26" i="3"/>
  <c r="AC26" i="3"/>
  <c r="AB26" i="3"/>
  <c r="Z26" i="3"/>
  <c r="H26" i="3"/>
  <c r="AL26" i="3" s="1"/>
  <c r="BJ23" i="3"/>
  <c r="BF23" i="3"/>
  <c r="BD23" i="3"/>
  <c r="AX23" i="3"/>
  <c r="AW23" i="3"/>
  <c r="AV23" i="3" s="1"/>
  <c r="AP23" i="3"/>
  <c r="BI23" i="3" s="1"/>
  <c r="AE23" i="3" s="1"/>
  <c r="AO23" i="3"/>
  <c r="BH23" i="3" s="1"/>
  <c r="AD23" i="3" s="1"/>
  <c r="AL23" i="3"/>
  <c r="AK23" i="3"/>
  <c r="AJ23" i="3"/>
  <c r="AH23" i="3"/>
  <c r="AG23" i="3"/>
  <c r="AF23" i="3"/>
  <c r="AC23" i="3"/>
  <c r="AB23" i="3"/>
  <c r="Z23" i="3"/>
  <c r="H23" i="3"/>
  <c r="H22" i="3" s="1"/>
  <c r="BJ20" i="3"/>
  <c r="BI20" i="3"/>
  <c r="AE20" i="3" s="1"/>
  <c r="BH20" i="3"/>
  <c r="AD20" i="3" s="1"/>
  <c r="BF20" i="3"/>
  <c r="BD20" i="3"/>
  <c r="AX20" i="3"/>
  <c r="AP20" i="3"/>
  <c r="AO20" i="3"/>
  <c r="AW20" i="3" s="1"/>
  <c r="AK20" i="3"/>
  <c r="AT16" i="3" s="1"/>
  <c r="AJ20" i="3"/>
  <c r="AS16" i="3" s="1"/>
  <c r="AH20" i="3"/>
  <c r="AG20" i="3"/>
  <c r="AF20" i="3"/>
  <c r="AC20" i="3"/>
  <c r="AB20" i="3"/>
  <c r="Z20" i="3"/>
  <c r="H20" i="3"/>
  <c r="AL20" i="3" s="1"/>
  <c r="BJ17" i="3"/>
  <c r="BI17" i="3"/>
  <c r="BH17" i="3"/>
  <c r="AD17" i="3" s="1"/>
  <c r="BF17" i="3"/>
  <c r="BD17" i="3"/>
  <c r="AP17" i="3"/>
  <c r="AX17" i="3" s="1"/>
  <c r="AO17" i="3"/>
  <c r="AW17" i="3" s="1"/>
  <c r="AK17" i="3"/>
  <c r="AJ17" i="3"/>
  <c r="AH17" i="3"/>
  <c r="AG17" i="3"/>
  <c r="AF17" i="3"/>
  <c r="AE17" i="3"/>
  <c r="AC17" i="3"/>
  <c r="AB17" i="3"/>
  <c r="Z17" i="3"/>
  <c r="H17" i="3"/>
  <c r="AL17" i="3" s="1"/>
  <c r="H16" i="3"/>
  <c r="BJ14" i="3"/>
  <c r="BF14" i="3"/>
  <c r="BD14" i="3"/>
  <c r="AX14" i="3"/>
  <c r="AP14" i="3"/>
  <c r="BI14" i="3" s="1"/>
  <c r="AC14" i="3" s="1"/>
  <c r="AO14" i="3"/>
  <c r="AW14" i="3" s="1"/>
  <c r="AK14" i="3"/>
  <c r="C28" i="1" s="1"/>
  <c r="F28" i="1" s="1"/>
  <c r="AJ14" i="3"/>
  <c r="AS13" i="3" s="1"/>
  <c r="AH14" i="3"/>
  <c r="C20" i="1" s="1"/>
  <c r="AG14" i="3"/>
  <c r="AF14" i="3"/>
  <c r="AE14" i="3"/>
  <c r="AD14" i="3"/>
  <c r="Z14" i="3"/>
  <c r="H14" i="3"/>
  <c r="H13" i="3" s="1"/>
  <c r="AU1" i="3"/>
  <c r="AT1" i="3"/>
  <c r="AS1" i="3"/>
  <c r="I38" i="2"/>
  <c r="I37" i="2"/>
  <c r="I36" i="2"/>
  <c r="I35" i="2"/>
  <c r="I26" i="2"/>
  <c r="I19" i="1" s="1"/>
  <c r="I25" i="2"/>
  <c r="I24" i="2"/>
  <c r="I23" i="2"/>
  <c r="I16" i="1" s="1"/>
  <c r="I22" i="2"/>
  <c r="I15" i="1" s="1"/>
  <c r="I17" i="2"/>
  <c r="F16" i="1" s="1"/>
  <c r="I16" i="2"/>
  <c r="I15" i="2"/>
  <c r="I18" i="2" s="1"/>
  <c r="I10" i="2"/>
  <c r="F10" i="2"/>
  <c r="C10" i="2"/>
  <c r="F8" i="2"/>
  <c r="C8" i="2"/>
  <c r="F6" i="2"/>
  <c r="C6" i="2"/>
  <c r="F4" i="2"/>
  <c r="C4" i="2"/>
  <c r="F2" i="2"/>
  <c r="C2" i="2"/>
  <c r="C19" i="1"/>
  <c r="I18" i="1"/>
  <c r="I17" i="1"/>
  <c r="F15" i="1"/>
  <c r="F14" i="1"/>
  <c r="I10" i="1"/>
  <c r="F10" i="1"/>
  <c r="C10" i="1"/>
  <c r="F8" i="1"/>
  <c r="C8" i="1"/>
  <c r="F6" i="1"/>
  <c r="C6" i="1"/>
  <c r="F4" i="1"/>
  <c r="C4" i="1"/>
  <c r="F2" i="1"/>
  <c r="C2" i="1"/>
  <c r="AL14" i="3" l="1"/>
  <c r="AU13" i="3" s="1"/>
  <c r="I39" i="2"/>
  <c r="I24" i="1" s="1"/>
  <c r="C18" i="1"/>
  <c r="BH14" i="3"/>
  <c r="AB14" i="3" s="1"/>
  <c r="BC87" i="3"/>
  <c r="AV87" i="3"/>
  <c r="AU16" i="3"/>
  <c r="BC37" i="3"/>
  <c r="AV37" i="3"/>
  <c r="BC93" i="3"/>
  <c r="AV93" i="3"/>
  <c r="AU116" i="3"/>
  <c r="BC14" i="3"/>
  <c r="AV14" i="3"/>
  <c r="AU22" i="3"/>
  <c r="BC56" i="3"/>
  <c r="BC20" i="3"/>
  <c r="AV20" i="3"/>
  <c r="BC47" i="3"/>
  <c r="AV47" i="3"/>
  <c r="BC63" i="3"/>
  <c r="AV63" i="3"/>
  <c r="BC67" i="3"/>
  <c r="AV67" i="3"/>
  <c r="F22" i="1"/>
  <c r="AV99" i="3"/>
  <c r="AV83" i="3"/>
  <c r="BC83" i="3"/>
  <c r="C21" i="1"/>
  <c r="BC59" i="3"/>
  <c r="AV59" i="3"/>
  <c r="BC117" i="3"/>
  <c r="AV117" i="3"/>
  <c r="BC32" i="3"/>
  <c r="AV32" i="3"/>
  <c r="C14" i="1"/>
  <c r="AV29" i="3"/>
  <c r="AU38" i="3"/>
  <c r="AV39" i="3"/>
  <c r="AU62" i="3"/>
  <c r="BC75" i="3"/>
  <c r="AV75" i="3"/>
  <c r="AV85" i="3"/>
  <c r="AU94" i="3"/>
  <c r="BC42" i="3"/>
  <c r="AV42" i="3"/>
  <c r="AV26" i="3"/>
  <c r="BC26" i="3"/>
  <c r="BC119" i="3"/>
  <c r="AV119" i="3"/>
  <c r="AV17" i="3"/>
  <c r="BC17" i="3"/>
  <c r="BC97" i="3"/>
  <c r="AV97" i="3"/>
  <c r="BC101" i="3"/>
  <c r="AV101" i="3"/>
  <c r="AW133" i="3"/>
  <c r="AX109" i="3"/>
  <c r="AW53" i="3"/>
  <c r="AW71" i="3"/>
  <c r="AX73" i="3"/>
  <c r="AW105" i="3"/>
  <c r="AX107" i="3"/>
  <c r="AW115" i="3"/>
  <c r="AW124" i="3"/>
  <c r="AX127" i="3"/>
  <c r="AX133" i="3"/>
  <c r="AT13" i="3"/>
  <c r="AW109" i="3"/>
  <c r="AW127" i="3"/>
  <c r="AW50" i="3"/>
  <c r="AX53" i="3"/>
  <c r="AW61" i="3"/>
  <c r="AW69" i="3"/>
  <c r="AX71" i="3"/>
  <c r="AW103" i="3"/>
  <c r="AX105" i="3"/>
  <c r="AX115" i="3"/>
  <c r="AW121" i="3"/>
  <c r="AX124" i="3"/>
  <c r="AX77" i="3"/>
  <c r="AV77" i="3" s="1"/>
  <c r="AW129" i="3"/>
  <c r="AW73" i="3"/>
  <c r="AV35" i="3"/>
  <c r="AV44" i="3"/>
  <c r="AV56" i="3"/>
  <c r="BC23" i="3"/>
  <c r="C27" i="1"/>
  <c r="BH75" i="3"/>
  <c r="AD75" i="3" s="1"/>
  <c r="C16" i="1" s="1"/>
  <c r="BI111" i="3"/>
  <c r="AC111" i="3" s="1"/>
  <c r="C15" i="1" s="1"/>
  <c r="BI130" i="3"/>
  <c r="H116" i="3"/>
  <c r="H12" i="3" s="1"/>
  <c r="BC131" i="3"/>
  <c r="AW107" i="3"/>
  <c r="BI75" i="3"/>
  <c r="AE75" i="3" s="1"/>
  <c r="C17" i="1" s="1"/>
  <c r="BI129" i="3"/>
  <c r="H132" i="3"/>
  <c r="BC81" i="3"/>
  <c r="BC109" i="3" l="1"/>
  <c r="AV109" i="3"/>
  <c r="BC133" i="3"/>
  <c r="AV133" i="3"/>
  <c r="AV107" i="3"/>
  <c r="BC107" i="3"/>
  <c r="BC77" i="3"/>
  <c r="AV129" i="3"/>
  <c r="BC129" i="3"/>
  <c r="BC121" i="3"/>
  <c r="AV121" i="3"/>
  <c r="BC115" i="3"/>
  <c r="AV115" i="3"/>
  <c r="BC61" i="3"/>
  <c r="AV61" i="3"/>
  <c r="H135" i="3"/>
  <c r="BC105" i="3"/>
  <c r="AV105" i="3"/>
  <c r="AV71" i="3"/>
  <c r="BC71" i="3"/>
  <c r="BC127" i="3"/>
  <c r="AV127" i="3"/>
  <c r="BC124" i="3"/>
  <c r="AV124" i="3"/>
  <c r="BC103" i="3"/>
  <c r="AV103" i="3"/>
  <c r="BC69" i="3"/>
  <c r="AV69" i="3"/>
  <c r="AV73" i="3"/>
  <c r="BC73" i="3"/>
  <c r="BC50" i="3"/>
  <c r="AV50" i="3"/>
  <c r="BC53" i="3"/>
  <c r="AV53" i="3"/>
  <c r="C22" i="1"/>
  <c r="I27" i="2" l="1"/>
  <c r="F29" i="2" s="1"/>
  <c r="I14" i="1"/>
  <c r="I22" i="1" s="1"/>
  <c r="C29" i="1" s="1"/>
  <c r="F29" i="1" l="1"/>
  <c r="I28" i="1"/>
  <c r="I29" i="1" l="1"/>
</calcChain>
</file>

<file path=xl/sharedStrings.xml><?xml version="1.0" encoding="utf-8"?>
<sst xmlns="http://schemas.openxmlformats.org/spreadsheetml/2006/main" count="1012" uniqueCount="347">
  <si>
    <t>Krycí list slepého rozpočtu</t>
  </si>
  <si>
    <t>Název stavby:</t>
  </si>
  <si>
    <t>Objednatel:</t>
  </si>
  <si>
    <t>IČO/DIČ:</t>
  </si>
  <si>
    <t/>
  </si>
  <si>
    <t>Druh stavby:</t>
  </si>
  <si>
    <t>Projektant:</t>
  </si>
  <si>
    <t>Lokalita:</t>
  </si>
  <si>
    <t>Zhotovitel:</t>
  </si>
  <si>
    <t>Začátek výstavby:</t>
  </si>
  <si>
    <t>Konec výstavby:</t>
  </si>
  <si>
    <t>Položek:</t>
  </si>
  <si>
    <t>JKSO:</t>
  </si>
  <si>
    <t>Zpracoval: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</si>
  <si>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</si>
  <si>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</si>
  <si>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</si>
  <si>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</si>
  <si>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</si>
  <si>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</si>
  <si>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</si>
  <si>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</si>
  <si>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</si>
  <si>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</si>
  <si>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Zařízení staveniště</t>
  </si>
  <si>
    <t>Montáž</t>
  </si>
  <si>
    <t>Mimostav. doprava</t>
  </si>
  <si>
    <t>PSV</t>
  </si>
  <si>
    <t>Územní vlivy</t>
  </si>
  <si>
    <t>Provozní vlivy</t>
  </si>
  <si>
    <t>"M"</t>
  </si>
  <si>
    <t>Ostatní</t>
  </si>
  <si>
    <t>NUS z rozpočtu</t>
  </si>
  <si>
    <t>Ostatní materiál</t>
  </si>
  <si>
    <t>Přesun hmot a sutí</t>
  </si>
  <si>
    <t>ZRN celkem</t>
  </si>
  <si>
    <t>DN celkem</t>
  </si>
  <si>
    <t>NUS celkem</t>
  </si>
  <si>
    <t>DN celkem z obj.</t>
  </si>
  <si>
    <t>NUS celkem z obj.</t>
  </si>
  <si>
    <t>VORN celkem</t>
  </si>
  <si>
    <t>VORN celkem z obj.</t>
  </si>
  <si>
    <t>Základ 0%</t>
  </si>
  <si>
    <t>Základ 12%</t>
  </si>
  <si>
    <t>DPH 12%</t>
  </si>
  <si>
    <t>Celkem bez DPH</t>
  </si>
  <si>
    <t>Základ 21%</t>
  </si>
  <si>
    <t>DPH 21%</t>
  </si>
  <si>
    <t>Celkem včetně DPH</t>
  </si>
  <si>
    <t>Projektant</t>
  </si>
  <si>
    <t>Objednatel</t>
  </si>
  <si>
    <t>Zhotovitel</t>
  </si>
  <si>
    <t>Datum, razítko a podpis</t>
  </si>
  <si>
    <t>Poznámka:</t>
  </si>
  <si>
    <t>Vedlejší a ostatní rozpočtové náklady</t>
  </si>
  <si>
    <t>Vedlejší rozpočtové náklady VRN</t>
  </si>
  <si>
    <t>Doplňkové náklady DN</t>
  </si>
  <si>
    <t>Kč</t>
  </si>
  <si>
    <t>%</t>
  </si>
  <si>
    <t>Základna</t>
  </si>
  <si>
    <t>Celkem DN</t>
  </si>
  <si>
    <t>Celkem NUS</t>
  </si>
  <si>
    <t>Celkem VRN</t>
  </si>
  <si>
    <t>Ostatní rozpočtové náklady ORN</t>
  </si>
  <si>
    <t>Ostatní rozpočtové náklady (ORN)</t>
  </si>
  <si>
    <t>Koordinační činnost dle SOD čl. 2. odst. 2.5.2</t>
  </si>
  <si>
    <t>Pojištění stavby dle sod, čl. 2, odst. 2.5.3</t>
  </si>
  <si>
    <t>Zpracování provozní PD dle SoD. čl. 2, odst. 2.5.4</t>
  </si>
  <si>
    <t>Vyhotového dokumentace skut. prov. dle SoD, čl. 2, od 2.5.5</t>
  </si>
  <si>
    <t>Celkem ORN</t>
  </si>
  <si>
    <t>Slepý stavební rozpočet</t>
  </si>
  <si>
    <t>Provizorní oprava zastřešení objektu Škroupovo náměstí č.p. 158, Česká Lípa</t>
  </si>
  <si>
    <t>Doba výstavby:</t>
  </si>
  <si>
    <t xml:space="preserve"> </t>
  </si>
  <si>
    <t> </t>
  </si>
  <si>
    <t>objekt</t>
  </si>
  <si>
    <t>11.03.2025</t>
  </si>
  <si>
    <t>Město Česká Lípa - Škroupovo náměstí</t>
  </si>
  <si>
    <t>Zpracováno dne:</t>
  </si>
  <si>
    <t>Č</t>
  </si>
  <si>
    <t>Kód</t>
  </si>
  <si>
    <t>Zkrácený popis / Varianta</t>
  </si>
  <si>
    <t>MJ</t>
  </si>
  <si>
    <t>Množství</t>
  </si>
  <si>
    <t>Cena/MJ</t>
  </si>
  <si>
    <t>Náklady (Kč)</t>
  </si>
  <si>
    <t>Cenová</t>
  </si>
  <si>
    <t>ISWORK</t>
  </si>
  <si>
    <t>GROUPCODE</t>
  </si>
  <si>
    <t>VATTAX</t>
  </si>
  <si>
    <t>Rozměry</t>
  </si>
  <si>
    <t>(Kč)</t>
  </si>
  <si>
    <t>Celkem</t>
  </si>
  <si>
    <t>soustava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</si>
  <si>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</si>
  <si>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</si>
  <si>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</si>
  <si>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</si>
  <si>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</si>
  <si>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</si>
  <si>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</si>
  <si>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</si>
  <si>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</si>
  <si>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MAT</t>
  </si>
  <si>
    <t>WORK</t>
  </si>
  <si>
    <t>CELK</t>
  </si>
  <si>
    <t>Nezařazeno</t>
  </si>
  <si>
    <t>42</t>
  </si>
  <si>
    <t>Vodorovné nosné konstrukce (pro inženýrské stavby)</t>
  </si>
  <si>
    <t>1</t>
  </si>
  <si>
    <t>R423134112R00</t>
  </si>
  <si>
    <t>Pomocný jeřáb pro osazení a demontáže dřevěných konstrukcí</t>
  </si>
  <si>
    <t>kpl</t>
  </si>
  <si>
    <t>vlastní</t>
  </si>
  <si>
    <t>42_</t>
  </si>
  <si>
    <t>_4_</t>
  </si>
  <si>
    <t>_</t>
  </si>
  <si>
    <t>711</t>
  </si>
  <si>
    <t>Izolace proti vodě</t>
  </si>
  <si>
    <t>2</t>
  </si>
  <si>
    <t>711131101RT1</t>
  </si>
  <si>
    <t>Provedení izolace proti vlhkosti na ploše vodorovné, asfaltovými pásy na sucho</t>
  </si>
  <si>
    <t>m2</t>
  </si>
  <si>
    <t>RTS II / 2024</t>
  </si>
  <si>
    <t>7</t>
  </si>
  <si>
    <t>711_</t>
  </si>
  <si>
    <t>_71_</t>
  </si>
  <si>
    <t>Varianta:</t>
  </si>
  <si>
    <t>1 vrstva - asfaltový pás ve specifikaci</t>
  </si>
  <si>
    <t>152</t>
  </si>
  <si>
    <t>3</t>
  </si>
  <si>
    <t>62852269</t>
  </si>
  <si>
    <t>Pás asfaltový modifikovaný, samolepicí</t>
  </si>
  <si>
    <t>152*1,1</t>
  </si>
  <si>
    <t>712</t>
  </si>
  <si>
    <t>Izolace střech (živičné krytiny)</t>
  </si>
  <si>
    <t>4</t>
  </si>
  <si>
    <t>712300832RT3</t>
  </si>
  <si>
    <t>Odstranění povlakové krytiny střech do 10° , 2 vrstvy</t>
  </si>
  <si>
    <t>712_</t>
  </si>
  <si>
    <t>z ploch jednotlivě nad 20 m2</t>
  </si>
  <si>
    <t>152-21</t>
  </si>
  <si>
    <t>5</t>
  </si>
  <si>
    <t>712600832RT3</t>
  </si>
  <si>
    <t>Odstranění povlakové krytiny střech nad 30°, 2 vrstvy</t>
  </si>
  <si>
    <t>2,5*8,5</t>
  </si>
  <si>
    <t>6</t>
  </si>
  <si>
    <t>712341559RT1</t>
  </si>
  <si>
    <t>Provedení povlakové krytiny střech do 10°, asfaltovými pásy, přitavení celoplošně</t>
  </si>
  <si>
    <t>712641559RT1</t>
  </si>
  <si>
    <t>Provedení povlakové krytiny střech nad 30°, asfaltovými pásy, přitavení celoplošně</t>
  </si>
  <si>
    <t>21</t>
  </si>
  <si>
    <t>8</t>
  </si>
  <si>
    <t>628522501</t>
  </si>
  <si>
    <t>Pás asfaltový modifikovaný dekor natavovací</t>
  </si>
  <si>
    <t>9</t>
  </si>
  <si>
    <t>998712102R00</t>
  </si>
  <si>
    <t>Přesun hmot pro povlakové krytiny, výšky do 12 m</t>
  </si>
  <si>
    <t>t</t>
  </si>
  <si>
    <t>762</t>
  </si>
  <si>
    <t>Konstrukce tesařské</t>
  </si>
  <si>
    <t>10</t>
  </si>
  <si>
    <t>762341811R00</t>
  </si>
  <si>
    <t>Demontáž bednění střech rovných z prken hrubých</t>
  </si>
  <si>
    <t>762_</t>
  </si>
  <si>
    <t>_76_</t>
  </si>
  <si>
    <t>demontáž stávající střecha + mansarda</t>
  </si>
  <si>
    <t>6*1</t>
  </si>
  <si>
    <t>demontáž u zdiva</t>
  </si>
  <si>
    <t>11</t>
  </si>
  <si>
    <t>R762331812R00</t>
  </si>
  <si>
    <t>Demontáž stávajících dřevěných vazníků, krokví včetně odvozu na skládku a skládkovné</t>
  </si>
  <si>
    <t>12</t>
  </si>
  <si>
    <t>762341610RT2</t>
  </si>
  <si>
    <t>Montáž bednění okapových říms z prken hrubých</t>
  </si>
  <si>
    <t>včetně dodávky řeziva prkna tl. 24 mm</t>
  </si>
  <si>
    <t>13</t>
  </si>
  <si>
    <t>762341210RT2</t>
  </si>
  <si>
    <t>Montáž bednění střech rovných, prkna hrubá na sraz</t>
  </si>
  <si>
    <t>včetně dodávky prken tloušťky 28 mm</t>
  </si>
  <si>
    <t>dodávka a montáž bednění střechy prkna hrubá tl. 28mm</t>
  </si>
  <si>
    <t>14</t>
  </si>
  <si>
    <t>762341310RT2</t>
  </si>
  <si>
    <t>Montáž bednění střech oblouk., prkna hrubá na sraz</t>
  </si>
  <si>
    <t>včetně dodávky řeziva, prkna tl. 28 mm</t>
  </si>
  <si>
    <t>mansarda</t>
  </si>
  <si>
    <t>15</t>
  </si>
  <si>
    <t>762911121R00</t>
  </si>
  <si>
    <t>Impregnace řeziva tlakovakuová např. Bochemit QB</t>
  </si>
  <si>
    <t>m3</t>
  </si>
  <si>
    <t>4,3</t>
  </si>
  <si>
    <t>763</t>
  </si>
  <si>
    <t>Dřevostavby</t>
  </si>
  <si>
    <t>16</t>
  </si>
  <si>
    <t>R763100001RAB</t>
  </si>
  <si>
    <t>Montáž a výroba střešních vazníků, včetně spojovacích prvků, impregnace, dle výrobní dokumentace</t>
  </si>
  <si>
    <t>763_</t>
  </si>
  <si>
    <t>dodávka, montžá, impregnce, dopravné, spojovací materiál, zavětrování</t>
  </si>
  <si>
    <t>kompletní dodávka dle výrobní dokumentace</t>
  </si>
  <si>
    <t>17</t>
  </si>
  <si>
    <t>RR763100101RAA</t>
  </si>
  <si>
    <t>Konstrukce mansardy - dřevo, bednění a ostatní přípomoce</t>
  </si>
  <si>
    <t>18</t>
  </si>
  <si>
    <t>998762102R00</t>
  </si>
  <si>
    <t>Přesun hmot pro tesařské konstrukce, výšky do 12 m</t>
  </si>
  <si>
    <t>764</t>
  </si>
  <si>
    <t>Konstrukce klempířské</t>
  </si>
  <si>
    <t>19</t>
  </si>
  <si>
    <t>764430840R00</t>
  </si>
  <si>
    <t>Demontáž oplechování zdí,rš od 330 do 500 mm</t>
  </si>
  <si>
    <t>m</t>
  </si>
  <si>
    <t>764_</t>
  </si>
  <si>
    <t>20</t>
  </si>
  <si>
    <t>764332890R00</t>
  </si>
  <si>
    <t>Demontáž lemování zdí z dílů, rš 1000 mm, do 30°</t>
  </si>
  <si>
    <t>demontáž oplechování na zdivu</t>
  </si>
  <si>
    <t>764351836R00</t>
  </si>
  <si>
    <t>Demontáž háků, sklon do 30°</t>
  </si>
  <si>
    <t>kus</t>
  </si>
  <si>
    <t>8+6</t>
  </si>
  <si>
    <t>22</t>
  </si>
  <si>
    <t>764352810R00</t>
  </si>
  <si>
    <t>Demontáž žlabů půlkruh. rovných, rš 330 mm, do 30°</t>
  </si>
  <si>
    <t>8,5+6</t>
  </si>
  <si>
    <t>23</t>
  </si>
  <si>
    <t>764323820R00</t>
  </si>
  <si>
    <t>Demontáž oplechování okapů, živičná krytina, rš 250 mm</t>
  </si>
  <si>
    <t>8,5</t>
  </si>
  <si>
    <t>demontáž okapního pelchu</t>
  </si>
  <si>
    <t>24</t>
  </si>
  <si>
    <t>764391821R00</t>
  </si>
  <si>
    <t>Demontáž závětrné lišty, rš 250 a 330 mm, do 45°</t>
  </si>
  <si>
    <t>32</t>
  </si>
  <si>
    <t>25</t>
  </si>
  <si>
    <t>764323291R00</t>
  </si>
  <si>
    <t>Montáž oplechování okapů Pz, živičná krytina</t>
  </si>
  <si>
    <t>26</t>
  </si>
  <si>
    <t>R55342911</t>
  </si>
  <si>
    <t>Okapní plech z Pz plechu RŠ 250 mm</t>
  </si>
  <si>
    <t>27</t>
  </si>
  <si>
    <t>764814533R00</t>
  </si>
  <si>
    <t>Závětrná lišta z lakovaného Pz plechu, rš 333 mm</t>
  </si>
  <si>
    <t>33</t>
  </si>
  <si>
    <t>dodávka a montáž</t>
  </si>
  <si>
    <t>28</t>
  </si>
  <si>
    <t>764321220R00</t>
  </si>
  <si>
    <t>Oplechování Pz říms pod nadříms. žlabem, rš 500 mm</t>
  </si>
  <si>
    <t>oplechování u zdiva</t>
  </si>
  <si>
    <t>29</t>
  </si>
  <si>
    <t>764321260R00</t>
  </si>
  <si>
    <t>Oplechování Pz říms pod nadříms. žlabem, rš 1000mm</t>
  </si>
  <si>
    <t>oplechování části nad zdivem s napojením na lepenku</t>
  </si>
  <si>
    <t>30</t>
  </si>
  <si>
    <t>764352294R00</t>
  </si>
  <si>
    <t>Montáž čel žlabů Pz půlkruhových</t>
  </si>
  <si>
    <t>31</t>
  </si>
  <si>
    <t>764352010RAB</t>
  </si>
  <si>
    <t>Žlab z Pz plechu podokapní půlkruhový - komplet dodávka a montáž</t>
  </si>
  <si>
    <t>rš 330 mm</t>
  </si>
  <si>
    <t>včetně kotlíku</t>
  </si>
  <si>
    <t>u zdiva atyp</t>
  </si>
  <si>
    <t>764352292R00</t>
  </si>
  <si>
    <t>Montáž háků Pz půlkruhových</t>
  </si>
  <si>
    <t>včetně dodávky</t>
  </si>
  <si>
    <t>998764102R00</t>
  </si>
  <si>
    <t>Přesun hmot pro klempířské konstr., výšky do 12 m</t>
  </si>
  <si>
    <t>94</t>
  </si>
  <si>
    <t>Lešení a stavební výtahy</t>
  </si>
  <si>
    <t>34</t>
  </si>
  <si>
    <t>941941032R00</t>
  </si>
  <si>
    <t>Montáž lešení lehkého řadového s podlahami, š. do 1 m, výšky do 30 m</t>
  </si>
  <si>
    <t>94_</t>
  </si>
  <si>
    <t>_9_</t>
  </si>
  <si>
    <t>10*15*2</t>
  </si>
  <si>
    <t>35</t>
  </si>
  <si>
    <t>941941292R00</t>
  </si>
  <si>
    <t>Příplatek za každý měsíc použití lešení k pol.1042</t>
  </si>
  <si>
    <t>300</t>
  </si>
  <si>
    <t>36</t>
  </si>
  <si>
    <t>941941831R00</t>
  </si>
  <si>
    <t>Demontáž lešení lehkého řadového s podlahami, š. do 1 m, výšky do 10 m</t>
  </si>
  <si>
    <t>37</t>
  </si>
  <si>
    <t>RR941941502R00</t>
  </si>
  <si>
    <t>Doprava lešení pronaj-dovoz a odvoz sady</t>
  </si>
  <si>
    <t>38</t>
  </si>
  <si>
    <t>944944011R00</t>
  </si>
  <si>
    <t>Montáž ochranné sítě z umělých vláken</t>
  </si>
  <si>
    <t>39</t>
  </si>
  <si>
    <t>944944081R00</t>
  </si>
  <si>
    <t>Demontáž ochranné sítě z umělých vláken</t>
  </si>
  <si>
    <t>40</t>
  </si>
  <si>
    <t>943955022R00</t>
  </si>
  <si>
    <t>Montáž lešeňové podlahy s příčníky a podél.,H 20 m - vnitřní lešení</t>
  </si>
  <si>
    <t>8,5*6*3</t>
  </si>
  <si>
    <t>lešení pomocné pro demontáže a montáže vazníků</t>
  </si>
  <si>
    <t>41</t>
  </si>
  <si>
    <t>943955822R00</t>
  </si>
  <si>
    <t>Demontáž leš. podlahy s příč. a podélníky, H 20 m - vnitřní lešení</t>
  </si>
  <si>
    <t>153</t>
  </si>
  <si>
    <t>R949941101R00</t>
  </si>
  <si>
    <t>pronájem, doprava a manipulace s plošinou</t>
  </si>
  <si>
    <t>položka bude aplikována v případě potřeby</t>
  </si>
  <si>
    <t>H99</t>
  </si>
  <si>
    <t>Ostatní přesuny hmot</t>
  </si>
  <si>
    <t>43</t>
  </si>
  <si>
    <t>998982123R00</t>
  </si>
  <si>
    <t>Přesun hmot, demolice jiným způsobem, v. do 21 m</t>
  </si>
  <si>
    <t>H99_</t>
  </si>
  <si>
    <t>S</t>
  </si>
  <si>
    <t>Přesuny sutí</t>
  </si>
  <si>
    <t>44</t>
  </si>
  <si>
    <t>979011211R00</t>
  </si>
  <si>
    <t>Svislá doprava suti a vybour. hmot za 2.NP nošením</t>
  </si>
  <si>
    <t>S_</t>
  </si>
  <si>
    <t>nebo schozem</t>
  </si>
  <si>
    <t>45</t>
  </si>
  <si>
    <t>979011219R00</t>
  </si>
  <si>
    <t>Přípl.k svislé dopr.suti za každé další NP nošením</t>
  </si>
  <si>
    <t>5,99</t>
  </si>
  <si>
    <t>46</t>
  </si>
  <si>
    <t>979081111RT3</t>
  </si>
  <si>
    <t>Odvoz suti a vybour. hmot na skládku do 1 km</t>
  </si>
  <si>
    <t>kontejnerem 7 t</t>
  </si>
  <si>
    <t>47</t>
  </si>
  <si>
    <t>979081121RT3</t>
  </si>
  <si>
    <t>Příplatek k odvozu za každý další 1 km</t>
  </si>
  <si>
    <t>počet km bude rozpočítána v ceně - skládka zhotovitele</t>
  </si>
  <si>
    <t>48</t>
  </si>
  <si>
    <t>979086112R00</t>
  </si>
  <si>
    <t>Nakládání nebo překládání suti a vybouraných hmot</t>
  </si>
  <si>
    <t>49</t>
  </si>
  <si>
    <t>979990121R00</t>
  </si>
  <si>
    <t>Poplatek za uložení suti - asfaltové pásy, skupina odpadu 170302</t>
  </si>
  <si>
    <t>50</t>
  </si>
  <si>
    <t>979990161R00</t>
  </si>
  <si>
    <t>Poplatek za uložení - dřevo, skupina odpadu 170201</t>
  </si>
  <si>
    <t>51</t>
  </si>
  <si>
    <t>979951111R00</t>
  </si>
  <si>
    <t>Výkup kovů - železný šrot tl. do 4 mm</t>
  </si>
  <si>
    <t>M</t>
  </si>
  <si>
    <t>52</t>
  </si>
  <si>
    <t>R53301734</t>
  </si>
  <si>
    <t>Zajištění konstrukce při stavebních pracích</t>
  </si>
  <si>
    <t>0</t>
  </si>
  <si>
    <t>Z99999_</t>
  </si>
  <si>
    <t>_Z_</t>
  </si>
  <si>
    <t>Zařízení staveniště dle SoD čl. 2, odst. 2.5.1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</si>
</sst>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Calibri"/>
      <charset val="1"/>
    </font>
    <font>
      <sz val="18"/>
      <color rgb="FF000000"/>
      <name val="Arial"/>
      <charset val="238"/>
    </font>
    <font>
      <sz val="10"/>
      <color rgb="FF000000"/>
      <name val="Arial"/>
      <charset val="238"/>
    </font>
    <font>
      <b/>
      <sz val="10"/>
      <color rgb="FF000000"/>
      <name val="Arial"/>
      <charset val="238"/>
    </font>
    <font>
      <b/>
      <sz val="18"/>
      <color rgb="FF000000"/>
      <name val="Arial"/>
      <charset val="238"/>
    </font>
    <font>
      <b/>
      <sz val="20"/>
      <color rgb="FF000000"/>
      <name val="Arial"/>
      <charset val="238"/>
    </font>
    <font>
      <b/>
      <sz val="11"/>
      <color rgb="FF000000"/>
      <name val="Arial"/>
      <charset val="238"/>
    </font>
    <font>
      <b/>
      <sz val="12"/>
      <color rgb="FF000000"/>
      <name val="Arial"/>
      <charset val="238"/>
    </font>
    <font>
      <sz val="12"/>
      <color rgb="FF000000"/>
      <name val="Arial"/>
      <charset val="238"/>
    </font>
    <font>
      <i/>
      <sz val="8"/>
      <color rgb="FF000000"/>
      <name val="Arial"/>
      <charset val="238"/>
    </font>
    <font>
      <i/>
      <sz val="10"/>
      <color rgb="FF000000"/>
      <name val="Arial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CCFFFF"/>
        <bgColor rgb="FFCCFFFF"/>
      </patternFill>
    </fill>
    <fill>
      <patternFill patternType="solid">
        <fgColor rgb="FFCCFFFF"/>
        <bgColor rgb="FFCCFFFF"/>
      </patternFill>
    </fill>
    <fill>
      <patternFill patternType="solid">
        <fgColor theme="3" tint="0.89999084444715716"/>
        <bgColor indexed="64"/>
      </patternFill>
    </fill>
  </fills>
  <borders count="7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4" fontId="8" fillId="0" borderId="16" xfId="0" applyNumberFormat="1" applyFont="1" applyBorder="1" applyAlignment="1">
      <alignment horizontal="right" vertical="center"/>
    </xf>
    <xf numFmtId="0" fontId="8" fillId="0" borderId="16" xfId="0" applyFont="1" applyBorder="1" applyAlignment="1">
      <alignment horizontal="right" vertical="center"/>
    </xf>
    <xf numFmtId="0" fontId="7" fillId="0" borderId="19" xfId="0" applyFont="1" applyBorder="1" applyAlignment="1">
      <alignment horizontal="left" vertical="center"/>
    </xf>
    <xf numFmtId="4" fontId="8" fillId="0" borderId="23" xfId="0" applyNumberFormat="1" applyFont="1" applyBorder="1" applyAlignment="1">
      <alignment horizontal="right" vertical="center"/>
    </xf>
    <xf numFmtId="0" fontId="8" fillId="0" borderId="23" xfId="0" applyFont="1" applyBorder="1" applyAlignment="1">
      <alignment horizontal="right" vertical="center"/>
    </xf>
    <xf numFmtId="4" fontId="8" fillId="0" borderId="14" xfId="0" applyNumberFormat="1" applyFont="1" applyBorder="1" applyAlignment="1">
      <alignment horizontal="right" vertical="center"/>
    </xf>
    <xf numFmtId="4" fontId="8" fillId="0" borderId="26" xfId="0" applyNumberFormat="1" applyFont="1" applyBorder="1" applyAlignment="1">
      <alignment horizontal="right" vertical="center"/>
    </xf>
    <xf numFmtId="4" fontId="7" fillId="2" borderId="13" xfId="0" applyNumberFormat="1" applyFont="1" applyFill="1" applyBorder="1" applyAlignment="1">
      <alignment horizontal="right" vertical="center"/>
    </xf>
    <xf numFmtId="4" fontId="7" fillId="2" borderId="18" xfId="0" applyNumberFormat="1" applyFont="1" applyFill="1" applyBorder="1" applyAlignment="1">
      <alignment horizontal="right" vertical="center"/>
    </xf>
    <xf numFmtId="0" fontId="9" fillId="0" borderId="40" xfId="0" applyFont="1" applyBorder="1" applyAlignment="1">
      <alignment horizontal="left" vertical="center"/>
    </xf>
    <xf numFmtId="0" fontId="3" fillId="0" borderId="45" xfId="0" applyFont="1" applyBorder="1" applyAlignment="1">
      <alignment horizontal="right" vertical="center"/>
    </xf>
    <xf numFmtId="4" fontId="2" fillId="0" borderId="16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left" vertical="center"/>
    </xf>
    <xf numFmtId="4" fontId="2" fillId="0" borderId="49" xfId="0" applyNumberFormat="1" applyFont="1" applyBorder="1" applyAlignment="1">
      <alignment horizontal="right" vertical="center"/>
    </xf>
    <xf numFmtId="0" fontId="2" fillId="0" borderId="49" xfId="0" applyFont="1" applyBorder="1" applyAlignment="1">
      <alignment horizontal="left" vertical="center"/>
    </xf>
    <xf numFmtId="0" fontId="3" fillId="0" borderId="53" xfId="0" applyFont="1" applyBorder="1" applyAlignment="1">
      <alignment horizontal="left" vertical="center"/>
    </xf>
    <xf numFmtId="0" fontId="3" fillId="0" borderId="53" xfId="0" applyFont="1" applyBorder="1" applyAlignment="1">
      <alignment horizontal="right" vertical="center"/>
    </xf>
    <xf numFmtId="4" fontId="3" fillId="0" borderId="53" xfId="0" applyNumberFormat="1" applyFont="1" applyBorder="1" applyAlignment="1">
      <alignment horizontal="right" vertical="center"/>
    </xf>
    <xf numFmtId="4" fontId="3" fillId="2" borderId="0" xfId="0" applyNumberFormat="1" applyFont="1" applyFill="1" applyAlignment="1">
      <alignment horizontal="right" vertical="center"/>
    </xf>
    <xf numFmtId="0" fontId="3" fillId="0" borderId="56" xfId="0" applyFont="1" applyBorder="1" applyAlignment="1">
      <alignment horizontal="left" vertical="center"/>
    </xf>
    <xf numFmtId="0" fontId="3" fillId="0" borderId="57" xfId="0" applyFont="1" applyBorder="1" applyAlignment="1">
      <alignment horizontal="left" vertical="center"/>
    </xf>
    <xf numFmtId="0" fontId="3" fillId="0" borderId="57" xfId="0" applyFont="1" applyBorder="1" applyAlignment="1">
      <alignment horizontal="center" vertical="center"/>
    </xf>
    <xf numFmtId="0" fontId="3" fillId="3" borderId="60" xfId="0" applyFont="1" applyFill="1" applyBorder="1" applyAlignment="1" applyProtection="1">
      <alignment horizontal="center" vertical="center"/>
      <protection locked="0"/>
    </xf>
    <xf numFmtId="0" fontId="3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0" fillId="0" borderId="63" xfId="0" applyBorder="1"/>
    <xf numFmtId="0" fontId="3" fillId="2" borderId="0" xfId="0" applyFont="1" applyFill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64" xfId="0" applyFont="1" applyBorder="1" applyAlignment="1">
      <alignment horizontal="left" vertical="center"/>
    </xf>
    <xf numFmtId="0" fontId="2" fillId="0" borderId="65" xfId="0" applyFont="1" applyBorder="1" applyAlignment="1">
      <alignment horizontal="left" vertical="center"/>
    </xf>
    <xf numFmtId="0" fontId="3" fillId="3" borderId="65" xfId="0" applyFont="1" applyFill="1" applyBorder="1" applyAlignment="1" applyProtection="1">
      <alignment horizontal="center" vertical="center"/>
      <protection locked="0"/>
    </xf>
    <xf numFmtId="0" fontId="3" fillId="0" borderId="68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0" fillId="0" borderId="70" xfId="0" applyBorder="1"/>
    <xf numFmtId="0" fontId="2" fillId="2" borderId="71" xfId="0" applyFont="1" applyFill="1" applyBorder="1" applyAlignment="1">
      <alignment horizontal="left" vertical="center"/>
    </xf>
    <xf numFmtId="0" fontId="3" fillId="2" borderId="40" xfId="0" applyFont="1" applyFill="1" applyBorder="1" applyAlignment="1">
      <alignment horizontal="left" vertical="center"/>
    </xf>
    <xf numFmtId="0" fontId="2" fillId="2" borderId="40" xfId="0" applyFont="1" applyFill="1" applyBorder="1" applyAlignment="1">
      <alignment horizontal="left" vertical="center"/>
    </xf>
    <xf numFmtId="0" fontId="2" fillId="4" borderId="40" xfId="0" applyFont="1" applyFill="1" applyBorder="1" applyAlignment="1" applyProtection="1">
      <alignment horizontal="left" vertical="center"/>
      <protection locked="0"/>
    </xf>
    <xf numFmtId="4" fontId="3" fillId="2" borderId="40" xfId="0" applyNumberFormat="1" applyFont="1" applyFill="1" applyBorder="1" applyAlignment="1">
      <alignment horizontal="right" vertical="center"/>
    </xf>
    <xf numFmtId="0" fontId="3" fillId="2" borderId="40" xfId="0" applyFont="1" applyFill="1" applyBorder="1" applyAlignment="1">
      <alignment horizontal="right" vertical="center"/>
    </xf>
    <xf numFmtId="0" fontId="0" fillId="0" borderId="6" xfId="0" applyBorder="1"/>
    <xf numFmtId="0" fontId="2" fillId="2" borderId="5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4" borderId="0" xfId="0" applyFont="1" applyFill="1" applyAlignment="1" applyProtection="1">
      <alignment horizontal="left" vertical="center"/>
      <protection locked="0"/>
    </xf>
    <xf numFmtId="4" fontId="2" fillId="0" borderId="0" xfId="0" applyNumberFormat="1" applyFont="1" applyAlignment="1">
      <alignment horizontal="right" vertical="center"/>
    </xf>
    <xf numFmtId="4" fontId="2" fillId="3" borderId="0" xfId="0" applyNumberFormat="1" applyFont="1" applyFill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/>
    </xf>
    <xf numFmtId="0" fontId="0" fillId="0" borderId="5" xfId="0" applyBorder="1"/>
    <xf numFmtId="0" fontId="10" fillId="0" borderId="0" xfId="0" applyFont="1" applyAlignment="1">
      <alignment horizontal="left" vertical="center"/>
    </xf>
    <xf numFmtId="4" fontId="10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0" fillId="0" borderId="7" xfId="0" applyBorder="1"/>
    <xf numFmtId="0" fontId="0" fillId="0" borderId="8" xfId="0" applyBorder="1"/>
    <xf numFmtId="0" fontId="10" fillId="0" borderId="8" xfId="0" applyFont="1" applyBorder="1" applyAlignment="1">
      <alignment horizontal="left" vertical="center"/>
    </xf>
    <xf numFmtId="4" fontId="10" fillId="0" borderId="8" xfId="0" applyNumberFormat="1" applyFont="1" applyBorder="1" applyAlignment="1">
      <alignment horizontal="right" vertical="center"/>
    </xf>
    <xf numFmtId="0" fontId="0" fillId="3" borderId="8" xfId="0" applyFill="1" applyBorder="1" applyProtection="1">
      <protection locked="0"/>
    </xf>
    <xf numFmtId="0" fontId="0" fillId="0" borderId="9" xfId="0" applyBorder="1"/>
    <xf numFmtId="4" fontId="3" fillId="0" borderId="72" xfId="0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4" fontId="2" fillId="5" borderId="49" xfId="0" applyNumberFormat="1" applyFont="1" applyFill="1" applyBorder="1" applyAlignment="1">
      <alignment horizontal="right" vertical="center"/>
    </xf>
    <xf numFmtId="4" fontId="2" fillId="5" borderId="16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2" borderId="25" xfId="0" applyFont="1" applyFill="1" applyBorder="1" applyAlignment="1">
      <alignment horizontal="left" vertical="center"/>
    </xf>
    <xf numFmtId="0" fontId="7" fillId="2" borderId="27" xfId="0" applyFont="1" applyFill="1" applyBorder="1" applyAlignment="1">
      <alignment horizontal="left" vertical="center"/>
    </xf>
    <xf numFmtId="0" fontId="7" fillId="2" borderId="20" xfId="0" applyFont="1" applyFill="1" applyBorder="1" applyAlignment="1">
      <alignment horizontal="left" vertical="center"/>
    </xf>
    <xf numFmtId="0" fontId="7" fillId="2" borderId="28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1" fontId="2" fillId="0" borderId="6" xfId="0" applyNumberFormat="1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46" xfId="0" applyFont="1" applyBorder="1" applyAlignment="1">
      <alignment horizontal="left" vertical="center"/>
    </xf>
    <xf numFmtId="0" fontId="2" fillId="0" borderId="47" xfId="0" applyFont="1" applyBorder="1" applyAlignment="1">
      <alignment horizontal="left" vertical="center"/>
    </xf>
    <xf numFmtId="0" fontId="2" fillId="0" borderId="48" xfId="0" applyFont="1" applyBorder="1" applyAlignment="1">
      <alignment horizontal="left" vertical="center"/>
    </xf>
    <xf numFmtId="0" fontId="3" fillId="0" borderId="50" xfId="0" applyFont="1" applyBorder="1" applyAlignment="1">
      <alignment horizontal="left" vertical="center"/>
    </xf>
    <xf numFmtId="0" fontId="3" fillId="0" borderId="51" xfId="0" applyFont="1" applyBorder="1" applyAlignment="1">
      <alignment horizontal="left" vertical="center"/>
    </xf>
    <xf numFmtId="0" fontId="3" fillId="0" borderId="52" xfId="0" applyFont="1" applyBorder="1" applyAlignment="1">
      <alignment horizontal="left" vertical="center"/>
    </xf>
    <xf numFmtId="0" fontId="7" fillId="0" borderId="50" xfId="0" applyFont="1" applyBorder="1" applyAlignment="1">
      <alignment horizontal="left" vertical="center"/>
    </xf>
    <xf numFmtId="0" fontId="7" fillId="0" borderId="51" xfId="0" applyFont="1" applyBorder="1" applyAlignment="1">
      <alignment horizontal="left" vertical="center"/>
    </xf>
    <xf numFmtId="0" fontId="7" fillId="0" borderId="52" xfId="0" applyFont="1" applyBorder="1" applyAlignment="1">
      <alignment horizontal="left" vertical="center"/>
    </xf>
    <xf numFmtId="4" fontId="7" fillId="0" borderId="54" xfId="0" applyNumberFormat="1" applyFont="1" applyBorder="1" applyAlignment="1">
      <alignment horizontal="right" vertical="center"/>
    </xf>
    <xf numFmtId="0" fontId="7" fillId="0" borderId="51" xfId="0" applyFont="1" applyBorder="1" applyAlignment="1">
      <alignment horizontal="right" vertical="center"/>
    </xf>
    <xf numFmtId="0" fontId="7" fillId="0" borderId="52" xfId="0" applyFont="1" applyBorder="1" applyAlignment="1">
      <alignment horizontal="right" vertical="center"/>
    </xf>
    <xf numFmtId="0" fontId="7" fillId="0" borderId="41" xfId="0" applyFont="1" applyBorder="1" applyAlignment="1">
      <alignment horizontal="left" vertical="center"/>
    </xf>
    <xf numFmtId="0" fontId="3" fillId="0" borderId="42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3" borderId="0" xfId="0" applyFont="1" applyFill="1" applyAlignment="1" applyProtection="1">
      <alignment horizontal="left" vertical="center"/>
      <protection locked="0"/>
    </xf>
    <xf numFmtId="0" fontId="10" fillId="0" borderId="6" xfId="0" applyFont="1" applyBorder="1" applyAlignment="1">
      <alignment horizontal="left" vertical="center"/>
    </xf>
    <xf numFmtId="0" fontId="3" fillId="0" borderId="66" xfId="0" applyFont="1" applyBorder="1" applyAlignment="1">
      <alignment horizontal="left" vertical="center"/>
    </xf>
    <xf numFmtId="0" fontId="3" fillId="0" borderId="67" xfId="0" applyFont="1" applyBorder="1" applyAlignment="1">
      <alignment horizontal="left" vertical="center"/>
    </xf>
    <xf numFmtId="0" fontId="3" fillId="2" borderId="40" xfId="0" applyFont="1" applyFill="1" applyBorder="1" applyAlignment="1">
      <alignment horizontal="left" vertical="center" wrapText="1"/>
    </xf>
    <xf numFmtId="0" fontId="3" fillId="2" borderId="40" xfId="0" applyFont="1" applyFill="1" applyBorder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2" fillId="3" borderId="41" xfId="0" applyFont="1" applyFill="1" applyBorder="1" applyAlignment="1" applyProtection="1">
      <alignment horizontal="left" vertical="center"/>
      <protection locked="0"/>
    </xf>
    <xf numFmtId="0" fontId="2" fillId="3" borderId="9" xfId="0" applyFont="1" applyFill="1" applyBorder="1" applyAlignment="1" applyProtection="1">
      <alignment horizontal="left" vertical="center"/>
      <protection locked="0"/>
    </xf>
    <xf numFmtId="0" fontId="3" fillId="0" borderId="58" xfId="0" applyFont="1" applyBorder="1" applyAlignment="1">
      <alignment horizontal="left" vertical="center"/>
    </xf>
    <xf numFmtId="0" fontId="3" fillId="0" borderId="59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2" fillId="3" borderId="3" xfId="0" applyFont="1" applyFill="1" applyBorder="1" applyAlignment="1" applyProtection="1">
      <alignment horizontal="left" vertical="center"/>
      <protection locked="0"/>
    </xf>
    <xf numFmtId="0" fontId="2" fillId="0" borderId="55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topLeftCell="A4" workbookViewId="0">
      <selection activeCell="F27" sqref="F27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7.140625" customWidth="1"/>
    <col min="4" max="4" width="10" customWidth="1"/>
    <col min="5" max="5" width="14" customWidth="1"/>
    <col min="6" max="6" width="27.140625" customWidth="1"/>
    <col min="7" max="7" width="9.140625" customWidth="1"/>
    <col min="8" max="8" width="12.85546875" customWidth="1"/>
    <col min="9" max="9" width="27.140625" customWidth="1"/>
  </cols>
  <sheetData>
    <row r="1" spans="1:9" ht="54.75" customHeight="1" x14ac:dyDescent="0.25">
      <c r="A1" s="114" t="s">
        <v>0</v>
      </c>
      <c r="B1" s="115"/>
      <c r="C1" s="115"/>
      <c r="D1" s="115"/>
      <c r="E1" s="115"/>
      <c r="F1" s="115"/>
      <c r="G1" s="115"/>
      <c r="H1" s="115"/>
      <c r="I1" s="115"/>
    </row>
    <row r="2" spans="1:9" x14ac:dyDescent="0.25">
      <c r="A2" s="116" t="s">
        <v>1</v>
      </c>
      <c r="B2" s="117"/>
      <c r="C2" s="111" t="str">
        <f>'Stavební rozpočet'!C2</f>
        <v>Provizorní oprava zastřešení objektu Škroupovo náměstí č.p. 158, Česká Lípa</v>
      </c>
      <c r="D2" s="112"/>
      <c r="E2" s="108" t="s">
        <v>2</v>
      </c>
      <c r="F2" s="108" t="str">
        <f>'Stavební rozpočet'!I2</f>
        <v> </v>
      </c>
      <c r="G2" s="117"/>
      <c r="H2" s="108" t="s">
        <v>3</v>
      </c>
      <c r="I2" s="119" t="s">
        <v>4</v>
      </c>
    </row>
    <row r="3" spans="1:9" ht="15" customHeight="1" x14ac:dyDescent="0.25">
      <c r="A3" s="118"/>
      <c r="B3" s="71"/>
      <c r="C3" s="113"/>
      <c r="D3" s="113"/>
      <c r="E3" s="71"/>
      <c r="F3" s="71"/>
      <c r="G3" s="71"/>
      <c r="H3" s="71"/>
      <c r="I3" s="120"/>
    </row>
    <row r="4" spans="1:9" x14ac:dyDescent="0.25">
      <c r="A4" s="109" t="s">
        <v>5</v>
      </c>
      <c r="B4" s="71"/>
      <c r="C4" s="70" t="str">
        <f>'Stavební rozpočet'!C4</f>
        <v>objekt</v>
      </c>
      <c r="D4" s="71"/>
      <c r="E4" s="70" t="s">
        <v>6</v>
      </c>
      <c r="F4" s="70" t="str">
        <f>'Stavební rozpočet'!I4</f>
        <v> </v>
      </c>
      <c r="G4" s="71"/>
      <c r="H4" s="70" t="s">
        <v>3</v>
      </c>
      <c r="I4" s="120" t="s">
        <v>4</v>
      </c>
    </row>
    <row r="5" spans="1:9" ht="15" customHeight="1" x14ac:dyDescent="0.25">
      <c r="A5" s="118"/>
      <c r="B5" s="71"/>
      <c r="C5" s="71"/>
      <c r="D5" s="71"/>
      <c r="E5" s="71"/>
      <c r="F5" s="71"/>
      <c r="G5" s="71"/>
      <c r="H5" s="71"/>
      <c r="I5" s="120"/>
    </row>
    <row r="6" spans="1:9" x14ac:dyDescent="0.25">
      <c r="A6" s="109" t="s">
        <v>7</v>
      </c>
      <c r="B6" s="71"/>
      <c r="C6" s="70" t="str">
        <f>'Stavební rozpočet'!C6</f>
        <v>Město Česká Lípa - Škroupovo náměstí</v>
      </c>
      <c r="D6" s="71"/>
      <c r="E6" s="70" t="s">
        <v>8</v>
      </c>
      <c r="F6" s="70" t="str">
        <f>'Stavební rozpočet'!I6</f>
        <v> </v>
      </c>
      <c r="G6" s="71"/>
      <c r="H6" s="70" t="s">
        <v>3</v>
      </c>
      <c r="I6" s="120" t="s">
        <v>4</v>
      </c>
    </row>
    <row r="7" spans="1:9" ht="15" customHeight="1" x14ac:dyDescent="0.25">
      <c r="A7" s="118"/>
      <c r="B7" s="71"/>
      <c r="C7" s="71"/>
      <c r="D7" s="71"/>
      <c r="E7" s="71"/>
      <c r="F7" s="71"/>
      <c r="G7" s="71"/>
      <c r="H7" s="71"/>
      <c r="I7" s="120"/>
    </row>
    <row r="8" spans="1:9" x14ac:dyDescent="0.25">
      <c r="A8" s="109" t="s">
        <v>9</v>
      </c>
      <c r="B8" s="71"/>
      <c r="C8" s="70" t="str">
        <f>'Stavební rozpočet'!G4</f>
        <v>11.03.2025</v>
      </c>
      <c r="D8" s="71"/>
      <c r="E8" s="70" t="s">
        <v>10</v>
      </c>
      <c r="F8" s="70" t="str">
        <f>'Stavební rozpočet'!G6</f>
        <v xml:space="preserve"> </v>
      </c>
      <c r="G8" s="71"/>
      <c r="H8" s="71" t="s">
        <v>11</v>
      </c>
      <c r="I8" s="121">
        <v>52</v>
      </c>
    </row>
    <row r="9" spans="1:9" x14ac:dyDescent="0.25">
      <c r="A9" s="118"/>
      <c r="B9" s="71"/>
      <c r="C9" s="71"/>
      <c r="D9" s="71"/>
      <c r="E9" s="71"/>
      <c r="F9" s="71"/>
      <c r="G9" s="71"/>
      <c r="H9" s="71"/>
      <c r="I9" s="120"/>
    </row>
    <row r="10" spans="1:9" x14ac:dyDescent="0.25">
      <c r="A10" s="109" t="s">
        <v>12</v>
      </c>
      <c r="B10" s="71"/>
      <c r="C10" s="70" t="str">
        <f>'Stavební rozpočet'!C8</f>
        <v xml:space="preserve"> </v>
      </c>
      <c r="D10" s="71"/>
      <c r="E10" s="70" t="s">
        <v>13</v>
      </c>
      <c r="F10" s="70" t="str">
        <f>'Stavební rozpočet'!I8</f>
        <v> </v>
      </c>
      <c r="G10" s="71"/>
      <c r="H10" s="71" t="s">
        <v>14</v>
      </c>
      <c r="I10" s="102" t="str">
        <f>'Stavební rozpočet'!G8</f>
        <v>11.03.2025</v>
      </c>
    </row>
    <row r="11" spans="1:9" x14ac:dyDescent="0.25">
      <c r="A11" s="110"/>
      <c r="B11" s="107"/>
      <c r="C11" s="107"/>
      <c r="D11" s="107"/>
      <c r="E11" s="107"/>
      <c r="F11" s="107"/>
      <c r="G11" s="107"/>
      <c r="H11" s="107"/>
      <c r="I11" s="103"/>
    </row>
    <row r="12" spans="1:9" ht="23.25" x14ac:dyDescent="0.25">
      <c r="A12" s="104" t="s">
        <v>15</v>
      </c>
      <c r="B12" s="104"/>
      <c r="C12" s="104"/>
      <c r="D12" s="104"/>
      <c r="E12" s="104"/>
      <c r="F12" s="104"/>
      <c r="G12" s="104"/>
      <c r="H12" s="104"/>
      <c r="I12" s="104"/>
    </row>
    <row r="13" spans="1:9" ht="26.25" customHeight="1" x14ac:dyDescent="0.25">
      <c r="A13" s="4" t="s">
        <v>16</v>
      </c>
      <c r="B13" s="105" t="s">
        <v>17</v>
      </c>
      <c r="C13" s="106"/>
      <c r="D13" s="5" t="s">
        <v>18</v>
      </c>
      <c r="E13" s="105" t="s">
        <v>19</v>
      </c>
      <c r="F13" s="106"/>
      <c r="G13" s="5" t="s">
        <v>20</v>
      </c>
      <c r="H13" s="105" t="s">
        <v>21</v>
      </c>
      <c r="I13" s="106"/>
    </row>
    <row r="14" spans="1:9" ht="15.75" x14ac:dyDescent="0.25">
      <c r="A14" s="6" t="s">
        <v>22</v>
      </c>
      <c r="B14" s="7" t="s">
        <v>23</v>
      </c>
      <c r="C14" s="8">
        <f>SUM('Stavební rozpočet'!AB12:AB134)</f>
        <v>0</v>
      </c>
      <c r="D14" s="92" t="s">
        <v>4</v>
      </c>
      <c r="E14" s="93"/>
      <c r="F14" s="8">
        <f>VORN!I15</f>
        <v>0</v>
      </c>
      <c r="G14" s="92" t="s">
        <v>24</v>
      </c>
      <c r="H14" s="93"/>
      <c r="I14" s="9">
        <f>VORN!I21</f>
        <v>0</v>
      </c>
    </row>
    <row r="15" spans="1:9" ht="15.75" x14ac:dyDescent="0.25">
      <c r="A15" s="10" t="s">
        <v>4</v>
      </c>
      <c r="B15" s="7" t="s">
        <v>25</v>
      </c>
      <c r="C15" s="8">
        <f>SUM('Stavební rozpočet'!AC12:AC134)</f>
        <v>0</v>
      </c>
      <c r="D15" s="92" t="s">
        <v>4</v>
      </c>
      <c r="E15" s="93"/>
      <c r="F15" s="8">
        <f>VORN!I16</f>
        <v>0</v>
      </c>
      <c r="G15" s="92" t="s">
        <v>26</v>
      </c>
      <c r="H15" s="93"/>
      <c r="I15" s="9">
        <f>VORN!I22</f>
        <v>0</v>
      </c>
    </row>
    <row r="16" spans="1:9" ht="15.75" x14ac:dyDescent="0.25">
      <c r="A16" s="6" t="s">
        <v>27</v>
      </c>
      <c r="B16" s="7" t="s">
        <v>23</v>
      </c>
      <c r="C16" s="8">
        <f>SUM('Stavební rozpočet'!AD12:AD134)</f>
        <v>0</v>
      </c>
      <c r="D16" s="92" t="s">
        <v>4</v>
      </c>
      <c r="E16" s="93"/>
      <c r="F16" s="8">
        <f>VORN!I17</f>
        <v>0</v>
      </c>
      <c r="G16" s="92" t="s">
        <v>28</v>
      </c>
      <c r="H16" s="93"/>
      <c r="I16" s="9">
        <f>VORN!I23</f>
        <v>0</v>
      </c>
    </row>
    <row r="17" spans="1:9" ht="15.75" x14ac:dyDescent="0.25">
      <c r="A17" s="10" t="s">
        <v>4</v>
      </c>
      <c r="B17" s="7" t="s">
        <v>25</v>
      </c>
      <c r="C17" s="8">
        <f>SUM('Stavební rozpočet'!AE12:AE134)</f>
        <v>0</v>
      </c>
      <c r="D17" s="92" t="s">
        <v>4</v>
      </c>
      <c r="E17" s="93"/>
      <c r="F17" s="9" t="s">
        <v>4</v>
      </c>
      <c r="G17" s="92" t="s">
        <v>29</v>
      </c>
      <c r="H17" s="93"/>
      <c r="I17" s="9">
        <f>VORN!I24</f>
        <v>0</v>
      </c>
    </row>
    <row r="18" spans="1:9" ht="15.75" x14ac:dyDescent="0.25">
      <c r="A18" s="6" t="s">
        <v>30</v>
      </c>
      <c r="B18" s="7" t="s">
        <v>23</v>
      </c>
      <c r="C18" s="8">
        <f>SUM('Stavební rozpočet'!AF12:AF134)</f>
        <v>0</v>
      </c>
      <c r="D18" s="92" t="s">
        <v>4</v>
      </c>
      <c r="E18" s="93"/>
      <c r="F18" s="9" t="s">
        <v>4</v>
      </c>
      <c r="G18" s="92" t="s">
        <v>31</v>
      </c>
      <c r="H18" s="93"/>
      <c r="I18" s="9">
        <f>VORN!I25</f>
        <v>0</v>
      </c>
    </row>
    <row r="19" spans="1:9" ht="15.75" x14ac:dyDescent="0.25">
      <c r="A19" s="10" t="s">
        <v>4</v>
      </c>
      <c r="B19" s="7" t="s">
        <v>25</v>
      </c>
      <c r="C19" s="8">
        <f>SUM('Stavební rozpočet'!AG12:AG134)</f>
        <v>0</v>
      </c>
      <c r="D19" s="92" t="s">
        <v>4</v>
      </c>
      <c r="E19" s="93"/>
      <c r="F19" s="9" t="s">
        <v>4</v>
      </c>
      <c r="G19" s="92" t="s">
        <v>32</v>
      </c>
      <c r="H19" s="93"/>
      <c r="I19" s="9">
        <f>VORN!I26</f>
        <v>0</v>
      </c>
    </row>
    <row r="20" spans="1:9" ht="15.75" x14ac:dyDescent="0.25">
      <c r="A20" s="84" t="s">
        <v>33</v>
      </c>
      <c r="B20" s="85"/>
      <c r="C20" s="8">
        <f>SUM('Stavební rozpočet'!AH12:AH134)</f>
        <v>0</v>
      </c>
      <c r="D20" s="92" t="s">
        <v>4</v>
      </c>
      <c r="E20" s="93"/>
      <c r="F20" s="9" t="s">
        <v>4</v>
      </c>
      <c r="G20" s="92" t="s">
        <v>4</v>
      </c>
      <c r="H20" s="93"/>
      <c r="I20" s="9" t="s">
        <v>4</v>
      </c>
    </row>
    <row r="21" spans="1:9" ht="15.75" x14ac:dyDescent="0.25">
      <c r="A21" s="99" t="s">
        <v>34</v>
      </c>
      <c r="B21" s="100"/>
      <c r="C21" s="11">
        <f>SUM('Stavební rozpočet'!Z12:Z134)</f>
        <v>0</v>
      </c>
      <c r="D21" s="94" t="s">
        <v>4</v>
      </c>
      <c r="E21" s="95"/>
      <c r="F21" s="12" t="s">
        <v>4</v>
      </c>
      <c r="G21" s="94" t="s">
        <v>4</v>
      </c>
      <c r="H21" s="95"/>
      <c r="I21" s="12" t="s">
        <v>4</v>
      </c>
    </row>
    <row r="22" spans="1:9" ht="16.5" customHeight="1" x14ac:dyDescent="0.25">
      <c r="A22" s="101" t="s">
        <v>35</v>
      </c>
      <c r="B22" s="97"/>
      <c r="C22" s="13">
        <f>ROUND(SUM(C14:C21),2)</f>
        <v>0</v>
      </c>
      <c r="D22" s="96" t="s">
        <v>36</v>
      </c>
      <c r="E22" s="97"/>
      <c r="F22" s="13">
        <f>SUM(F14:F21)</f>
        <v>0</v>
      </c>
      <c r="G22" s="96" t="s">
        <v>37</v>
      </c>
      <c r="H22" s="97"/>
      <c r="I22" s="13">
        <f>SUM(I14:I21)</f>
        <v>0</v>
      </c>
    </row>
    <row r="23" spans="1:9" ht="15.75" x14ac:dyDescent="0.25">
      <c r="D23" s="84" t="s">
        <v>38</v>
      </c>
      <c r="E23" s="85"/>
      <c r="F23" s="14">
        <v>0</v>
      </c>
      <c r="G23" s="98" t="s">
        <v>39</v>
      </c>
      <c r="H23" s="85"/>
      <c r="I23" s="8">
        <v>0</v>
      </c>
    </row>
    <row r="24" spans="1:9" ht="15.75" x14ac:dyDescent="0.25">
      <c r="G24" s="84" t="s">
        <v>40</v>
      </c>
      <c r="H24" s="85"/>
      <c r="I24" s="11">
        <f>vorn_sum</f>
        <v>0</v>
      </c>
    </row>
    <row r="25" spans="1:9" ht="15.75" x14ac:dyDescent="0.25">
      <c r="G25" s="84" t="s">
        <v>41</v>
      </c>
      <c r="H25" s="85"/>
      <c r="I25" s="13">
        <v>0</v>
      </c>
    </row>
    <row r="27" spans="1:9" ht="15.75" x14ac:dyDescent="0.25">
      <c r="A27" s="86" t="s">
        <v>42</v>
      </c>
      <c r="B27" s="87"/>
      <c r="C27" s="15">
        <f>ROUND(SUM('Stavební rozpočet'!AJ12:AJ134),2)</f>
        <v>0</v>
      </c>
    </row>
    <row r="28" spans="1:9" ht="15.75" x14ac:dyDescent="0.25">
      <c r="A28" s="88" t="s">
        <v>43</v>
      </c>
      <c r="B28" s="89"/>
      <c r="C28" s="16">
        <f>ROUND(SUM('Stavební rozpočet'!AK12:AK134),2)</f>
        <v>0</v>
      </c>
      <c r="D28" s="90" t="s">
        <v>44</v>
      </c>
      <c r="E28" s="87"/>
      <c r="F28" s="15">
        <f>ROUND(C28*(12/100),2)</f>
        <v>0</v>
      </c>
      <c r="G28" s="90" t="s">
        <v>45</v>
      </c>
      <c r="H28" s="87"/>
      <c r="I28" s="15">
        <f>ROUND(SUM(C27:C29),2)</f>
        <v>0</v>
      </c>
    </row>
    <row r="29" spans="1:9" ht="15.75" x14ac:dyDescent="0.25">
      <c r="A29" s="88" t="s">
        <v>46</v>
      </c>
      <c r="B29" s="89"/>
      <c r="C29" s="16">
        <f>ROUND(SUM('Stavební rozpočet'!AL12:AL134)+(F22+I22+F23+I23+I24+I25),2)</f>
        <v>0</v>
      </c>
      <c r="D29" s="91" t="s">
        <v>47</v>
      </c>
      <c r="E29" s="89"/>
      <c r="F29" s="16">
        <f>ROUND(C29*(21/100),2)</f>
        <v>0</v>
      </c>
      <c r="G29" s="91" t="s">
        <v>48</v>
      </c>
      <c r="H29" s="89"/>
      <c r="I29" s="16">
        <f>ROUND(SUM(F28:F29)+I28,2)</f>
        <v>0</v>
      </c>
    </row>
    <row r="31" spans="1:9" x14ac:dyDescent="0.25">
      <c r="A31" s="81" t="s">
        <v>49</v>
      </c>
      <c r="B31" s="73"/>
      <c r="C31" s="74"/>
      <c r="D31" s="72" t="s">
        <v>50</v>
      </c>
      <c r="E31" s="73"/>
      <c r="F31" s="74"/>
      <c r="G31" s="72" t="s">
        <v>51</v>
      </c>
      <c r="H31" s="73"/>
      <c r="I31" s="74"/>
    </row>
    <row r="32" spans="1:9" x14ac:dyDescent="0.25">
      <c r="A32" s="82" t="s">
        <v>4</v>
      </c>
      <c r="B32" s="76"/>
      <c r="C32" s="77"/>
      <c r="D32" s="75" t="s">
        <v>4</v>
      </c>
      <c r="E32" s="76"/>
      <c r="F32" s="77"/>
      <c r="G32" s="75" t="s">
        <v>4</v>
      </c>
      <c r="H32" s="76"/>
      <c r="I32" s="77"/>
    </row>
    <row r="33" spans="1:9" x14ac:dyDescent="0.25">
      <c r="A33" s="82" t="s">
        <v>4</v>
      </c>
      <c r="B33" s="76"/>
      <c r="C33" s="77"/>
      <c r="D33" s="75" t="s">
        <v>4</v>
      </c>
      <c r="E33" s="76"/>
      <c r="F33" s="77"/>
      <c r="G33" s="75" t="s">
        <v>4</v>
      </c>
      <c r="H33" s="76"/>
      <c r="I33" s="77"/>
    </row>
    <row r="34" spans="1:9" x14ac:dyDescent="0.25">
      <c r="A34" s="82" t="s">
        <v>4</v>
      </c>
      <c r="B34" s="76"/>
      <c r="C34" s="77"/>
      <c r="D34" s="75" t="s">
        <v>4</v>
      </c>
      <c r="E34" s="76"/>
      <c r="F34" s="77"/>
      <c r="G34" s="75" t="s">
        <v>4</v>
      </c>
      <c r="H34" s="76"/>
      <c r="I34" s="77"/>
    </row>
    <row r="35" spans="1:9" x14ac:dyDescent="0.25">
      <c r="A35" s="83" t="s">
        <v>52</v>
      </c>
      <c r="B35" s="79"/>
      <c r="C35" s="80"/>
      <c r="D35" s="78" t="s">
        <v>52</v>
      </c>
      <c r="E35" s="79"/>
      <c r="F35" s="80"/>
      <c r="G35" s="78" t="s">
        <v>52</v>
      </c>
      <c r="H35" s="79"/>
      <c r="I35" s="80"/>
    </row>
    <row r="36" spans="1:9" x14ac:dyDescent="0.25">
      <c r="A36" s="17" t="s">
        <v>53</v>
      </c>
    </row>
    <row r="37" spans="1:9" ht="12.75" customHeight="1" x14ac:dyDescent="0.25">
      <c r="A37" s="70" t="s">
        <v>4</v>
      </c>
      <c r="B37" s="71"/>
      <c r="C37" s="71"/>
      <c r="D37" s="71"/>
      <c r="E37" s="71"/>
      <c r="F37" s="71"/>
      <c r="G37" s="71"/>
      <c r="H37" s="71"/>
      <c r="I37" s="71"/>
    </row>
  </sheetData>
  <sheetProtection password="E93C" sheet="1"/>
  <mergeCells count="83">
    <mergeCell ref="A1:I1"/>
    <mergeCell ref="A2:B3"/>
    <mergeCell ref="A4:B5"/>
    <mergeCell ref="A6:B7"/>
    <mergeCell ref="A8:B9"/>
    <mergeCell ref="F2:G3"/>
    <mergeCell ref="F4:G5"/>
    <mergeCell ref="F6:G7"/>
    <mergeCell ref="F8:G9"/>
    <mergeCell ref="I2:I3"/>
    <mergeCell ref="I4:I5"/>
    <mergeCell ref="I6:I7"/>
    <mergeCell ref="I8:I9"/>
    <mergeCell ref="C2:D3"/>
    <mergeCell ref="C4:D5"/>
    <mergeCell ref="C6:D7"/>
    <mergeCell ref="C8:D9"/>
    <mergeCell ref="C10:D11"/>
    <mergeCell ref="E2:E3"/>
    <mergeCell ref="E4:E5"/>
    <mergeCell ref="E6:E7"/>
    <mergeCell ref="E8:E9"/>
    <mergeCell ref="E10:E11"/>
    <mergeCell ref="H2:H3"/>
    <mergeCell ref="H4:H5"/>
    <mergeCell ref="H6:H7"/>
    <mergeCell ref="H8:H9"/>
    <mergeCell ref="H10:H11"/>
    <mergeCell ref="I10:I11"/>
    <mergeCell ref="A12:I12"/>
    <mergeCell ref="B13:C13"/>
    <mergeCell ref="E13:F13"/>
    <mergeCell ref="H13:I13"/>
    <mergeCell ref="F10:G11"/>
    <mergeCell ref="A10:B11"/>
    <mergeCell ref="A20:B20"/>
    <mergeCell ref="A21:B21"/>
    <mergeCell ref="A22:B22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A27:B27"/>
    <mergeCell ref="A28:B28"/>
    <mergeCell ref="A29:B29"/>
    <mergeCell ref="D28:E28"/>
    <mergeCell ref="D29:E29"/>
    <mergeCell ref="G28:H28"/>
    <mergeCell ref="G29:H29"/>
    <mergeCell ref="A37:I37"/>
    <mergeCell ref="G31:I31"/>
    <mergeCell ref="G32:I32"/>
    <mergeCell ref="G33:I33"/>
    <mergeCell ref="G34:I34"/>
    <mergeCell ref="G35:I35"/>
    <mergeCell ref="D31:F31"/>
    <mergeCell ref="D32:F32"/>
    <mergeCell ref="D33:F33"/>
    <mergeCell ref="D34:F34"/>
    <mergeCell ref="D35:F35"/>
    <mergeCell ref="A31:C31"/>
    <mergeCell ref="A32:C32"/>
    <mergeCell ref="A33:C33"/>
    <mergeCell ref="A34:C34"/>
    <mergeCell ref="A35:C35"/>
  </mergeCells>
  <pageMargins left="0.393999993801117" right="0.393999993801117" top="0.59100002050399802" bottom="0.59100002050399802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9"/>
  <sheetViews>
    <sheetView tabSelected="1" topLeftCell="A6" workbookViewId="0">
      <selection activeCell="H36" sqref="H36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2.85546875" customWidth="1"/>
    <col min="4" max="4" width="10" customWidth="1"/>
    <col min="5" max="5" width="14" customWidth="1"/>
    <col min="6" max="6" width="22.85546875" customWidth="1"/>
    <col min="7" max="7" width="9.140625" customWidth="1"/>
    <col min="8" max="8" width="17.140625" customWidth="1"/>
    <col min="9" max="9" width="22.85546875" customWidth="1"/>
  </cols>
  <sheetData>
    <row r="1" spans="1:9" ht="54.75" customHeight="1" x14ac:dyDescent="0.25">
      <c r="A1" s="114" t="s">
        <v>54</v>
      </c>
      <c r="B1" s="115"/>
      <c r="C1" s="115"/>
      <c r="D1" s="115"/>
      <c r="E1" s="115"/>
      <c r="F1" s="115"/>
      <c r="G1" s="115"/>
      <c r="H1" s="115"/>
      <c r="I1" s="115"/>
    </row>
    <row r="2" spans="1:9" x14ac:dyDescent="0.25">
      <c r="A2" s="116" t="s">
        <v>1</v>
      </c>
      <c r="B2" s="117"/>
      <c r="C2" s="111" t="str">
        <f>'Stavební rozpočet'!C2</f>
        <v>Provizorní oprava zastřešení objektu Škroupovo náměstí č.p. 158, Česká Lípa</v>
      </c>
      <c r="D2" s="112"/>
      <c r="E2" s="108" t="s">
        <v>2</v>
      </c>
      <c r="F2" s="108" t="str">
        <f>'Stavební rozpočet'!I2</f>
        <v> </v>
      </c>
      <c r="G2" s="117"/>
      <c r="H2" s="108" t="s">
        <v>3</v>
      </c>
      <c r="I2" s="119" t="s">
        <v>4</v>
      </c>
    </row>
    <row r="3" spans="1:9" ht="25.5" customHeight="1" x14ac:dyDescent="0.25">
      <c r="A3" s="118"/>
      <c r="B3" s="71"/>
      <c r="C3" s="113"/>
      <c r="D3" s="113"/>
      <c r="E3" s="71"/>
      <c r="F3" s="71"/>
      <c r="G3" s="71"/>
      <c r="H3" s="71"/>
      <c r="I3" s="120"/>
    </row>
    <row r="4" spans="1:9" x14ac:dyDescent="0.25">
      <c r="A4" s="109" t="s">
        <v>5</v>
      </c>
      <c r="B4" s="71"/>
      <c r="C4" s="70" t="str">
        <f>'Stavební rozpočet'!C4</f>
        <v>objekt</v>
      </c>
      <c r="D4" s="71"/>
      <c r="E4" s="70" t="s">
        <v>6</v>
      </c>
      <c r="F4" s="70" t="str">
        <f>'Stavební rozpočet'!I4</f>
        <v> </v>
      </c>
      <c r="G4" s="71"/>
      <c r="H4" s="70" t="s">
        <v>3</v>
      </c>
      <c r="I4" s="120" t="s">
        <v>4</v>
      </c>
    </row>
    <row r="5" spans="1:9" ht="15" customHeight="1" x14ac:dyDescent="0.25">
      <c r="A5" s="118"/>
      <c r="B5" s="71"/>
      <c r="C5" s="71"/>
      <c r="D5" s="71"/>
      <c r="E5" s="71"/>
      <c r="F5" s="71"/>
      <c r="G5" s="71"/>
      <c r="H5" s="71"/>
      <c r="I5" s="120"/>
    </row>
    <row r="6" spans="1:9" x14ac:dyDescent="0.25">
      <c r="A6" s="109" t="s">
        <v>7</v>
      </c>
      <c r="B6" s="71"/>
      <c r="C6" s="70" t="str">
        <f>'Stavební rozpočet'!C6</f>
        <v>Město Česká Lípa - Škroupovo náměstí</v>
      </c>
      <c r="D6" s="71"/>
      <c r="E6" s="70" t="s">
        <v>8</v>
      </c>
      <c r="F6" s="70" t="str">
        <f>'Stavební rozpočet'!I6</f>
        <v> </v>
      </c>
      <c r="G6" s="71"/>
      <c r="H6" s="70" t="s">
        <v>3</v>
      </c>
      <c r="I6" s="120" t="s">
        <v>4</v>
      </c>
    </row>
    <row r="7" spans="1:9" ht="15" customHeight="1" x14ac:dyDescent="0.25">
      <c r="A7" s="118"/>
      <c r="B7" s="71"/>
      <c r="C7" s="71"/>
      <c r="D7" s="71"/>
      <c r="E7" s="71"/>
      <c r="F7" s="71"/>
      <c r="G7" s="71"/>
      <c r="H7" s="71"/>
      <c r="I7" s="120"/>
    </row>
    <row r="8" spans="1:9" x14ac:dyDescent="0.25">
      <c r="A8" s="109" t="s">
        <v>9</v>
      </c>
      <c r="B8" s="71"/>
      <c r="C8" s="70" t="str">
        <f>'Stavební rozpočet'!G4</f>
        <v>11.03.2025</v>
      </c>
      <c r="D8" s="71"/>
      <c r="E8" s="70" t="s">
        <v>10</v>
      </c>
      <c r="F8" s="70" t="str">
        <f>'Stavební rozpočet'!G6</f>
        <v xml:space="preserve"> </v>
      </c>
      <c r="G8" s="71"/>
      <c r="H8" s="71" t="s">
        <v>11</v>
      </c>
      <c r="I8" s="121">
        <v>52</v>
      </c>
    </row>
    <row r="9" spans="1:9" x14ac:dyDescent="0.25">
      <c r="A9" s="118"/>
      <c r="B9" s="71"/>
      <c r="C9" s="71"/>
      <c r="D9" s="71"/>
      <c r="E9" s="71"/>
      <c r="F9" s="71"/>
      <c r="G9" s="71"/>
      <c r="H9" s="71"/>
      <c r="I9" s="120"/>
    </row>
    <row r="10" spans="1:9" x14ac:dyDescent="0.25">
      <c r="A10" s="109" t="s">
        <v>12</v>
      </c>
      <c r="B10" s="71"/>
      <c r="C10" s="70" t="str">
        <f>'Stavební rozpočet'!C8</f>
        <v xml:space="preserve"> </v>
      </c>
      <c r="D10" s="71"/>
      <c r="E10" s="70" t="s">
        <v>13</v>
      </c>
      <c r="F10" s="70" t="str">
        <f>'Stavební rozpočet'!I8</f>
        <v> </v>
      </c>
      <c r="G10" s="71"/>
      <c r="H10" s="71" t="s">
        <v>14</v>
      </c>
      <c r="I10" s="102" t="str">
        <f>'Stavební rozpočet'!G8</f>
        <v>11.03.2025</v>
      </c>
    </row>
    <row r="11" spans="1:9" x14ac:dyDescent="0.25">
      <c r="A11" s="110"/>
      <c r="B11" s="107"/>
      <c r="C11" s="107"/>
      <c r="D11" s="107"/>
      <c r="E11" s="107"/>
      <c r="F11" s="107"/>
      <c r="G11" s="107"/>
      <c r="H11" s="107"/>
      <c r="I11" s="103"/>
    </row>
    <row r="13" spans="1:9" ht="15.75" x14ac:dyDescent="0.25">
      <c r="A13" s="137" t="s">
        <v>55</v>
      </c>
      <c r="B13" s="137"/>
      <c r="C13" s="137"/>
      <c r="D13" s="137"/>
      <c r="E13" s="137"/>
    </row>
    <row r="14" spans="1:9" x14ac:dyDescent="0.25">
      <c r="A14" s="138" t="s">
        <v>56</v>
      </c>
      <c r="B14" s="139"/>
      <c r="C14" s="139"/>
      <c r="D14" s="139"/>
      <c r="E14" s="140"/>
      <c r="F14" s="18" t="s">
        <v>57</v>
      </c>
      <c r="G14" s="18" t="s">
        <v>58</v>
      </c>
      <c r="H14" s="18" t="s">
        <v>59</v>
      </c>
      <c r="I14" s="18" t="s">
        <v>57</v>
      </c>
    </row>
    <row r="15" spans="1:9" x14ac:dyDescent="0.25">
      <c r="A15" s="122" t="s">
        <v>4</v>
      </c>
      <c r="B15" s="123"/>
      <c r="C15" s="123"/>
      <c r="D15" s="123"/>
      <c r="E15" s="124"/>
      <c r="F15" s="19">
        <v>0</v>
      </c>
      <c r="G15" s="20" t="s">
        <v>4</v>
      </c>
      <c r="H15" s="20" t="s">
        <v>4</v>
      </c>
      <c r="I15" s="19">
        <f>F15</f>
        <v>0</v>
      </c>
    </row>
    <row r="16" spans="1:9" x14ac:dyDescent="0.25">
      <c r="A16" s="122" t="s">
        <v>4</v>
      </c>
      <c r="B16" s="123"/>
      <c r="C16" s="123"/>
      <c r="D16" s="123"/>
      <c r="E16" s="124"/>
      <c r="F16" s="19">
        <v>0</v>
      </c>
      <c r="G16" s="20" t="s">
        <v>4</v>
      </c>
      <c r="H16" s="20" t="s">
        <v>4</v>
      </c>
      <c r="I16" s="19">
        <f>F16</f>
        <v>0</v>
      </c>
    </row>
    <row r="17" spans="1:9" x14ac:dyDescent="0.25">
      <c r="A17" s="125" t="s">
        <v>4</v>
      </c>
      <c r="B17" s="126"/>
      <c r="C17" s="126"/>
      <c r="D17" s="126"/>
      <c r="E17" s="127"/>
      <c r="F17" s="21">
        <v>0</v>
      </c>
      <c r="G17" s="22" t="s">
        <v>4</v>
      </c>
      <c r="H17" s="22" t="s">
        <v>4</v>
      </c>
      <c r="I17" s="21">
        <f>F17</f>
        <v>0</v>
      </c>
    </row>
    <row r="18" spans="1:9" x14ac:dyDescent="0.25">
      <c r="A18" s="128" t="s">
        <v>60</v>
      </c>
      <c r="B18" s="129"/>
      <c r="C18" s="129"/>
      <c r="D18" s="129"/>
      <c r="E18" s="130"/>
      <c r="F18" s="23" t="s">
        <v>4</v>
      </c>
      <c r="G18" s="24" t="s">
        <v>4</v>
      </c>
      <c r="H18" s="24" t="s">
        <v>4</v>
      </c>
      <c r="I18" s="25">
        <f>SUM(I15:I17)</f>
        <v>0</v>
      </c>
    </row>
    <row r="20" spans="1:9" x14ac:dyDescent="0.25">
      <c r="A20" s="138" t="s">
        <v>21</v>
      </c>
      <c r="B20" s="139"/>
      <c r="C20" s="139"/>
      <c r="D20" s="139"/>
      <c r="E20" s="140"/>
      <c r="F20" s="18" t="s">
        <v>57</v>
      </c>
      <c r="G20" s="18" t="s">
        <v>58</v>
      </c>
      <c r="H20" s="18" t="s">
        <v>59</v>
      </c>
      <c r="I20" s="18" t="s">
        <v>57</v>
      </c>
    </row>
    <row r="21" spans="1:9" x14ac:dyDescent="0.25">
      <c r="A21" s="122" t="s">
        <v>346</v>
      </c>
      <c r="B21" s="123"/>
      <c r="C21" s="123"/>
      <c r="D21" s="123"/>
      <c r="E21" s="124"/>
      <c r="F21" s="68">
        <v>0</v>
      </c>
      <c r="G21" s="19"/>
      <c r="H21" s="19"/>
      <c r="I21" s="19">
        <f t="shared" ref="I21:I26" si="0">F21</f>
        <v>0</v>
      </c>
    </row>
    <row r="22" spans="1:9" x14ac:dyDescent="0.25">
      <c r="A22" s="122"/>
      <c r="B22" s="123"/>
      <c r="C22" s="123"/>
      <c r="D22" s="123"/>
      <c r="E22" s="124"/>
      <c r="F22" s="19"/>
      <c r="G22" s="20" t="s">
        <v>4</v>
      </c>
      <c r="H22" s="20" t="s">
        <v>4</v>
      </c>
      <c r="I22" s="19">
        <f t="shared" si="0"/>
        <v>0</v>
      </c>
    </row>
    <row r="23" spans="1:9" x14ac:dyDescent="0.25">
      <c r="A23" s="122"/>
      <c r="B23" s="123"/>
      <c r="C23" s="123"/>
      <c r="D23" s="123"/>
      <c r="E23" s="124"/>
      <c r="F23" s="19"/>
      <c r="G23" s="20" t="s">
        <v>4</v>
      </c>
      <c r="H23" s="20" t="s">
        <v>4</v>
      </c>
      <c r="I23" s="19">
        <f t="shared" si="0"/>
        <v>0</v>
      </c>
    </row>
    <row r="24" spans="1:9" x14ac:dyDescent="0.25">
      <c r="A24" s="122"/>
      <c r="B24" s="123"/>
      <c r="C24" s="123"/>
      <c r="D24" s="123"/>
      <c r="E24" s="124"/>
      <c r="F24" s="19"/>
      <c r="G24" s="20" t="s">
        <v>4</v>
      </c>
      <c r="H24" s="20" t="s">
        <v>4</v>
      </c>
      <c r="I24" s="19">
        <f t="shared" si="0"/>
        <v>0</v>
      </c>
    </row>
    <row r="25" spans="1:9" x14ac:dyDescent="0.25">
      <c r="A25" s="122"/>
      <c r="B25" s="123"/>
      <c r="C25" s="123"/>
      <c r="D25" s="123"/>
      <c r="E25" s="124"/>
      <c r="F25" s="19"/>
      <c r="G25" s="20" t="s">
        <v>4</v>
      </c>
      <c r="H25" s="20" t="s">
        <v>4</v>
      </c>
      <c r="I25" s="19">
        <f t="shared" si="0"/>
        <v>0</v>
      </c>
    </row>
    <row r="26" spans="1:9" x14ac:dyDescent="0.25">
      <c r="A26" s="125"/>
      <c r="B26" s="126"/>
      <c r="C26" s="126"/>
      <c r="D26" s="126"/>
      <c r="E26" s="127"/>
      <c r="F26" s="21"/>
      <c r="G26" s="22" t="s">
        <v>4</v>
      </c>
      <c r="H26" s="22" t="s">
        <v>4</v>
      </c>
      <c r="I26" s="21">
        <f t="shared" si="0"/>
        <v>0</v>
      </c>
    </row>
    <row r="27" spans="1:9" x14ac:dyDescent="0.25">
      <c r="A27" s="128" t="s">
        <v>61</v>
      </c>
      <c r="B27" s="129"/>
      <c r="C27" s="129"/>
      <c r="D27" s="129"/>
      <c r="E27" s="130"/>
      <c r="F27" s="23" t="s">
        <v>4</v>
      </c>
      <c r="G27" s="24" t="s">
        <v>4</v>
      </c>
      <c r="H27" s="24" t="s">
        <v>4</v>
      </c>
      <c r="I27" s="25">
        <f>SUM(I21:I26)</f>
        <v>0</v>
      </c>
    </row>
    <row r="29" spans="1:9" ht="15.75" x14ac:dyDescent="0.25">
      <c r="A29" s="131" t="s">
        <v>62</v>
      </c>
      <c r="B29" s="132"/>
      <c r="C29" s="132"/>
      <c r="D29" s="132"/>
      <c r="E29" s="133"/>
      <c r="F29" s="134">
        <f>I18+I27</f>
        <v>0</v>
      </c>
      <c r="G29" s="135"/>
      <c r="H29" s="135"/>
      <c r="I29" s="136"/>
    </row>
    <row r="33" spans="1:9" ht="15.75" x14ac:dyDescent="0.25">
      <c r="A33" s="137" t="s">
        <v>63</v>
      </c>
      <c r="B33" s="137"/>
      <c r="C33" s="137"/>
      <c r="D33" s="137"/>
      <c r="E33" s="137"/>
    </row>
    <row r="34" spans="1:9" x14ac:dyDescent="0.25">
      <c r="A34" s="138" t="s">
        <v>64</v>
      </c>
      <c r="B34" s="139"/>
      <c r="C34" s="139"/>
      <c r="D34" s="139"/>
      <c r="E34" s="140"/>
      <c r="F34" s="18" t="s">
        <v>57</v>
      </c>
      <c r="G34" s="18" t="s">
        <v>58</v>
      </c>
      <c r="H34" s="18" t="s">
        <v>59</v>
      </c>
      <c r="I34" s="18" t="s">
        <v>57</v>
      </c>
    </row>
    <row r="35" spans="1:9" x14ac:dyDescent="0.25">
      <c r="A35" s="122" t="s">
        <v>65</v>
      </c>
      <c r="B35" s="123"/>
      <c r="C35" s="123"/>
      <c r="D35" s="123"/>
      <c r="E35" s="124"/>
      <c r="F35" s="69">
        <v>0</v>
      </c>
      <c r="G35" s="20" t="s">
        <v>4</v>
      </c>
      <c r="H35" s="20" t="s">
        <v>4</v>
      </c>
      <c r="I35" s="19">
        <f>F35</f>
        <v>0</v>
      </c>
    </row>
    <row r="36" spans="1:9" x14ac:dyDescent="0.25">
      <c r="A36" s="122" t="s">
        <v>66</v>
      </c>
      <c r="B36" s="123"/>
      <c r="C36" s="123"/>
      <c r="D36" s="123"/>
      <c r="E36" s="124"/>
      <c r="F36" s="69">
        <v>0</v>
      </c>
      <c r="G36" s="20" t="s">
        <v>4</v>
      </c>
      <c r="H36" s="20" t="s">
        <v>4</v>
      </c>
      <c r="I36" s="19">
        <f>F36</f>
        <v>0</v>
      </c>
    </row>
    <row r="37" spans="1:9" x14ac:dyDescent="0.25">
      <c r="A37" s="122" t="s">
        <v>67</v>
      </c>
      <c r="B37" s="123"/>
      <c r="C37" s="123"/>
      <c r="D37" s="123"/>
      <c r="E37" s="124"/>
      <c r="F37" s="69">
        <v>0</v>
      </c>
      <c r="G37" s="20" t="s">
        <v>4</v>
      </c>
      <c r="H37" s="20" t="s">
        <v>4</v>
      </c>
      <c r="I37" s="19">
        <f>F37</f>
        <v>0</v>
      </c>
    </row>
    <row r="38" spans="1:9" x14ac:dyDescent="0.25">
      <c r="A38" s="125" t="s">
        <v>68</v>
      </c>
      <c r="B38" s="126"/>
      <c r="C38" s="126"/>
      <c r="D38" s="126"/>
      <c r="E38" s="127"/>
      <c r="F38" s="68">
        <v>0</v>
      </c>
      <c r="G38" s="22" t="s">
        <v>4</v>
      </c>
      <c r="H38" s="22" t="s">
        <v>4</v>
      </c>
      <c r="I38" s="21">
        <f>F38</f>
        <v>0</v>
      </c>
    </row>
    <row r="39" spans="1:9" x14ac:dyDescent="0.25">
      <c r="A39" s="128" t="s">
        <v>69</v>
      </c>
      <c r="B39" s="129"/>
      <c r="C39" s="129"/>
      <c r="D39" s="129"/>
      <c r="E39" s="130"/>
      <c r="F39" s="23" t="s">
        <v>4</v>
      </c>
      <c r="G39" s="24" t="s">
        <v>4</v>
      </c>
      <c r="H39" s="24" t="s">
        <v>4</v>
      </c>
      <c r="I39" s="25">
        <f>SUM(I35:I38)</f>
        <v>0</v>
      </c>
    </row>
  </sheetData>
  <sheetProtection algorithmName="SHA-512" hashValue="5WeD0Iy94zwao082L6DPKiaIYsUT7ZWb/1zbAlTiy2g/pmOfxGUoboJ2sE0nZwWMhCcXnyjypkhTFx+2pOppow==" saltValue="uiu49Ex120on/k71l2Ouhw==" spinCount="100000" sheet="1"/>
  <protectedRanges>
    <protectedRange sqref="F21 F35:F38" name="Oblast1"/>
  </protectedRanges>
  <mergeCells count="54">
    <mergeCell ref="A1:I1"/>
    <mergeCell ref="A2:B3"/>
    <mergeCell ref="A4:B5"/>
    <mergeCell ref="A6:B7"/>
    <mergeCell ref="A8:B9"/>
    <mergeCell ref="H2:H3"/>
    <mergeCell ref="H4:H5"/>
    <mergeCell ref="H6:H7"/>
    <mergeCell ref="H8:H9"/>
    <mergeCell ref="I2:I3"/>
    <mergeCell ref="I4:I5"/>
    <mergeCell ref="I6:I7"/>
    <mergeCell ref="I8:I9"/>
    <mergeCell ref="E2:E3"/>
    <mergeCell ref="E4:E5"/>
    <mergeCell ref="E6:E7"/>
    <mergeCell ref="E8:E9"/>
    <mergeCell ref="E10:E11"/>
    <mergeCell ref="F2:G3"/>
    <mergeCell ref="F4:G5"/>
    <mergeCell ref="F6:G7"/>
    <mergeCell ref="F8:G9"/>
    <mergeCell ref="F10:G11"/>
    <mergeCell ref="C2:D3"/>
    <mergeCell ref="C4:D5"/>
    <mergeCell ref="C6:D7"/>
    <mergeCell ref="C8:D9"/>
    <mergeCell ref="C10:D11"/>
    <mergeCell ref="I10:I11"/>
    <mergeCell ref="A13:E13"/>
    <mergeCell ref="A14:E14"/>
    <mergeCell ref="A15:E15"/>
    <mergeCell ref="A16:E16"/>
    <mergeCell ref="H10:H11"/>
    <mergeCell ref="A10:B11"/>
    <mergeCell ref="A17:E17"/>
    <mergeCell ref="A18:E18"/>
    <mergeCell ref="A20:E20"/>
    <mergeCell ref="A21:E21"/>
    <mergeCell ref="A22:E22"/>
    <mergeCell ref="F29:I29"/>
    <mergeCell ref="A33:E33"/>
    <mergeCell ref="A34:E34"/>
    <mergeCell ref="A35:E35"/>
    <mergeCell ref="A23:E23"/>
    <mergeCell ref="A24:E24"/>
    <mergeCell ref="A25:E25"/>
    <mergeCell ref="A26:E26"/>
    <mergeCell ref="A27:E27"/>
    <mergeCell ref="A36:E36"/>
    <mergeCell ref="A37:E37"/>
    <mergeCell ref="A38:E38"/>
    <mergeCell ref="A39:E39"/>
    <mergeCell ref="A29:E29"/>
  </mergeCells>
  <pageMargins left="0.393999993801117" right="0.393999993801117" top="0.59100002050399802" bottom="0.59100002050399802" header="0" footer="0"/>
  <pageSetup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Z137"/>
  <sheetViews>
    <sheetView workbookViewId="0">
      <pane ySplit="11" topLeftCell="A12" activePane="bottomLeft" state="frozen"/>
      <selection pane="bottomLeft" activeCell="G15" sqref="G15"/>
    </sheetView>
  </sheetViews>
  <sheetFormatPr defaultColWidth="12.140625" defaultRowHeight="15" customHeight="1" x14ac:dyDescent="0.25"/>
  <cols>
    <col min="1" max="1" width="3.140625" customWidth="1"/>
    <col min="2" max="2" width="17.85546875" customWidth="1"/>
    <col min="3" max="3" width="42.85546875" customWidth="1"/>
    <col min="4" max="4" width="35.7109375" customWidth="1"/>
    <col min="5" max="5" width="4.28515625" customWidth="1"/>
    <col min="6" max="6" width="12.85546875" customWidth="1"/>
    <col min="7" max="7" width="12" customWidth="1"/>
    <col min="8" max="8" width="15.7109375" customWidth="1"/>
    <col min="9" max="9" width="13.42578125" customWidth="1"/>
    <col min="25" max="75" width="12.140625" hidden="1"/>
    <col min="76" max="76" width="78.5703125" hidden="1" customWidth="1"/>
    <col min="77" max="78" width="12.140625" hidden="1"/>
  </cols>
  <sheetData>
    <row r="1" spans="1:76" ht="54.75" customHeight="1" x14ac:dyDescent="0.25">
      <c r="A1" s="115" t="s">
        <v>70</v>
      </c>
      <c r="B1" s="115"/>
      <c r="C1" s="115"/>
      <c r="D1" s="115"/>
      <c r="E1" s="115"/>
      <c r="F1" s="115"/>
      <c r="G1" s="115"/>
      <c r="H1" s="115"/>
      <c r="I1" s="115"/>
      <c r="J1" s="115"/>
      <c r="AS1" s="26">
        <f>SUM(AJ1:AJ2)</f>
        <v>0</v>
      </c>
      <c r="AT1" s="26">
        <f>SUM(AK1:AK2)</f>
        <v>0</v>
      </c>
      <c r="AU1" s="26">
        <f>SUM(AL1:AL2)</f>
        <v>0</v>
      </c>
    </row>
    <row r="2" spans="1:76" x14ac:dyDescent="0.25">
      <c r="A2" s="116" t="s">
        <v>1</v>
      </c>
      <c r="B2" s="117"/>
      <c r="C2" s="111" t="s">
        <v>71</v>
      </c>
      <c r="D2" s="112"/>
      <c r="E2" s="117" t="s">
        <v>72</v>
      </c>
      <c r="F2" s="117"/>
      <c r="G2" s="158" t="s">
        <v>73</v>
      </c>
      <c r="H2" s="108" t="s">
        <v>2</v>
      </c>
      <c r="I2" s="117" t="s">
        <v>74</v>
      </c>
      <c r="J2" s="119"/>
    </row>
    <row r="3" spans="1:76" x14ac:dyDescent="0.25">
      <c r="A3" s="118"/>
      <c r="B3" s="71"/>
      <c r="C3" s="113"/>
      <c r="D3" s="113"/>
      <c r="E3" s="71"/>
      <c r="F3" s="71"/>
      <c r="G3" s="151"/>
      <c r="H3" s="71"/>
      <c r="I3" s="71"/>
      <c r="J3" s="120"/>
    </row>
    <row r="4" spans="1:76" x14ac:dyDescent="0.25">
      <c r="A4" s="109" t="s">
        <v>5</v>
      </c>
      <c r="B4" s="71"/>
      <c r="C4" s="70" t="s">
        <v>75</v>
      </c>
      <c r="D4" s="71"/>
      <c r="E4" s="71" t="s">
        <v>9</v>
      </c>
      <c r="F4" s="71"/>
      <c r="G4" s="151" t="s">
        <v>76</v>
      </c>
      <c r="H4" s="70" t="s">
        <v>6</v>
      </c>
      <c r="I4" s="71" t="s">
        <v>74</v>
      </c>
      <c r="J4" s="120"/>
    </row>
    <row r="5" spans="1:76" x14ac:dyDescent="0.25">
      <c r="A5" s="118"/>
      <c r="B5" s="71"/>
      <c r="C5" s="71"/>
      <c r="D5" s="71"/>
      <c r="E5" s="71"/>
      <c r="F5" s="71"/>
      <c r="G5" s="151"/>
      <c r="H5" s="71"/>
      <c r="I5" s="71"/>
      <c r="J5" s="120"/>
    </row>
    <row r="6" spans="1:76" x14ac:dyDescent="0.25">
      <c r="A6" s="109" t="s">
        <v>7</v>
      </c>
      <c r="B6" s="71"/>
      <c r="C6" s="70" t="s">
        <v>77</v>
      </c>
      <c r="D6" s="71"/>
      <c r="E6" s="71" t="s">
        <v>10</v>
      </c>
      <c r="F6" s="71"/>
      <c r="G6" s="151" t="s">
        <v>73</v>
      </c>
      <c r="H6" s="70" t="s">
        <v>8</v>
      </c>
      <c r="I6" s="151" t="s">
        <v>74</v>
      </c>
      <c r="J6" s="152"/>
    </row>
    <row r="7" spans="1:76" x14ac:dyDescent="0.25">
      <c r="A7" s="118"/>
      <c r="B7" s="71"/>
      <c r="C7" s="71"/>
      <c r="D7" s="71"/>
      <c r="E7" s="71"/>
      <c r="F7" s="71"/>
      <c r="G7" s="151"/>
      <c r="H7" s="71"/>
      <c r="I7" s="151"/>
      <c r="J7" s="152"/>
    </row>
    <row r="8" spans="1:76" x14ac:dyDescent="0.25">
      <c r="A8" s="109" t="s">
        <v>12</v>
      </c>
      <c r="B8" s="71"/>
      <c r="C8" s="70" t="s">
        <v>73</v>
      </c>
      <c r="D8" s="71"/>
      <c r="E8" s="71" t="s">
        <v>78</v>
      </c>
      <c r="F8" s="71"/>
      <c r="G8" s="151" t="s">
        <v>76</v>
      </c>
      <c r="H8" s="70" t="s">
        <v>13</v>
      </c>
      <c r="I8" s="151" t="s">
        <v>74</v>
      </c>
      <c r="J8" s="152"/>
    </row>
    <row r="9" spans="1:76" x14ac:dyDescent="0.25">
      <c r="A9" s="159"/>
      <c r="B9" s="157"/>
      <c r="C9" s="157"/>
      <c r="D9" s="157"/>
      <c r="E9" s="157"/>
      <c r="F9" s="157"/>
      <c r="G9" s="153"/>
      <c r="H9" s="157"/>
      <c r="I9" s="153"/>
      <c r="J9" s="154"/>
    </row>
    <row r="10" spans="1:76" x14ac:dyDescent="0.25">
      <c r="A10" s="27" t="s">
        <v>79</v>
      </c>
      <c r="B10" s="28" t="s">
        <v>80</v>
      </c>
      <c r="C10" s="155" t="s">
        <v>81</v>
      </c>
      <c r="D10" s="156"/>
      <c r="E10" s="28" t="s">
        <v>82</v>
      </c>
      <c r="F10" s="29" t="s">
        <v>83</v>
      </c>
      <c r="G10" s="30" t="s">
        <v>84</v>
      </c>
      <c r="H10" s="31" t="s">
        <v>85</v>
      </c>
      <c r="I10" s="32" t="s">
        <v>86</v>
      </c>
      <c r="J10" s="33"/>
      <c r="BK10" s="34" t="s">
        <v>87</v>
      </c>
      <c r="BL10" s="35" t="s">
        <v>88</v>
      </c>
      <c r="BW10" s="35" t="s">
        <v>89</v>
      </c>
    </row>
    <row r="11" spans="1:76" x14ac:dyDescent="0.25">
      <c r="A11" s="36" t="s">
        <v>73</v>
      </c>
      <c r="B11" s="37" t="s">
        <v>73</v>
      </c>
      <c r="C11" s="147" t="s">
        <v>90</v>
      </c>
      <c r="D11" s="148"/>
      <c r="E11" s="37" t="s">
        <v>73</v>
      </c>
      <c r="F11" s="37" t="s">
        <v>73</v>
      </c>
      <c r="G11" s="38" t="s">
        <v>91</v>
      </c>
      <c r="H11" s="39" t="s">
        <v>92</v>
      </c>
      <c r="I11" s="40" t="s">
        <v>93</v>
      </c>
      <c r="J11" s="41"/>
      <c r="Z11" s="34" t="s">
        <v>94</v>
      </c>
      <c r="AA11" s="34" t="s">
        <v>95</v>
      </c>
      <c r="AB11" s="34" t="s">
        <v>96</v>
      </c>
      <c r="AC11" s="34" t="s">
        <v>97</v>
      </c>
      <c r="AD11" s="34" t="s">
        <v>98</v>
      </c>
      <c r="AE11" s="34" t="s">
        <v>99</v>
      </c>
      <c r="AF11" s="34" t="s">
        <v>100</v>
      </c>
      <c r="AG11" s="34" t="s">
        <v>101</v>
      </c>
      <c r="AH11" s="34" t="s">
        <v>102</v>
      </c>
      <c r="BH11" s="34" t="s">
        <v>103</v>
      </c>
      <c r="BI11" s="34" t="s">
        <v>104</v>
      </c>
      <c r="BJ11" s="34" t="s">
        <v>105</v>
      </c>
    </row>
    <row r="12" spans="1:76" x14ac:dyDescent="0.25">
      <c r="A12" s="42" t="s">
        <v>4</v>
      </c>
      <c r="B12" s="43" t="s">
        <v>4</v>
      </c>
      <c r="C12" s="149" t="s">
        <v>106</v>
      </c>
      <c r="D12" s="150"/>
      <c r="E12" s="44" t="s">
        <v>73</v>
      </c>
      <c r="F12" s="44" t="s">
        <v>73</v>
      </c>
      <c r="G12" s="45" t="s">
        <v>73</v>
      </c>
      <c r="H12" s="46">
        <f>H13+H16+H22+H38+H55+H62+H94+H114+H116+H132</f>
        <v>0</v>
      </c>
      <c r="I12" s="47" t="s">
        <v>4</v>
      </c>
      <c r="J12" s="48"/>
    </row>
    <row r="13" spans="1:76" x14ac:dyDescent="0.25">
      <c r="A13" s="49" t="s">
        <v>4</v>
      </c>
      <c r="B13" s="50" t="s">
        <v>107</v>
      </c>
      <c r="C13" s="141" t="s">
        <v>108</v>
      </c>
      <c r="D13" s="142"/>
      <c r="E13" s="51" t="s">
        <v>73</v>
      </c>
      <c r="F13" s="51" t="s">
        <v>73</v>
      </c>
      <c r="G13" s="52" t="s">
        <v>73</v>
      </c>
      <c r="H13" s="26">
        <f>SUM(H14:H14)</f>
        <v>0</v>
      </c>
      <c r="I13" s="34" t="s">
        <v>4</v>
      </c>
      <c r="J13" s="48"/>
      <c r="AI13" s="34" t="s">
        <v>4</v>
      </c>
      <c r="AS13" s="26">
        <f>SUM(AJ14:AJ14)</f>
        <v>0</v>
      </c>
      <c r="AT13" s="26">
        <f>SUM(AK14:AK14)</f>
        <v>0</v>
      </c>
      <c r="AU13" s="26">
        <f>SUM(AL14:AL14)</f>
        <v>0</v>
      </c>
    </row>
    <row r="14" spans="1:76" x14ac:dyDescent="0.25">
      <c r="A14" s="1" t="s">
        <v>109</v>
      </c>
      <c r="B14" s="2" t="s">
        <v>110</v>
      </c>
      <c r="C14" s="70" t="s">
        <v>111</v>
      </c>
      <c r="D14" s="71"/>
      <c r="E14" s="2" t="s">
        <v>112</v>
      </c>
      <c r="F14" s="53">
        <v>1</v>
      </c>
      <c r="G14" s="54">
        <v>0</v>
      </c>
      <c r="H14" s="53">
        <f>ROUND(F14*G14,2)</f>
        <v>0</v>
      </c>
      <c r="I14" s="55" t="s">
        <v>113</v>
      </c>
      <c r="J14" s="48"/>
      <c r="Z14" s="53">
        <f>ROUND(IF(AQ14="5",BJ14,0),2)</f>
        <v>0</v>
      </c>
      <c r="AB14" s="53">
        <f>ROUND(IF(AQ14="1",BH14,0),2)</f>
        <v>0</v>
      </c>
      <c r="AC14" s="53">
        <f>ROUND(IF(AQ14="1",BI14,0),2)</f>
        <v>0</v>
      </c>
      <c r="AD14" s="53">
        <f>ROUND(IF(AQ14="7",BH14,0),2)</f>
        <v>0</v>
      </c>
      <c r="AE14" s="53">
        <f>ROUND(IF(AQ14="7",BI14,0),2)</f>
        <v>0</v>
      </c>
      <c r="AF14" s="53">
        <f>ROUND(IF(AQ14="2",BH14,0),2)</f>
        <v>0</v>
      </c>
      <c r="AG14" s="53">
        <f>ROUND(IF(AQ14="2",BI14,0),2)</f>
        <v>0</v>
      </c>
      <c r="AH14" s="53">
        <f>ROUND(IF(AQ14="0",BJ14,0),2)</f>
        <v>0</v>
      </c>
      <c r="AI14" s="34" t="s">
        <v>4</v>
      </c>
      <c r="AJ14" s="53">
        <f>IF(AN14=0,H14,0)</f>
        <v>0</v>
      </c>
      <c r="AK14" s="53">
        <f>IF(AN14=12,H14,0)</f>
        <v>0</v>
      </c>
      <c r="AL14" s="53">
        <f>IF(AN14=21,H14,0)</f>
        <v>0</v>
      </c>
      <c r="AN14" s="53">
        <v>21</v>
      </c>
      <c r="AO14" s="53">
        <f>G14*1</f>
        <v>0</v>
      </c>
      <c r="AP14" s="53">
        <f>G14*(1-1)</f>
        <v>0</v>
      </c>
      <c r="AQ14" s="55" t="s">
        <v>109</v>
      </c>
      <c r="AV14" s="53">
        <f>ROUND(AW14+AX14,2)</f>
        <v>0</v>
      </c>
      <c r="AW14" s="53">
        <f>ROUND(F14*AO14,2)</f>
        <v>0</v>
      </c>
      <c r="AX14" s="53">
        <f>ROUND(F14*AP14,2)</f>
        <v>0</v>
      </c>
      <c r="AY14" s="55" t="s">
        <v>114</v>
      </c>
      <c r="AZ14" s="55" t="s">
        <v>115</v>
      </c>
      <c r="BA14" s="34" t="s">
        <v>116</v>
      </c>
      <c r="BC14" s="53">
        <f>AW14+AX14</f>
        <v>0</v>
      </c>
      <c r="BD14" s="53">
        <f>G14/(100-BE14)*100</f>
        <v>0</v>
      </c>
      <c r="BE14" s="53">
        <v>0</v>
      </c>
      <c r="BF14" s="53">
        <f>14</f>
        <v>14</v>
      </c>
      <c r="BH14" s="53">
        <f>F14*AO14</f>
        <v>0</v>
      </c>
      <c r="BI14" s="53">
        <f>F14*AP14</f>
        <v>0</v>
      </c>
      <c r="BJ14" s="53">
        <f>F14*G14</f>
        <v>0</v>
      </c>
      <c r="BK14" s="53"/>
      <c r="BL14" s="53">
        <v>42</v>
      </c>
      <c r="BW14" s="53">
        <v>21</v>
      </c>
      <c r="BX14" s="3" t="s">
        <v>111</v>
      </c>
    </row>
    <row r="15" spans="1:76" x14ac:dyDescent="0.25">
      <c r="A15" s="56"/>
      <c r="C15" s="57" t="s">
        <v>109</v>
      </c>
      <c r="D15" s="57" t="s">
        <v>4</v>
      </c>
      <c r="F15" s="58">
        <v>1</v>
      </c>
      <c r="J15" s="48"/>
    </row>
    <row r="16" spans="1:76" x14ac:dyDescent="0.25">
      <c r="A16" s="49" t="s">
        <v>4</v>
      </c>
      <c r="B16" s="50" t="s">
        <v>117</v>
      </c>
      <c r="C16" s="141" t="s">
        <v>118</v>
      </c>
      <c r="D16" s="142"/>
      <c r="E16" s="51" t="s">
        <v>73</v>
      </c>
      <c r="F16" s="51" t="s">
        <v>73</v>
      </c>
      <c r="G16" s="52" t="s">
        <v>73</v>
      </c>
      <c r="H16" s="26">
        <f>SUM(H17:H20)</f>
        <v>0</v>
      </c>
      <c r="I16" s="34" t="s">
        <v>4</v>
      </c>
      <c r="J16" s="48"/>
      <c r="AI16" s="34" t="s">
        <v>4</v>
      </c>
      <c r="AS16" s="26">
        <f>SUM(AJ17:AJ20)</f>
        <v>0</v>
      </c>
      <c r="AT16" s="26">
        <f>SUM(AK17:AK20)</f>
        <v>0</v>
      </c>
      <c r="AU16" s="26">
        <f>SUM(AL17:AL20)</f>
        <v>0</v>
      </c>
    </row>
    <row r="17" spans="1:76" x14ac:dyDescent="0.25">
      <c r="A17" s="1" t="s">
        <v>119</v>
      </c>
      <c r="B17" s="2" t="s">
        <v>120</v>
      </c>
      <c r="C17" s="70" t="s">
        <v>121</v>
      </c>
      <c r="D17" s="71"/>
      <c r="E17" s="2" t="s">
        <v>122</v>
      </c>
      <c r="F17" s="53">
        <v>152</v>
      </c>
      <c r="G17" s="54">
        <v>0</v>
      </c>
      <c r="H17" s="53">
        <f>ROUND(F17*G17,2)</f>
        <v>0</v>
      </c>
      <c r="I17" s="55" t="s">
        <v>123</v>
      </c>
      <c r="J17" s="48"/>
      <c r="Z17" s="53">
        <f>ROUND(IF(AQ17="5",BJ17,0),2)</f>
        <v>0</v>
      </c>
      <c r="AB17" s="53">
        <f>ROUND(IF(AQ17="1",BH17,0),2)</f>
        <v>0</v>
      </c>
      <c r="AC17" s="53">
        <f>ROUND(IF(AQ17="1",BI17,0),2)</f>
        <v>0</v>
      </c>
      <c r="AD17" s="53">
        <f>ROUND(IF(AQ17="7",BH17,0),2)</f>
        <v>0</v>
      </c>
      <c r="AE17" s="53">
        <f>ROUND(IF(AQ17="7",BI17,0),2)</f>
        <v>0</v>
      </c>
      <c r="AF17" s="53">
        <f>ROUND(IF(AQ17="2",BH17,0),2)</f>
        <v>0</v>
      </c>
      <c r="AG17" s="53">
        <f>ROUND(IF(AQ17="2",BI17,0),2)</f>
        <v>0</v>
      </c>
      <c r="AH17" s="53">
        <f>ROUND(IF(AQ17="0",BJ17,0),2)</f>
        <v>0</v>
      </c>
      <c r="AI17" s="34" t="s">
        <v>4</v>
      </c>
      <c r="AJ17" s="53">
        <f>IF(AN17=0,H17,0)</f>
        <v>0</v>
      </c>
      <c r="AK17" s="53">
        <f>IF(AN17=12,H17,0)</f>
        <v>0</v>
      </c>
      <c r="AL17" s="53">
        <f>IF(AN17=21,H17,0)</f>
        <v>0</v>
      </c>
      <c r="AN17" s="53">
        <v>21</v>
      </c>
      <c r="AO17" s="53">
        <f>G17*0</f>
        <v>0</v>
      </c>
      <c r="AP17" s="53">
        <f>G17*(1-0)</f>
        <v>0</v>
      </c>
      <c r="AQ17" s="55" t="s">
        <v>124</v>
      </c>
      <c r="AV17" s="53">
        <f>ROUND(AW17+AX17,2)</f>
        <v>0</v>
      </c>
      <c r="AW17" s="53">
        <f>ROUND(F17*AO17,2)</f>
        <v>0</v>
      </c>
      <c r="AX17" s="53">
        <f>ROUND(F17*AP17,2)</f>
        <v>0</v>
      </c>
      <c r="AY17" s="55" t="s">
        <v>125</v>
      </c>
      <c r="AZ17" s="55" t="s">
        <v>126</v>
      </c>
      <c r="BA17" s="34" t="s">
        <v>116</v>
      </c>
      <c r="BC17" s="53">
        <f>AW17+AX17</f>
        <v>0</v>
      </c>
      <c r="BD17" s="53">
        <f>G17/(100-BE17)*100</f>
        <v>0</v>
      </c>
      <c r="BE17" s="53">
        <v>0</v>
      </c>
      <c r="BF17" s="53">
        <f>17</f>
        <v>17</v>
      </c>
      <c r="BH17" s="53">
        <f>F17*AO17</f>
        <v>0</v>
      </c>
      <c r="BI17" s="53">
        <f>F17*AP17</f>
        <v>0</v>
      </c>
      <c r="BJ17" s="53">
        <f>F17*G17</f>
        <v>0</v>
      </c>
      <c r="BK17" s="53"/>
      <c r="BL17" s="53">
        <v>711</v>
      </c>
      <c r="BW17" s="53">
        <v>21</v>
      </c>
      <c r="BX17" s="3" t="s">
        <v>121</v>
      </c>
    </row>
    <row r="18" spans="1:76" ht="13.5" customHeight="1" x14ac:dyDescent="0.25">
      <c r="A18" s="56"/>
      <c r="B18" s="59" t="s">
        <v>127</v>
      </c>
      <c r="C18" s="143" t="s">
        <v>128</v>
      </c>
      <c r="D18" s="144"/>
      <c r="E18" s="144"/>
      <c r="F18" s="144"/>
      <c r="G18" s="145"/>
      <c r="H18" s="144"/>
      <c r="I18" s="144"/>
      <c r="J18" s="146"/>
    </row>
    <row r="19" spans="1:76" x14ac:dyDescent="0.25">
      <c r="A19" s="56"/>
      <c r="C19" s="57" t="s">
        <v>129</v>
      </c>
      <c r="D19" s="57" t="s">
        <v>4</v>
      </c>
      <c r="F19" s="58">
        <v>152</v>
      </c>
      <c r="J19" s="48"/>
    </row>
    <row r="20" spans="1:76" x14ac:dyDescent="0.25">
      <c r="A20" s="1" t="s">
        <v>130</v>
      </c>
      <c r="B20" s="2" t="s">
        <v>131</v>
      </c>
      <c r="C20" s="70" t="s">
        <v>132</v>
      </c>
      <c r="D20" s="71"/>
      <c r="E20" s="2" t="s">
        <v>122</v>
      </c>
      <c r="F20" s="53">
        <v>167.2</v>
      </c>
      <c r="G20" s="54">
        <v>0</v>
      </c>
      <c r="H20" s="53">
        <f>ROUND(F20*G20,2)</f>
        <v>0</v>
      </c>
      <c r="I20" s="55" t="s">
        <v>123</v>
      </c>
      <c r="J20" s="48"/>
      <c r="Z20" s="53">
        <f>ROUND(IF(AQ20="5",BJ20,0),2)</f>
        <v>0</v>
      </c>
      <c r="AB20" s="53">
        <f>ROUND(IF(AQ20="1",BH20,0),2)</f>
        <v>0</v>
      </c>
      <c r="AC20" s="53">
        <f>ROUND(IF(AQ20="1",BI20,0),2)</f>
        <v>0</v>
      </c>
      <c r="AD20" s="53">
        <f>ROUND(IF(AQ20="7",BH20,0),2)</f>
        <v>0</v>
      </c>
      <c r="AE20" s="53">
        <f>ROUND(IF(AQ20="7",BI20,0),2)</f>
        <v>0</v>
      </c>
      <c r="AF20" s="53">
        <f>ROUND(IF(AQ20="2",BH20,0),2)</f>
        <v>0</v>
      </c>
      <c r="AG20" s="53">
        <f>ROUND(IF(AQ20="2",BI20,0),2)</f>
        <v>0</v>
      </c>
      <c r="AH20" s="53">
        <f>ROUND(IF(AQ20="0",BJ20,0),2)</f>
        <v>0</v>
      </c>
      <c r="AI20" s="34" t="s">
        <v>4</v>
      </c>
      <c r="AJ20" s="53">
        <f>IF(AN20=0,H20,0)</f>
        <v>0</v>
      </c>
      <c r="AK20" s="53">
        <f>IF(AN20=12,H20,0)</f>
        <v>0</v>
      </c>
      <c r="AL20" s="53">
        <f>IF(AN20=21,H20,0)</f>
        <v>0</v>
      </c>
      <c r="AN20" s="53">
        <v>21</v>
      </c>
      <c r="AO20" s="53">
        <f>G20*1</f>
        <v>0</v>
      </c>
      <c r="AP20" s="53">
        <f>G20*(1-1)</f>
        <v>0</v>
      </c>
      <c r="AQ20" s="55" t="s">
        <v>124</v>
      </c>
      <c r="AV20" s="53">
        <f>ROUND(AW20+AX20,2)</f>
        <v>0</v>
      </c>
      <c r="AW20" s="53">
        <f>ROUND(F20*AO20,2)</f>
        <v>0</v>
      </c>
      <c r="AX20" s="53">
        <f>ROUND(F20*AP20,2)</f>
        <v>0</v>
      </c>
      <c r="AY20" s="55" t="s">
        <v>125</v>
      </c>
      <c r="AZ20" s="55" t="s">
        <v>126</v>
      </c>
      <c r="BA20" s="34" t="s">
        <v>116</v>
      </c>
      <c r="BC20" s="53">
        <f>AW20+AX20</f>
        <v>0</v>
      </c>
      <c r="BD20" s="53">
        <f>G20/(100-BE20)*100</f>
        <v>0</v>
      </c>
      <c r="BE20" s="53">
        <v>0</v>
      </c>
      <c r="BF20" s="53">
        <f>20</f>
        <v>20</v>
      </c>
      <c r="BH20" s="53">
        <f>F20*AO20</f>
        <v>0</v>
      </c>
      <c r="BI20" s="53">
        <f>F20*AP20</f>
        <v>0</v>
      </c>
      <c r="BJ20" s="53">
        <f>F20*G20</f>
        <v>0</v>
      </c>
      <c r="BK20" s="53"/>
      <c r="BL20" s="53">
        <v>711</v>
      </c>
      <c r="BW20" s="53">
        <v>21</v>
      </c>
      <c r="BX20" s="3" t="s">
        <v>132</v>
      </c>
    </row>
    <row r="21" spans="1:76" x14ac:dyDescent="0.25">
      <c r="A21" s="56"/>
      <c r="C21" s="57" t="s">
        <v>133</v>
      </c>
      <c r="D21" s="57" t="s">
        <v>4</v>
      </c>
      <c r="F21" s="58">
        <v>167.2</v>
      </c>
      <c r="J21" s="48"/>
    </row>
    <row r="22" spans="1:76" x14ac:dyDescent="0.25">
      <c r="A22" s="49" t="s">
        <v>4</v>
      </c>
      <c r="B22" s="50" t="s">
        <v>134</v>
      </c>
      <c r="C22" s="141" t="s">
        <v>135</v>
      </c>
      <c r="D22" s="142"/>
      <c r="E22" s="51" t="s">
        <v>73</v>
      </c>
      <c r="F22" s="51" t="s">
        <v>73</v>
      </c>
      <c r="G22" s="52" t="s">
        <v>73</v>
      </c>
      <c r="H22" s="26">
        <f>SUM(H23:H37)</f>
        <v>0</v>
      </c>
      <c r="I22" s="34" t="s">
        <v>4</v>
      </c>
      <c r="J22" s="48"/>
      <c r="AI22" s="34" t="s">
        <v>4</v>
      </c>
      <c r="AS22" s="26">
        <f>SUM(AJ23:AJ37)</f>
        <v>0</v>
      </c>
      <c r="AT22" s="26">
        <f>SUM(AK23:AK37)</f>
        <v>0</v>
      </c>
      <c r="AU22" s="26">
        <f>SUM(AL23:AL37)</f>
        <v>0</v>
      </c>
    </row>
    <row r="23" spans="1:76" x14ac:dyDescent="0.25">
      <c r="A23" s="1" t="s">
        <v>136</v>
      </c>
      <c r="B23" s="2" t="s">
        <v>137</v>
      </c>
      <c r="C23" s="70" t="s">
        <v>138</v>
      </c>
      <c r="D23" s="71"/>
      <c r="E23" s="2" t="s">
        <v>122</v>
      </c>
      <c r="F23" s="53">
        <v>131</v>
      </c>
      <c r="G23" s="54">
        <v>0</v>
      </c>
      <c r="H23" s="53">
        <f>ROUND(F23*G23,2)</f>
        <v>0</v>
      </c>
      <c r="I23" s="55" t="s">
        <v>123</v>
      </c>
      <c r="J23" s="48"/>
      <c r="Z23" s="53">
        <f>ROUND(IF(AQ23="5",BJ23,0),2)</f>
        <v>0</v>
      </c>
      <c r="AB23" s="53">
        <f>ROUND(IF(AQ23="1",BH23,0),2)</f>
        <v>0</v>
      </c>
      <c r="AC23" s="53">
        <f>ROUND(IF(AQ23="1",BI23,0),2)</f>
        <v>0</v>
      </c>
      <c r="AD23" s="53">
        <f>ROUND(IF(AQ23="7",BH23,0),2)</f>
        <v>0</v>
      </c>
      <c r="AE23" s="53">
        <f>ROUND(IF(AQ23="7",BI23,0),2)</f>
        <v>0</v>
      </c>
      <c r="AF23" s="53">
        <f>ROUND(IF(AQ23="2",BH23,0),2)</f>
        <v>0</v>
      </c>
      <c r="AG23" s="53">
        <f>ROUND(IF(AQ23="2",BI23,0),2)</f>
        <v>0</v>
      </c>
      <c r="AH23" s="53">
        <f>ROUND(IF(AQ23="0",BJ23,0),2)</f>
        <v>0</v>
      </c>
      <c r="AI23" s="34" t="s">
        <v>4</v>
      </c>
      <c r="AJ23" s="53">
        <f>IF(AN23=0,H23,0)</f>
        <v>0</v>
      </c>
      <c r="AK23" s="53">
        <f>IF(AN23=12,H23,0)</f>
        <v>0</v>
      </c>
      <c r="AL23" s="53">
        <f>IF(AN23=21,H23,0)</f>
        <v>0</v>
      </c>
      <c r="AN23" s="53">
        <v>21</v>
      </c>
      <c r="AO23" s="53">
        <f>G23*0</f>
        <v>0</v>
      </c>
      <c r="AP23" s="53">
        <f>G23*(1-0)</f>
        <v>0</v>
      </c>
      <c r="AQ23" s="55" t="s">
        <v>124</v>
      </c>
      <c r="AV23" s="53">
        <f>ROUND(AW23+AX23,2)</f>
        <v>0</v>
      </c>
      <c r="AW23" s="53">
        <f>ROUND(F23*AO23,2)</f>
        <v>0</v>
      </c>
      <c r="AX23" s="53">
        <f>ROUND(F23*AP23,2)</f>
        <v>0</v>
      </c>
      <c r="AY23" s="55" t="s">
        <v>139</v>
      </c>
      <c r="AZ23" s="55" t="s">
        <v>126</v>
      </c>
      <c r="BA23" s="34" t="s">
        <v>116</v>
      </c>
      <c r="BC23" s="53">
        <f>AW23+AX23</f>
        <v>0</v>
      </c>
      <c r="BD23" s="53">
        <f>G23/(100-BE23)*100</f>
        <v>0</v>
      </c>
      <c r="BE23" s="53">
        <v>0</v>
      </c>
      <c r="BF23" s="53">
        <f>23</f>
        <v>23</v>
      </c>
      <c r="BH23" s="53">
        <f>F23*AO23</f>
        <v>0</v>
      </c>
      <c r="BI23" s="53">
        <f>F23*AP23</f>
        <v>0</v>
      </c>
      <c r="BJ23" s="53">
        <f>F23*G23</f>
        <v>0</v>
      </c>
      <c r="BK23" s="53"/>
      <c r="BL23" s="53">
        <v>712</v>
      </c>
      <c r="BW23" s="53">
        <v>21</v>
      </c>
      <c r="BX23" s="3" t="s">
        <v>138</v>
      </c>
    </row>
    <row r="24" spans="1:76" ht="13.5" customHeight="1" x14ac:dyDescent="0.25">
      <c r="A24" s="56"/>
      <c r="B24" s="59" t="s">
        <v>127</v>
      </c>
      <c r="C24" s="143" t="s">
        <v>140</v>
      </c>
      <c r="D24" s="144"/>
      <c r="E24" s="144"/>
      <c r="F24" s="144"/>
      <c r="G24" s="145"/>
      <c r="H24" s="144"/>
      <c r="I24" s="144"/>
      <c r="J24" s="146"/>
    </row>
    <row r="25" spans="1:76" x14ac:dyDescent="0.25">
      <c r="A25" s="56"/>
      <c r="C25" s="57" t="s">
        <v>141</v>
      </c>
      <c r="D25" s="57" t="s">
        <v>4</v>
      </c>
      <c r="F25" s="58">
        <v>131</v>
      </c>
      <c r="J25" s="48"/>
    </row>
    <row r="26" spans="1:76" x14ac:dyDescent="0.25">
      <c r="A26" s="1" t="s">
        <v>142</v>
      </c>
      <c r="B26" s="2" t="s">
        <v>143</v>
      </c>
      <c r="C26" s="70" t="s">
        <v>144</v>
      </c>
      <c r="D26" s="71"/>
      <c r="E26" s="2" t="s">
        <v>122</v>
      </c>
      <c r="F26" s="53">
        <v>21.25</v>
      </c>
      <c r="G26" s="54">
        <v>0</v>
      </c>
      <c r="H26" s="53">
        <f>ROUND(F26*G26,2)</f>
        <v>0</v>
      </c>
      <c r="I26" s="55" t="s">
        <v>123</v>
      </c>
      <c r="J26" s="48"/>
      <c r="Z26" s="53">
        <f>ROUND(IF(AQ26="5",BJ26,0),2)</f>
        <v>0</v>
      </c>
      <c r="AB26" s="53">
        <f>ROUND(IF(AQ26="1",BH26,0),2)</f>
        <v>0</v>
      </c>
      <c r="AC26" s="53">
        <f>ROUND(IF(AQ26="1",BI26,0),2)</f>
        <v>0</v>
      </c>
      <c r="AD26" s="53">
        <f>ROUND(IF(AQ26="7",BH26,0),2)</f>
        <v>0</v>
      </c>
      <c r="AE26" s="53">
        <f>ROUND(IF(AQ26="7",BI26,0),2)</f>
        <v>0</v>
      </c>
      <c r="AF26" s="53">
        <f>ROUND(IF(AQ26="2",BH26,0),2)</f>
        <v>0</v>
      </c>
      <c r="AG26" s="53">
        <f>ROUND(IF(AQ26="2",BI26,0),2)</f>
        <v>0</v>
      </c>
      <c r="AH26" s="53">
        <f>ROUND(IF(AQ26="0",BJ26,0),2)</f>
        <v>0</v>
      </c>
      <c r="AI26" s="34" t="s">
        <v>4</v>
      </c>
      <c r="AJ26" s="53">
        <f>IF(AN26=0,H26,0)</f>
        <v>0</v>
      </c>
      <c r="AK26" s="53">
        <f>IF(AN26=12,H26,0)</f>
        <v>0</v>
      </c>
      <c r="AL26" s="53">
        <f>IF(AN26=21,H26,0)</f>
        <v>0</v>
      </c>
      <c r="AN26" s="53">
        <v>21</v>
      </c>
      <c r="AO26" s="53">
        <f>G26*0</f>
        <v>0</v>
      </c>
      <c r="AP26" s="53">
        <f>G26*(1-0)</f>
        <v>0</v>
      </c>
      <c r="AQ26" s="55" t="s">
        <v>124</v>
      </c>
      <c r="AV26" s="53">
        <f>ROUND(AW26+AX26,2)</f>
        <v>0</v>
      </c>
      <c r="AW26" s="53">
        <f>ROUND(F26*AO26,2)</f>
        <v>0</v>
      </c>
      <c r="AX26" s="53">
        <f>ROUND(F26*AP26,2)</f>
        <v>0</v>
      </c>
      <c r="AY26" s="55" t="s">
        <v>139</v>
      </c>
      <c r="AZ26" s="55" t="s">
        <v>126</v>
      </c>
      <c r="BA26" s="34" t="s">
        <v>116</v>
      </c>
      <c r="BC26" s="53">
        <f>AW26+AX26</f>
        <v>0</v>
      </c>
      <c r="BD26" s="53">
        <f>G26/(100-BE26)*100</f>
        <v>0</v>
      </c>
      <c r="BE26" s="53">
        <v>0</v>
      </c>
      <c r="BF26" s="53">
        <f>26</f>
        <v>26</v>
      </c>
      <c r="BH26" s="53">
        <f>F26*AO26</f>
        <v>0</v>
      </c>
      <c r="BI26" s="53">
        <f>F26*AP26</f>
        <v>0</v>
      </c>
      <c r="BJ26" s="53">
        <f>F26*G26</f>
        <v>0</v>
      </c>
      <c r="BK26" s="53"/>
      <c r="BL26" s="53">
        <v>712</v>
      </c>
      <c r="BW26" s="53">
        <v>21</v>
      </c>
      <c r="BX26" s="3" t="s">
        <v>144</v>
      </c>
    </row>
    <row r="27" spans="1:76" ht="13.5" customHeight="1" x14ac:dyDescent="0.25">
      <c r="A27" s="56"/>
      <c r="B27" s="59" t="s">
        <v>127</v>
      </c>
      <c r="C27" s="143" t="s">
        <v>140</v>
      </c>
      <c r="D27" s="144"/>
      <c r="E27" s="144"/>
      <c r="F27" s="144"/>
      <c r="G27" s="145"/>
      <c r="H27" s="144"/>
      <c r="I27" s="144"/>
      <c r="J27" s="146"/>
    </row>
    <row r="28" spans="1:76" x14ac:dyDescent="0.25">
      <c r="A28" s="56"/>
      <c r="C28" s="57" t="s">
        <v>145</v>
      </c>
      <c r="D28" s="57" t="s">
        <v>4</v>
      </c>
      <c r="F28" s="58">
        <v>21.25</v>
      </c>
      <c r="J28" s="48"/>
    </row>
    <row r="29" spans="1:76" x14ac:dyDescent="0.25">
      <c r="A29" s="1" t="s">
        <v>146</v>
      </c>
      <c r="B29" s="2" t="s">
        <v>147</v>
      </c>
      <c r="C29" s="70" t="s">
        <v>148</v>
      </c>
      <c r="D29" s="71"/>
      <c r="E29" s="2" t="s">
        <v>122</v>
      </c>
      <c r="F29" s="53">
        <v>131</v>
      </c>
      <c r="G29" s="54">
        <v>0</v>
      </c>
      <c r="H29" s="53">
        <f>ROUND(F29*G29,2)</f>
        <v>0</v>
      </c>
      <c r="I29" s="55" t="s">
        <v>123</v>
      </c>
      <c r="J29" s="48"/>
      <c r="Z29" s="53">
        <f>ROUND(IF(AQ29="5",BJ29,0),2)</f>
        <v>0</v>
      </c>
      <c r="AB29" s="53">
        <f>ROUND(IF(AQ29="1",BH29,0),2)</f>
        <v>0</v>
      </c>
      <c r="AC29" s="53">
        <f>ROUND(IF(AQ29="1",BI29,0),2)</f>
        <v>0</v>
      </c>
      <c r="AD29" s="53">
        <f>ROUND(IF(AQ29="7",BH29,0),2)</f>
        <v>0</v>
      </c>
      <c r="AE29" s="53">
        <f>ROUND(IF(AQ29="7",BI29,0),2)</f>
        <v>0</v>
      </c>
      <c r="AF29" s="53">
        <f>ROUND(IF(AQ29="2",BH29,0),2)</f>
        <v>0</v>
      </c>
      <c r="AG29" s="53">
        <f>ROUND(IF(AQ29="2",BI29,0),2)</f>
        <v>0</v>
      </c>
      <c r="AH29" s="53">
        <f>ROUND(IF(AQ29="0",BJ29,0),2)</f>
        <v>0</v>
      </c>
      <c r="AI29" s="34" t="s">
        <v>4</v>
      </c>
      <c r="AJ29" s="53">
        <f>IF(AN29=0,H29,0)</f>
        <v>0</v>
      </c>
      <c r="AK29" s="53">
        <f>IF(AN29=12,H29,0)</f>
        <v>0</v>
      </c>
      <c r="AL29" s="53">
        <f>IF(AN29=21,H29,0)</f>
        <v>0</v>
      </c>
      <c r="AN29" s="53">
        <v>21</v>
      </c>
      <c r="AO29" s="53">
        <f>G29*0.091594904</f>
        <v>0</v>
      </c>
      <c r="AP29" s="53">
        <f>G29*(1-0.091594904)</f>
        <v>0</v>
      </c>
      <c r="AQ29" s="55" t="s">
        <v>124</v>
      </c>
      <c r="AV29" s="53">
        <f>ROUND(AW29+AX29,2)</f>
        <v>0</v>
      </c>
      <c r="AW29" s="53">
        <f>ROUND(F29*AO29,2)</f>
        <v>0</v>
      </c>
      <c r="AX29" s="53">
        <f>ROUND(F29*AP29,2)</f>
        <v>0</v>
      </c>
      <c r="AY29" s="55" t="s">
        <v>139</v>
      </c>
      <c r="AZ29" s="55" t="s">
        <v>126</v>
      </c>
      <c r="BA29" s="34" t="s">
        <v>116</v>
      </c>
      <c r="BC29" s="53">
        <f>AW29+AX29</f>
        <v>0</v>
      </c>
      <c r="BD29" s="53">
        <f>G29/(100-BE29)*100</f>
        <v>0</v>
      </c>
      <c r="BE29" s="53">
        <v>0</v>
      </c>
      <c r="BF29" s="53">
        <f>29</f>
        <v>29</v>
      </c>
      <c r="BH29" s="53">
        <f>F29*AO29</f>
        <v>0</v>
      </c>
      <c r="BI29" s="53">
        <f>F29*AP29</f>
        <v>0</v>
      </c>
      <c r="BJ29" s="53">
        <f>F29*G29</f>
        <v>0</v>
      </c>
      <c r="BK29" s="53"/>
      <c r="BL29" s="53">
        <v>712</v>
      </c>
      <c r="BW29" s="53">
        <v>21</v>
      </c>
      <c r="BX29" s="3" t="s">
        <v>148</v>
      </c>
    </row>
    <row r="30" spans="1:76" ht="13.5" customHeight="1" x14ac:dyDescent="0.25">
      <c r="A30" s="56"/>
      <c r="B30" s="59" t="s">
        <v>127</v>
      </c>
      <c r="C30" s="143" t="s">
        <v>128</v>
      </c>
      <c r="D30" s="144"/>
      <c r="E30" s="144"/>
      <c r="F30" s="144"/>
      <c r="G30" s="145"/>
      <c r="H30" s="144"/>
      <c r="I30" s="144"/>
      <c r="J30" s="146"/>
    </row>
    <row r="31" spans="1:76" x14ac:dyDescent="0.25">
      <c r="A31" s="56"/>
      <c r="C31" s="57" t="s">
        <v>141</v>
      </c>
      <c r="D31" s="57" t="s">
        <v>4</v>
      </c>
      <c r="F31" s="58">
        <v>131</v>
      </c>
      <c r="J31" s="48"/>
    </row>
    <row r="32" spans="1:76" x14ac:dyDescent="0.25">
      <c r="A32" s="1" t="s">
        <v>124</v>
      </c>
      <c r="B32" s="2" t="s">
        <v>149</v>
      </c>
      <c r="C32" s="70" t="s">
        <v>150</v>
      </c>
      <c r="D32" s="71"/>
      <c r="E32" s="2" t="s">
        <v>122</v>
      </c>
      <c r="F32" s="53">
        <v>21</v>
      </c>
      <c r="G32" s="54">
        <v>0</v>
      </c>
      <c r="H32" s="53">
        <f>ROUND(F32*G32,2)</f>
        <v>0</v>
      </c>
      <c r="I32" s="55" t="s">
        <v>123</v>
      </c>
      <c r="J32" s="48"/>
      <c r="Z32" s="53">
        <f>ROUND(IF(AQ32="5",BJ32,0),2)</f>
        <v>0</v>
      </c>
      <c r="AB32" s="53">
        <f>ROUND(IF(AQ32="1",BH32,0),2)</f>
        <v>0</v>
      </c>
      <c r="AC32" s="53">
        <f>ROUND(IF(AQ32="1",BI32,0),2)</f>
        <v>0</v>
      </c>
      <c r="AD32" s="53">
        <f>ROUND(IF(AQ32="7",BH32,0),2)</f>
        <v>0</v>
      </c>
      <c r="AE32" s="53">
        <f>ROUND(IF(AQ32="7",BI32,0),2)</f>
        <v>0</v>
      </c>
      <c r="AF32" s="53">
        <f>ROUND(IF(AQ32="2",BH32,0),2)</f>
        <v>0</v>
      </c>
      <c r="AG32" s="53">
        <f>ROUND(IF(AQ32="2",BI32,0),2)</f>
        <v>0</v>
      </c>
      <c r="AH32" s="53">
        <f>ROUND(IF(AQ32="0",BJ32,0),2)</f>
        <v>0</v>
      </c>
      <c r="AI32" s="34" t="s">
        <v>4</v>
      </c>
      <c r="AJ32" s="53">
        <f>IF(AN32=0,H32,0)</f>
        <v>0</v>
      </c>
      <c r="AK32" s="53">
        <f>IF(AN32=12,H32,0)</f>
        <v>0</v>
      </c>
      <c r="AL32" s="53">
        <f>IF(AN32=21,H32,0)</f>
        <v>0</v>
      </c>
      <c r="AN32" s="53">
        <v>21</v>
      </c>
      <c r="AO32" s="53">
        <f>G32*0.089873502</f>
        <v>0</v>
      </c>
      <c r="AP32" s="53">
        <f>G32*(1-0.089873502)</f>
        <v>0</v>
      </c>
      <c r="AQ32" s="55" t="s">
        <v>124</v>
      </c>
      <c r="AV32" s="53">
        <f>ROUND(AW32+AX32,2)</f>
        <v>0</v>
      </c>
      <c r="AW32" s="53">
        <f>ROUND(F32*AO32,2)</f>
        <v>0</v>
      </c>
      <c r="AX32" s="53">
        <f>ROUND(F32*AP32,2)</f>
        <v>0</v>
      </c>
      <c r="AY32" s="55" t="s">
        <v>139</v>
      </c>
      <c r="AZ32" s="55" t="s">
        <v>126</v>
      </c>
      <c r="BA32" s="34" t="s">
        <v>116</v>
      </c>
      <c r="BC32" s="53">
        <f>AW32+AX32</f>
        <v>0</v>
      </c>
      <c r="BD32" s="53">
        <f>G32/(100-BE32)*100</f>
        <v>0</v>
      </c>
      <c r="BE32" s="53">
        <v>0</v>
      </c>
      <c r="BF32" s="53">
        <f>32</f>
        <v>32</v>
      </c>
      <c r="BH32" s="53">
        <f>F32*AO32</f>
        <v>0</v>
      </c>
      <c r="BI32" s="53">
        <f>F32*AP32</f>
        <v>0</v>
      </c>
      <c r="BJ32" s="53">
        <f>F32*G32</f>
        <v>0</v>
      </c>
      <c r="BK32" s="53"/>
      <c r="BL32" s="53">
        <v>712</v>
      </c>
      <c r="BW32" s="53">
        <v>21</v>
      </c>
      <c r="BX32" s="3" t="s">
        <v>150</v>
      </c>
    </row>
    <row r="33" spans="1:76" ht="13.5" customHeight="1" x14ac:dyDescent="0.25">
      <c r="A33" s="56"/>
      <c r="B33" s="59" t="s">
        <v>127</v>
      </c>
      <c r="C33" s="143" t="s">
        <v>128</v>
      </c>
      <c r="D33" s="144"/>
      <c r="E33" s="144"/>
      <c r="F33" s="144"/>
      <c r="G33" s="145"/>
      <c r="H33" s="144"/>
      <c r="I33" s="144"/>
      <c r="J33" s="146"/>
    </row>
    <row r="34" spans="1:76" x14ac:dyDescent="0.25">
      <c r="A34" s="56"/>
      <c r="C34" s="57" t="s">
        <v>151</v>
      </c>
      <c r="D34" s="57" t="s">
        <v>4</v>
      </c>
      <c r="F34" s="58">
        <v>21</v>
      </c>
      <c r="J34" s="48"/>
    </row>
    <row r="35" spans="1:76" x14ac:dyDescent="0.25">
      <c r="A35" s="1" t="s">
        <v>152</v>
      </c>
      <c r="B35" s="2" t="s">
        <v>153</v>
      </c>
      <c r="C35" s="70" t="s">
        <v>154</v>
      </c>
      <c r="D35" s="71"/>
      <c r="E35" s="2" t="s">
        <v>122</v>
      </c>
      <c r="F35" s="53">
        <v>167.2</v>
      </c>
      <c r="G35" s="54">
        <v>0</v>
      </c>
      <c r="H35" s="53">
        <f>ROUND(F35*G35,2)</f>
        <v>0</v>
      </c>
      <c r="I35" s="55" t="s">
        <v>123</v>
      </c>
      <c r="J35" s="48"/>
      <c r="Z35" s="53">
        <f>ROUND(IF(AQ35="5",BJ35,0),2)</f>
        <v>0</v>
      </c>
      <c r="AB35" s="53">
        <f>ROUND(IF(AQ35="1",BH35,0),2)</f>
        <v>0</v>
      </c>
      <c r="AC35" s="53">
        <f>ROUND(IF(AQ35="1",BI35,0),2)</f>
        <v>0</v>
      </c>
      <c r="AD35" s="53">
        <f>ROUND(IF(AQ35="7",BH35,0),2)</f>
        <v>0</v>
      </c>
      <c r="AE35" s="53">
        <f>ROUND(IF(AQ35="7",BI35,0),2)</f>
        <v>0</v>
      </c>
      <c r="AF35" s="53">
        <f>ROUND(IF(AQ35="2",BH35,0),2)</f>
        <v>0</v>
      </c>
      <c r="AG35" s="53">
        <f>ROUND(IF(AQ35="2",BI35,0),2)</f>
        <v>0</v>
      </c>
      <c r="AH35" s="53">
        <f>ROUND(IF(AQ35="0",BJ35,0),2)</f>
        <v>0</v>
      </c>
      <c r="AI35" s="34" t="s">
        <v>4</v>
      </c>
      <c r="AJ35" s="53">
        <f>IF(AN35=0,H35,0)</f>
        <v>0</v>
      </c>
      <c r="AK35" s="53">
        <f>IF(AN35=12,H35,0)</f>
        <v>0</v>
      </c>
      <c r="AL35" s="53">
        <f>IF(AN35=21,H35,0)</f>
        <v>0</v>
      </c>
      <c r="AN35" s="53">
        <v>21</v>
      </c>
      <c r="AO35" s="53">
        <f>G35*1</f>
        <v>0</v>
      </c>
      <c r="AP35" s="53">
        <f>G35*(1-1)</f>
        <v>0</v>
      </c>
      <c r="AQ35" s="55" t="s">
        <v>124</v>
      </c>
      <c r="AV35" s="53">
        <f>ROUND(AW35+AX35,2)</f>
        <v>0</v>
      </c>
      <c r="AW35" s="53">
        <f>ROUND(F35*AO35,2)</f>
        <v>0</v>
      </c>
      <c r="AX35" s="53">
        <f>ROUND(F35*AP35,2)</f>
        <v>0</v>
      </c>
      <c r="AY35" s="55" t="s">
        <v>139</v>
      </c>
      <c r="AZ35" s="55" t="s">
        <v>126</v>
      </c>
      <c r="BA35" s="34" t="s">
        <v>116</v>
      </c>
      <c r="BC35" s="53">
        <f>AW35+AX35</f>
        <v>0</v>
      </c>
      <c r="BD35" s="53">
        <f>G35/(100-BE35)*100</f>
        <v>0</v>
      </c>
      <c r="BE35" s="53">
        <v>0</v>
      </c>
      <c r="BF35" s="53">
        <f>35</f>
        <v>35</v>
      </c>
      <c r="BH35" s="53">
        <f>F35*AO35</f>
        <v>0</v>
      </c>
      <c r="BI35" s="53">
        <f>F35*AP35</f>
        <v>0</v>
      </c>
      <c r="BJ35" s="53">
        <f>F35*G35</f>
        <v>0</v>
      </c>
      <c r="BK35" s="53"/>
      <c r="BL35" s="53">
        <v>712</v>
      </c>
      <c r="BW35" s="53">
        <v>21</v>
      </c>
      <c r="BX35" s="3" t="s">
        <v>154</v>
      </c>
    </row>
    <row r="36" spans="1:76" x14ac:dyDescent="0.25">
      <c r="A36" s="56"/>
      <c r="C36" s="57" t="s">
        <v>133</v>
      </c>
      <c r="D36" s="57" t="s">
        <v>4</v>
      </c>
      <c r="F36" s="58">
        <v>167.2</v>
      </c>
      <c r="J36" s="48"/>
    </row>
    <row r="37" spans="1:76" x14ac:dyDescent="0.25">
      <c r="A37" s="1" t="s">
        <v>155</v>
      </c>
      <c r="B37" s="2" t="s">
        <v>156</v>
      </c>
      <c r="C37" s="70" t="s">
        <v>157</v>
      </c>
      <c r="D37" s="71"/>
      <c r="E37" s="2" t="s">
        <v>158</v>
      </c>
      <c r="F37" s="53">
        <v>1.4422200000000001</v>
      </c>
      <c r="G37" s="54">
        <v>0</v>
      </c>
      <c r="H37" s="53">
        <f>ROUND(F37*G37,2)</f>
        <v>0</v>
      </c>
      <c r="I37" s="55" t="s">
        <v>123</v>
      </c>
      <c r="J37" s="48"/>
      <c r="Z37" s="53">
        <f>ROUND(IF(AQ37="5",BJ37,0),2)</f>
        <v>0</v>
      </c>
      <c r="AB37" s="53">
        <f>ROUND(IF(AQ37="1",BH37,0),2)</f>
        <v>0</v>
      </c>
      <c r="AC37" s="53">
        <f>ROUND(IF(AQ37="1",BI37,0),2)</f>
        <v>0</v>
      </c>
      <c r="AD37" s="53">
        <f>ROUND(IF(AQ37="7",BH37,0),2)</f>
        <v>0</v>
      </c>
      <c r="AE37" s="53">
        <f>ROUND(IF(AQ37="7",BI37,0),2)</f>
        <v>0</v>
      </c>
      <c r="AF37" s="53">
        <f>ROUND(IF(AQ37="2",BH37,0),2)</f>
        <v>0</v>
      </c>
      <c r="AG37" s="53">
        <f>ROUND(IF(AQ37="2",BI37,0),2)</f>
        <v>0</v>
      </c>
      <c r="AH37" s="53">
        <f>ROUND(IF(AQ37="0",BJ37,0),2)</f>
        <v>0</v>
      </c>
      <c r="AI37" s="34" t="s">
        <v>4</v>
      </c>
      <c r="AJ37" s="53">
        <f>IF(AN37=0,H37,0)</f>
        <v>0</v>
      </c>
      <c r="AK37" s="53">
        <f>IF(AN37=12,H37,0)</f>
        <v>0</v>
      </c>
      <c r="AL37" s="53">
        <f>IF(AN37=21,H37,0)</f>
        <v>0</v>
      </c>
      <c r="AN37" s="53">
        <v>21</v>
      </c>
      <c r="AO37" s="53">
        <f>G37*0</f>
        <v>0</v>
      </c>
      <c r="AP37" s="53">
        <f>G37*(1-0)</f>
        <v>0</v>
      </c>
      <c r="AQ37" s="55" t="s">
        <v>142</v>
      </c>
      <c r="AV37" s="53">
        <f>ROUND(AW37+AX37,2)</f>
        <v>0</v>
      </c>
      <c r="AW37" s="53">
        <f>ROUND(F37*AO37,2)</f>
        <v>0</v>
      </c>
      <c r="AX37" s="53">
        <f>ROUND(F37*AP37,2)</f>
        <v>0</v>
      </c>
      <c r="AY37" s="55" t="s">
        <v>139</v>
      </c>
      <c r="AZ37" s="55" t="s">
        <v>126</v>
      </c>
      <c r="BA37" s="34" t="s">
        <v>116</v>
      </c>
      <c r="BC37" s="53">
        <f>AW37+AX37</f>
        <v>0</v>
      </c>
      <c r="BD37" s="53">
        <f>G37/(100-BE37)*100</f>
        <v>0</v>
      </c>
      <c r="BE37" s="53">
        <v>0</v>
      </c>
      <c r="BF37" s="53">
        <f>37</f>
        <v>37</v>
      </c>
      <c r="BH37" s="53">
        <f>F37*AO37</f>
        <v>0</v>
      </c>
      <c r="BI37" s="53">
        <f>F37*AP37</f>
        <v>0</v>
      </c>
      <c r="BJ37" s="53">
        <f>F37*G37</f>
        <v>0</v>
      </c>
      <c r="BK37" s="53"/>
      <c r="BL37" s="53">
        <v>712</v>
      </c>
      <c r="BW37" s="53">
        <v>21</v>
      </c>
      <c r="BX37" s="3" t="s">
        <v>157</v>
      </c>
    </row>
    <row r="38" spans="1:76" x14ac:dyDescent="0.25">
      <c r="A38" s="49" t="s">
        <v>4</v>
      </c>
      <c r="B38" s="50" t="s">
        <v>159</v>
      </c>
      <c r="C38" s="141" t="s">
        <v>160</v>
      </c>
      <c r="D38" s="142"/>
      <c r="E38" s="51" t="s">
        <v>73</v>
      </c>
      <c r="F38" s="51" t="s">
        <v>73</v>
      </c>
      <c r="G38" s="52" t="s">
        <v>73</v>
      </c>
      <c r="H38" s="26">
        <f>SUM(H39:H53)</f>
        <v>0</v>
      </c>
      <c r="I38" s="34" t="s">
        <v>4</v>
      </c>
      <c r="J38" s="48"/>
      <c r="AI38" s="34" t="s">
        <v>4</v>
      </c>
      <c r="AS38" s="26">
        <f>SUM(AJ39:AJ53)</f>
        <v>0</v>
      </c>
      <c r="AT38" s="26">
        <f>SUM(AK39:AK53)</f>
        <v>0</v>
      </c>
      <c r="AU38" s="26">
        <f>SUM(AL39:AL53)</f>
        <v>0</v>
      </c>
    </row>
    <row r="39" spans="1:76" x14ac:dyDescent="0.25">
      <c r="A39" s="1" t="s">
        <v>161</v>
      </c>
      <c r="B39" s="2" t="s">
        <v>162</v>
      </c>
      <c r="C39" s="70" t="s">
        <v>163</v>
      </c>
      <c r="D39" s="71"/>
      <c r="E39" s="2" t="s">
        <v>122</v>
      </c>
      <c r="F39" s="53">
        <v>158</v>
      </c>
      <c r="G39" s="54">
        <v>0</v>
      </c>
      <c r="H39" s="53">
        <f>ROUND(F39*G39,2)</f>
        <v>0</v>
      </c>
      <c r="I39" s="55" t="s">
        <v>123</v>
      </c>
      <c r="J39" s="48"/>
      <c r="Z39" s="53">
        <f>ROUND(IF(AQ39="5",BJ39,0),2)</f>
        <v>0</v>
      </c>
      <c r="AB39" s="53">
        <f>ROUND(IF(AQ39="1",BH39,0),2)</f>
        <v>0</v>
      </c>
      <c r="AC39" s="53">
        <f>ROUND(IF(AQ39="1",BI39,0),2)</f>
        <v>0</v>
      </c>
      <c r="AD39" s="53">
        <f>ROUND(IF(AQ39="7",BH39,0),2)</f>
        <v>0</v>
      </c>
      <c r="AE39" s="53">
        <f>ROUND(IF(AQ39="7",BI39,0),2)</f>
        <v>0</v>
      </c>
      <c r="AF39" s="53">
        <f>ROUND(IF(AQ39="2",BH39,0),2)</f>
        <v>0</v>
      </c>
      <c r="AG39" s="53">
        <f>ROUND(IF(AQ39="2",BI39,0),2)</f>
        <v>0</v>
      </c>
      <c r="AH39" s="53">
        <f>ROUND(IF(AQ39="0",BJ39,0),2)</f>
        <v>0</v>
      </c>
      <c r="AI39" s="34" t="s">
        <v>4</v>
      </c>
      <c r="AJ39" s="53">
        <f>IF(AN39=0,H39,0)</f>
        <v>0</v>
      </c>
      <c r="AK39" s="53">
        <f>IF(AN39=12,H39,0)</f>
        <v>0</v>
      </c>
      <c r="AL39" s="53">
        <f>IF(AN39=21,H39,0)</f>
        <v>0</v>
      </c>
      <c r="AN39" s="53">
        <v>21</v>
      </c>
      <c r="AO39" s="53">
        <f>G39*0</f>
        <v>0</v>
      </c>
      <c r="AP39" s="53">
        <f>G39*(1-0)</f>
        <v>0</v>
      </c>
      <c r="AQ39" s="55" t="s">
        <v>124</v>
      </c>
      <c r="AV39" s="53">
        <f>ROUND(AW39+AX39,2)</f>
        <v>0</v>
      </c>
      <c r="AW39" s="53">
        <f>ROUND(F39*AO39,2)</f>
        <v>0</v>
      </c>
      <c r="AX39" s="53">
        <f>ROUND(F39*AP39,2)</f>
        <v>0</v>
      </c>
      <c r="AY39" s="55" t="s">
        <v>164</v>
      </c>
      <c r="AZ39" s="55" t="s">
        <v>165</v>
      </c>
      <c r="BA39" s="34" t="s">
        <v>116</v>
      </c>
      <c r="BC39" s="53">
        <f>AW39+AX39</f>
        <v>0</v>
      </c>
      <c r="BD39" s="53">
        <f>G39/(100-BE39)*100</f>
        <v>0</v>
      </c>
      <c r="BE39" s="53">
        <v>0</v>
      </c>
      <c r="BF39" s="53">
        <f>39</f>
        <v>39</v>
      </c>
      <c r="BH39" s="53">
        <f>F39*AO39</f>
        <v>0</v>
      </c>
      <c r="BI39" s="53">
        <f>F39*AP39</f>
        <v>0</v>
      </c>
      <c r="BJ39" s="53">
        <f>F39*G39</f>
        <v>0</v>
      </c>
      <c r="BK39" s="53"/>
      <c r="BL39" s="53">
        <v>762</v>
      </c>
      <c r="BW39" s="53">
        <v>21</v>
      </c>
      <c r="BX39" s="3" t="s">
        <v>163</v>
      </c>
    </row>
    <row r="40" spans="1:76" x14ac:dyDescent="0.25">
      <c r="A40" s="56"/>
      <c r="C40" s="57" t="s">
        <v>129</v>
      </c>
      <c r="D40" s="57" t="s">
        <v>166</v>
      </c>
      <c r="F40" s="58">
        <v>152</v>
      </c>
      <c r="J40" s="48"/>
    </row>
    <row r="41" spans="1:76" x14ac:dyDescent="0.25">
      <c r="A41" s="56"/>
      <c r="C41" s="57" t="s">
        <v>167</v>
      </c>
      <c r="D41" s="57" t="s">
        <v>168</v>
      </c>
      <c r="F41" s="58">
        <v>6</v>
      </c>
      <c r="J41" s="48"/>
    </row>
    <row r="42" spans="1:76" x14ac:dyDescent="0.25">
      <c r="A42" s="1" t="s">
        <v>169</v>
      </c>
      <c r="B42" s="2" t="s">
        <v>170</v>
      </c>
      <c r="C42" s="70" t="s">
        <v>171</v>
      </c>
      <c r="D42" s="71"/>
      <c r="E42" s="2" t="s">
        <v>112</v>
      </c>
      <c r="F42" s="53">
        <v>1</v>
      </c>
      <c r="G42" s="54">
        <v>0</v>
      </c>
      <c r="H42" s="53">
        <f>ROUND(F42*G42,2)</f>
        <v>0</v>
      </c>
      <c r="I42" s="55" t="s">
        <v>113</v>
      </c>
      <c r="J42" s="48"/>
      <c r="Z42" s="53">
        <f>ROUND(IF(AQ42="5",BJ42,0),2)</f>
        <v>0</v>
      </c>
      <c r="AB42" s="53">
        <f>ROUND(IF(AQ42="1",BH42,0),2)</f>
        <v>0</v>
      </c>
      <c r="AC42" s="53">
        <f>ROUND(IF(AQ42="1",BI42,0),2)</f>
        <v>0</v>
      </c>
      <c r="AD42" s="53">
        <f>ROUND(IF(AQ42="7",BH42,0),2)</f>
        <v>0</v>
      </c>
      <c r="AE42" s="53">
        <f>ROUND(IF(AQ42="7",BI42,0),2)</f>
        <v>0</v>
      </c>
      <c r="AF42" s="53">
        <f>ROUND(IF(AQ42="2",BH42,0),2)</f>
        <v>0</v>
      </c>
      <c r="AG42" s="53">
        <f>ROUND(IF(AQ42="2",BI42,0),2)</f>
        <v>0</v>
      </c>
      <c r="AH42" s="53">
        <f>ROUND(IF(AQ42="0",BJ42,0),2)</f>
        <v>0</v>
      </c>
      <c r="AI42" s="34" t="s">
        <v>4</v>
      </c>
      <c r="AJ42" s="53">
        <f>IF(AN42=0,H42,0)</f>
        <v>0</v>
      </c>
      <c r="AK42" s="53">
        <f>IF(AN42=12,H42,0)</f>
        <v>0</v>
      </c>
      <c r="AL42" s="53">
        <f>IF(AN42=21,H42,0)</f>
        <v>0</v>
      </c>
      <c r="AN42" s="53">
        <v>21</v>
      </c>
      <c r="AO42" s="53">
        <f>G42*0</f>
        <v>0</v>
      </c>
      <c r="AP42" s="53">
        <f>G42*(1-0)</f>
        <v>0</v>
      </c>
      <c r="AQ42" s="55" t="s">
        <v>124</v>
      </c>
      <c r="AV42" s="53">
        <f>ROUND(AW42+AX42,2)</f>
        <v>0</v>
      </c>
      <c r="AW42" s="53">
        <f>ROUND(F42*AO42,2)</f>
        <v>0</v>
      </c>
      <c r="AX42" s="53">
        <f>ROUND(F42*AP42,2)</f>
        <v>0</v>
      </c>
      <c r="AY42" s="55" t="s">
        <v>164</v>
      </c>
      <c r="AZ42" s="55" t="s">
        <v>165</v>
      </c>
      <c r="BA42" s="34" t="s">
        <v>116</v>
      </c>
      <c r="BC42" s="53">
        <f>AW42+AX42</f>
        <v>0</v>
      </c>
      <c r="BD42" s="53">
        <f>G42/(100-BE42)*100</f>
        <v>0</v>
      </c>
      <c r="BE42" s="53">
        <v>0</v>
      </c>
      <c r="BF42" s="53">
        <f>42</f>
        <v>42</v>
      </c>
      <c r="BH42" s="53">
        <f>F42*AO42</f>
        <v>0</v>
      </c>
      <c r="BI42" s="53">
        <f>F42*AP42</f>
        <v>0</v>
      </c>
      <c r="BJ42" s="53">
        <f>F42*G42</f>
        <v>0</v>
      </c>
      <c r="BK42" s="53"/>
      <c r="BL42" s="53">
        <v>762</v>
      </c>
      <c r="BW42" s="53">
        <v>21</v>
      </c>
      <c r="BX42" s="3" t="s">
        <v>171</v>
      </c>
    </row>
    <row r="43" spans="1:76" x14ac:dyDescent="0.25">
      <c r="A43" s="56"/>
      <c r="C43" s="57" t="s">
        <v>109</v>
      </c>
      <c r="D43" s="57" t="s">
        <v>4</v>
      </c>
      <c r="F43" s="58">
        <v>1</v>
      </c>
      <c r="J43" s="48"/>
    </row>
    <row r="44" spans="1:76" x14ac:dyDescent="0.25">
      <c r="A44" s="1" t="s">
        <v>172</v>
      </c>
      <c r="B44" s="2" t="s">
        <v>173</v>
      </c>
      <c r="C44" s="70" t="s">
        <v>174</v>
      </c>
      <c r="D44" s="71"/>
      <c r="E44" s="2" t="s">
        <v>122</v>
      </c>
      <c r="F44" s="53">
        <v>6</v>
      </c>
      <c r="G44" s="54">
        <v>0</v>
      </c>
      <c r="H44" s="53">
        <f>ROUND(F44*G44,2)</f>
        <v>0</v>
      </c>
      <c r="I44" s="55" t="s">
        <v>123</v>
      </c>
      <c r="J44" s="48"/>
      <c r="Z44" s="53">
        <f>ROUND(IF(AQ44="5",BJ44,0),2)</f>
        <v>0</v>
      </c>
      <c r="AB44" s="53">
        <f>ROUND(IF(AQ44="1",BH44,0),2)</f>
        <v>0</v>
      </c>
      <c r="AC44" s="53">
        <f>ROUND(IF(AQ44="1",BI44,0),2)</f>
        <v>0</v>
      </c>
      <c r="AD44" s="53">
        <f>ROUND(IF(AQ44="7",BH44,0),2)</f>
        <v>0</v>
      </c>
      <c r="AE44" s="53">
        <f>ROUND(IF(AQ44="7",BI44,0),2)</f>
        <v>0</v>
      </c>
      <c r="AF44" s="53">
        <f>ROUND(IF(AQ44="2",BH44,0),2)</f>
        <v>0</v>
      </c>
      <c r="AG44" s="53">
        <f>ROUND(IF(AQ44="2",BI44,0),2)</f>
        <v>0</v>
      </c>
      <c r="AH44" s="53">
        <f>ROUND(IF(AQ44="0",BJ44,0),2)</f>
        <v>0</v>
      </c>
      <c r="AI44" s="34" t="s">
        <v>4</v>
      </c>
      <c r="AJ44" s="53">
        <f>IF(AN44=0,H44,0)</f>
        <v>0</v>
      </c>
      <c r="AK44" s="53">
        <f>IF(AN44=12,H44,0)</f>
        <v>0</v>
      </c>
      <c r="AL44" s="53">
        <f>IF(AN44=21,H44,0)</f>
        <v>0</v>
      </c>
      <c r="AN44" s="53">
        <v>21</v>
      </c>
      <c r="AO44" s="53">
        <f>G44*0.289242658</f>
        <v>0</v>
      </c>
      <c r="AP44" s="53">
        <f>G44*(1-0.289242658)</f>
        <v>0</v>
      </c>
      <c r="AQ44" s="55" t="s">
        <v>124</v>
      </c>
      <c r="AV44" s="53">
        <f>ROUND(AW44+AX44,2)</f>
        <v>0</v>
      </c>
      <c r="AW44" s="53">
        <f>ROUND(F44*AO44,2)</f>
        <v>0</v>
      </c>
      <c r="AX44" s="53">
        <f>ROUND(F44*AP44,2)</f>
        <v>0</v>
      </c>
      <c r="AY44" s="55" t="s">
        <v>164</v>
      </c>
      <c r="AZ44" s="55" t="s">
        <v>165</v>
      </c>
      <c r="BA44" s="34" t="s">
        <v>116</v>
      </c>
      <c r="BC44" s="53">
        <f>AW44+AX44</f>
        <v>0</v>
      </c>
      <c r="BD44" s="53">
        <f>G44/(100-BE44)*100</f>
        <v>0</v>
      </c>
      <c r="BE44" s="53">
        <v>0</v>
      </c>
      <c r="BF44" s="53">
        <f>44</f>
        <v>44</v>
      </c>
      <c r="BH44" s="53">
        <f>F44*AO44</f>
        <v>0</v>
      </c>
      <c r="BI44" s="53">
        <f>F44*AP44</f>
        <v>0</v>
      </c>
      <c r="BJ44" s="53">
        <f>F44*G44</f>
        <v>0</v>
      </c>
      <c r="BK44" s="53"/>
      <c r="BL44" s="53">
        <v>762</v>
      </c>
      <c r="BW44" s="53">
        <v>21</v>
      </c>
      <c r="BX44" s="3" t="s">
        <v>174</v>
      </c>
    </row>
    <row r="45" spans="1:76" ht="13.5" customHeight="1" x14ac:dyDescent="0.25">
      <c r="A45" s="56"/>
      <c r="B45" s="59" t="s">
        <v>127</v>
      </c>
      <c r="C45" s="143" t="s">
        <v>175</v>
      </c>
      <c r="D45" s="144"/>
      <c r="E45" s="144"/>
      <c r="F45" s="144"/>
      <c r="G45" s="145"/>
      <c r="H45" s="144"/>
      <c r="I45" s="144"/>
      <c r="J45" s="146"/>
    </row>
    <row r="46" spans="1:76" x14ac:dyDescent="0.25">
      <c r="A46" s="56"/>
      <c r="C46" s="57" t="s">
        <v>167</v>
      </c>
      <c r="D46" s="57" t="s">
        <v>4</v>
      </c>
      <c r="F46" s="58">
        <v>6</v>
      </c>
      <c r="J46" s="48"/>
    </row>
    <row r="47" spans="1:76" x14ac:dyDescent="0.25">
      <c r="A47" s="1" t="s">
        <v>176</v>
      </c>
      <c r="B47" s="2" t="s">
        <v>177</v>
      </c>
      <c r="C47" s="70" t="s">
        <v>178</v>
      </c>
      <c r="D47" s="71"/>
      <c r="E47" s="2" t="s">
        <v>122</v>
      </c>
      <c r="F47" s="53">
        <v>152</v>
      </c>
      <c r="G47" s="54">
        <v>0</v>
      </c>
      <c r="H47" s="53">
        <f>ROUND(F47*G47,2)</f>
        <v>0</v>
      </c>
      <c r="I47" s="55" t="s">
        <v>123</v>
      </c>
      <c r="J47" s="48"/>
      <c r="Z47" s="53">
        <f>ROUND(IF(AQ47="5",BJ47,0),2)</f>
        <v>0</v>
      </c>
      <c r="AB47" s="53">
        <f>ROUND(IF(AQ47="1",BH47,0),2)</f>
        <v>0</v>
      </c>
      <c r="AC47" s="53">
        <f>ROUND(IF(AQ47="1",BI47,0),2)</f>
        <v>0</v>
      </c>
      <c r="AD47" s="53">
        <f>ROUND(IF(AQ47="7",BH47,0),2)</f>
        <v>0</v>
      </c>
      <c r="AE47" s="53">
        <f>ROUND(IF(AQ47="7",BI47,0),2)</f>
        <v>0</v>
      </c>
      <c r="AF47" s="53">
        <f>ROUND(IF(AQ47="2",BH47,0),2)</f>
        <v>0</v>
      </c>
      <c r="AG47" s="53">
        <f>ROUND(IF(AQ47="2",BI47,0),2)</f>
        <v>0</v>
      </c>
      <c r="AH47" s="53">
        <f>ROUND(IF(AQ47="0",BJ47,0),2)</f>
        <v>0</v>
      </c>
      <c r="AI47" s="34" t="s">
        <v>4</v>
      </c>
      <c r="AJ47" s="53">
        <f>IF(AN47=0,H47,0)</f>
        <v>0</v>
      </c>
      <c r="AK47" s="53">
        <f>IF(AN47=12,H47,0)</f>
        <v>0</v>
      </c>
      <c r="AL47" s="53">
        <f>IF(AN47=21,H47,0)</f>
        <v>0</v>
      </c>
      <c r="AN47" s="53">
        <v>21</v>
      </c>
      <c r="AO47" s="53">
        <f>G47*0.529787836</f>
        <v>0</v>
      </c>
      <c r="AP47" s="53">
        <f>G47*(1-0.529787836)</f>
        <v>0</v>
      </c>
      <c r="AQ47" s="55" t="s">
        <v>124</v>
      </c>
      <c r="AV47" s="53">
        <f>ROUND(AW47+AX47,2)</f>
        <v>0</v>
      </c>
      <c r="AW47" s="53">
        <f>ROUND(F47*AO47,2)</f>
        <v>0</v>
      </c>
      <c r="AX47" s="53">
        <f>ROUND(F47*AP47,2)</f>
        <v>0</v>
      </c>
      <c r="AY47" s="55" t="s">
        <v>164</v>
      </c>
      <c r="AZ47" s="55" t="s">
        <v>165</v>
      </c>
      <c r="BA47" s="34" t="s">
        <v>116</v>
      </c>
      <c r="BC47" s="53">
        <f>AW47+AX47</f>
        <v>0</v>
      </c>
      <c r="BD47" s="53">
        <f>G47/(100-BE47)*100</f>
        <v>0</v>
      </c>
      <c r="BE47" s="53">
        <v>0</v>
      </c>
      <c r="BF47" s="53">
        <f>47</f>
        <v>47</v>
      </c>
      <c r="BH47" s="53">
        <f>F47*AO47</f>
        <v>0</v>
      </c>
      <c r="BI47" s="53">
        <f>F47*AP47</f>
        <v>0</v>
      </c>
      <c r="BJ47" s="53">
        <f>F47*G47</f>
        <v>0</v>
      </c>
      <c r="BK47" s="53"/>
      <c r="BL47" s="53">
        <v>762</v>
      </c>
      <c r="BW47" s="53">
        <v>21</v>
      </c>
      <c r="BX47" s="3" t="s">
        <v>178</v>
      </c>
    </row>
    <row r="48" spans="1:76" ht="13.5" customHeight="1" x14ac:dyDescent="0.25">
      <c r="A48" s="56"/>
      <c r="B48" s="59" t="s">
        <v>127</v>
      </c>
      <c r="C48" s="143" t="s">
        <v>179</v>
      </c>
      <c r="D48" s="144"/>
      <c r="E48" s="144"/>
      <c r="F48" s="144"/>
      <c r="G48" s="145"/>
      <c r="H48" s="144"/>
      <c r="I48" s="144"/>
      <c r="J48" s="146"/>
    </row>
    <row r="49" spans="1:76" x14ac:dyDescent="0.25">
      <c r="A49" s="56"/>
      <c r="C49" s="57" t="s">
        <v>129</v>
      </c>
      <c r="D49" s="57" t="s">
        <v>180</v>
      </c>
      <c r="F49" s="58">
        <v>152</v>
      </c>
      <c r="J49" s="48"/>
    </row>
    <row r="50" spans="1:76" x14ac:dyDescent="0.25">
      <c r="A50" s="1" t="s">
        <v>181</v>
      </c>
      <c r="B50" s="2" t="s">
        <v>182</v>
      </c>
      <c r="C50" s="70" t="s">
        <v>183</v>
      </c>
      <c r="D50" s="71"/>
      <c r="E50" s="2" t="s">
        <v>122</v>
      </c>
      <c r="F50" s="53">
        <v>10</v>
      </c>
      <c r="G50" s="54">
        <v>0</v>
      </c>
      <c r="H50" s="53">
        <f>ROUND(F50*G50,2)</f>
        <v>0</v>
      </c>
      <c r="I50" s="55" t="s">
        <v>123</v>
      </c>
      <c r="J50" s="48"/>
      <c r="Z50" s="53">
        <f>ROUND(IF(AQ50="5",BJ50,0),2)</f>
        <v>0</v>
      </c>
      <c r="AB50" s="53">
        <f>ROUND(IF(AQ50="1",BH50,0),2)</f>
        <v>0</v>
      </c>
      <c r="AC50" s="53">
        <f>ROUND(IF(AQ50="1",BI50,0),2)</f>
        <v>0</v>
      </c>
      <c r="AD50" s="53">
        <f>ROUND(IF(AQ50="7",BH50,0),2)</f>
        <v>0</v>
      </c>
      <c r="AE50" s="53">
        <f>ROUND(IF(AQ50="7",BI50,0),2)</f>
        <v>0</v>
      </c>
      <c r="AF50" s="53">
        <f>ROUND(IF(AQ50="2",BH50,0),2)</f>
        <v>0</v>
      </c>
      <c r="AG50" s="53">
        <f>ROUND(IF(AQ50="2",BI50,0),2)</f>
        <v>0</v>
      </c>
      <c r="AH50" s="53">
        <f>ROUND(IF(AQ50="0",BJ50,0),2)</f>
        <v>0</v>
      </c>
      <c r="AI50" s="34" t="s">
        <v>4</v>
      </c>
      <c r="AJ50" s="53">
        <f>IF(AN50=0,H50,0)</f>
        <v>0</v>
      </c>
      <c r="AK50" s="53">
        <f>IF(AN50=12,H50,0)</f>
        <v>0</v>
      </c>
      <c r="AL50" s="53">
        <f>IF(AN50=21,H50,0)</f>
        <v>0</v>
      </c>
      <c r="AN50" s="53">
        <v>21</v>
      </c>
      <c r="AO50" s="53">
        <f>G50*0.505810811</f>
        <v>0</v>
      </c>
      <c r="AP50" s="53">
        <f>G50*(1-0.505810811)</f>
        <v>0</v>
      </c>
      <c r="AQ50" s="55" t="s">
        <v>124</v>
      </c>
      <c r="AV50" s="53">
        <f>ROUND(AW50+AX50,2)</f>
        <v>0</v>
      </c>
      <c r="AW50" s="53">
        <f>ROUND(F50*AO50,2)</f>
        <v>0</v>
      </c>
      <c r="AX50" s="53">
        <f>ROUND(F50*AP50,2)</f>
        <v>0</v>
      </c>
      <c r="AY50" s="55" t="s">
        <v>164</v>
      </c>
      <c r="AZ50" s="55" t="s">
        <v>165</v>
      </c>
      <c r="BA50" s="34" t="s">
        <v>116</v>
      </c>
      <c r="BC50" s="53">
        <f>AW50+AX50</f>
        <v>0</v>
      </c>
      <c r="BD50" s="53">
        <f>G50/(100-BE50)*100</f>
        <v>0</v>
      </c>
      <c r="BE50" s="53">
        <v>0</v>
      </c>
      <c r="BF50" s="53">
        <f>50</f>
        <v>50</v>
      </c>
      <c r="BH50" s="53">
        <f>F50*AO50</f>
        <v>0</v>
      </c>
      <c r="BI50" s="53">
        <f>F50*AP50</f>
        <v>0</v>
      </c>
      <c r="BJ50" s="53">
        <f>F50*G50</f>
        <v>0</v>
      </c>
      <c r="BK50" s="53"/>
      <c r="BL50" s="53">
        <v>762</v>
      </c>
      <c r="BW50" s="53">
        <v>21</v>
      </c>
      <c r="BX50" s="3" t="s">
        <v>183</v>
      </c>
    </row>
    <row r="51" spans="1:76" ht="13.5" customHeight="1" x14ac:dyDescent="0.25">
      <c r="A51" s="56"/>
      <c r="B51" s="59" t="s">
        <v>127</v>
      </c>
      <c r="C51" s="143" t="s">
        <v>184</v>
      </c>
      <c r="D51" s="144"/>
      <c r="E51" s="144"/>
      <c r="F51" s="144"/>
      <c r="G51" s="145"/>
      <c r="H51" s="144"/>
      <c r="I51" s="144"/>
      <c r="J51" s="146"/>
    </row>
    <row r="52" spans="1:76" x14ac:dyDescent="0.25">
      <c r="A52" s="56"/>
      <c r="C52" s="57" t="s">
        <v>161</v>
      </c>
      <c r="D52" s="57" t="s">
        <v>185</v>
      </c>
      <c r="F52" s="58">
        <v>10</v>
      </c>
      <c r="J52" s="48"/>
    </row>
    <row r="53" spans="1:76" x14ac:dyDescent="0.25">
      <c r="A53" s="1" t="s">
        <v>186</v>
      </c>
      <c r="B53" s="2" t="s">
        <v>187</v>
      </c>
      <c r="C53" s="70" t="s">
        <v>188</v>
      </c>
      <c r="D53" s="71"/>
      <c r="E53" s="2" t="s">
        <v>189</v>
      </c>
      <c r="F53" s="53">
        <v>4.3</v>
      </c>
      <c r="G53" s="54">
        <v>0</v>
      </c>
      <c r="H53" s="53">
        <f>ROUND(F53*G53,2)</f>
        <v>0</v>
      </c>
      <c r="I53" s="55" t="s">
        <v>123</v>
      </c>
      <c r="J53" s="48"/>
      <c r="Z53" s="53">
        <f>ROUND(IF(AQ53="5",BJ53,0),2)</f>
        <v>0</v>
      </c>
      <c r="AB53" s="53">
        <f>ROUND(IF(AQ53="1",BH53,0),2)</f>
        <v>0</v>
      </c>
      <c r="AC53" s="53">
        <f>ROUND(IF(AQ53="1",BI53,0),2)</f>
        <v>0</v>
      </c>
      <c r="AD53" s="53">
        <f>ROUND(IF(AQ53="7",BH53,0),2)</f>
        <v>0</v>
      </c>
      <c r="AE53" s="53">
        <f>ROUND(IF(AQ53="7",BI53,0),2)</f>
        <v>0</v>
      </c>
      <c r="AF53" s="53">
        <f>ROUND(IF(AQ53="2",BH53,0),2)</f>
        <v>0</v>
      </c>
      <c r="AG53" s="53">
        <f>ROUND(IF(AQ53="2",BI53,0),2)</f>
        <v>0</v>
      </c>
      <c r="AH53" s="53">
        <f>ROUND(IF(AQ53="0",BJ53,0),2)</f>
        <v>0</v>
      </c>
      <c r="AI53" s="34" t="s">
        <v>4</v>
      </c>
      <c r="AJ53" s="53">
        <f>IF(AN53=0,H53,0)</f>
        <v>0</v>
      </c>
      <c r="AK53" s="53">
        <f>IF(AN53=12,H53,0)</f>
        <v>0</v>
      </c>
      <c r="AL53" s="53">
        <f>IF(AN53=21,H53,0)</f>
        <v>0</v>
      </c>
      <c r="AN53" s="53">
        <v>21</v>
      </c>
      <c r="AO53" s="53">
        <f>G53*0.98780079</f>
        <v>0</v>
      </c>
      <c r="AP53" s="53">
        <f>G53*(1-0.98780079)</f>
        <v>0</v>
      </c>
      <c r="AQ53" s="55" t="s">
        <v>124</v>
      </c>
      <c r="AV53" s="53">
        <f>ROUND(AW53+AX53,2)</f>
        <v>0</v>
      </c>
      <c r="AW53" s="53">
        <f>ROUND(F53*AO53,2)</f>
        <v>0</v>
      </c>
      <c r="AX53" s="53">
        <f>ROUND(F53*AP53,2)</f>
        <v>0</v>
      </c>
      <c r="AY53" s="55" t="s">
        <v>164</v>
      </c>
      <c r="AZ53" s="55" t="s">
        <v>165</v>
      </c>
      <c r="BA53" s="34" t="s">
        <v>116</v>
      </c>
      <c r="BC53" s="53">
        <f>AW53+AX53</f>
        <v>0</v>
      </c>
      <c r="BD53" s="53">
        <f>G53/(100-BE53)*100</f>
        <v>0</v>
      </c>
      <c r="BE53" s="53">
        <v>0</v>
      </c>
      <c r="BF53" s="53">
        <f>53</f>
        <v>53</v>
      </c>
      <c r="BH53" s="53">
        <f>F53*AO53</f>
        <v>0</v>
      </c>
      <c r="BI53" s="53">
        <f>F53*AP53</f>
        <v>0</v>
      </c>
      <c r="BJ53" s="53">
        <f>F53*G53</f>
        <v>0</v>
      </c>
      <c r="BK53" s="53"/>
      <c r="BL53" s="53">
        <v>762</v>
      </c>
      <c r="BW53" s="53">
        <v>21</v>
      </c>
      <c r="BX53" s="3" t="s">
        <v>188</v>
      </c>
    </row>
    <row r="54" spans="1:76" x14ac:dyDescent="0.25">
      <c r="A54" s="56"/>
      <c r="C54" s="57" t="s">
        <v>190</v>
      </c>
      <c r="D54" s="57" t="s">
        <v>4</v>
      </c>
      <c r="F54" s="58">
        <v>4.3</v>
      </c>
      <c r="J54" s="48"/>
    </row>
    <row r="55" spans="1:76" x14ac:dyDescent="0.25">
      <c r="A55" s="49" t="s">
        <v>4</v>
      </c>
      <c r="B55" s="50" t="s">
        <v>191</v>
      </c>
      <c r="C55" s="141" t="s">
        <v>192</v>
      </c>
      <c r="D55" s="142"/>
      <c r="E55" s="51" t="s">
        <v>73</v>
      </c>
      <c r="F55" s="51" t="s">
        <v>73</v>
      </c>
      <c r="G55" s="52" t="s">
        <v>73</v>
      </c>
      <c r="H55" s="26">
        <f>SUM(H56:H61)</f>
        <v>0</v>
      </c>
      <c r="I55" s="34" t="s">
        <v>4</v>
      </c>
      <c r="J55" s="48"/>
      <c r="AI55" s="34" t="s">
        <v>4</v>
      </c>
      <c r="AS55" s="26">
        <f>SUM(AJ56:AJ61)</f>
        <v>0</v>
      </c>
      <c r="AT55" s="26">
        <f>SUM(AK56:AK61)</f>
        <v>0</v>
      </c>
      <c r="AU55" s="26">
        <f>SUM(AL56:AL61)</f>
        <v>0</v>
      </c>
    </row>
    <row r="56" spans="1:76" ht="25.5" x14ac:dyDescent="0.25">
      <c r="A56" s="1" t="s">
        <v>193</v>
      </c>
      <c r="B56" s="2" t="s">
        <v>194</v>
      </c>
      <c r="C56" s="70" t="s">
        <v>195</v>
      </c>
      <c r="D56" s="71"/>
      <c r="E56" s="2" t="s">
        <v>112</v>
      </c>
      <c r="F56" s="53">
        <v>1</v>
      </c>
      <c r="G56" s="54">
        <v>0</v>
      </c>
      <c r="H56" s="53">
        <f>ROUND(F56*G56,2)</f>
        <v>0</v>
      </c>
      <c r="I56" s="55" t="s">
        <v>113</v>
      </c>
      <c r="J56" s="48"/>
      <c r="Z56" s="53">
        <f>ROUND(IF(AQ56="5",BJ56,0),2)</f>
        <v>0</v>
      </c>
      <c r="AB56" s="53">
        <f>ROUND(IF(AQ56="1",BH56,0),2)</f>
        <v>0</v>
      </c>
      <c r="AC56" s="53">
        <f>ROUND(IF(AQ56="1",BI56,0),2)</f>
        <v>0</v>
      </c>
      <c r="AD56" s="53">
        <f>ROUND(IF(AQ56="7",BH56,0),2)</f>
        <v>0</v>
      </c>
      <c r="AE56" s="53">
        <f>ROUND(IF(AQ56="7",BI56,0),2)</f>
        <v>0</v>
      </c>
      <c r="AF56" s="53">
        <f>ROUND(IF(AQ56="2",BH56,0),2)</f>
        <v>0</v>
      </c>
      <c r="AG56" s="53">
        <f>ROUND(IF(AQ56="2",BI56,0),2)</f>
        <v>0</v>
      </c>
      <c r="AH56" s="53">
        <f>ROUND(IF(AQ56="0",BJ56,0),2)</f>
        <v>0</v>
      </c>
      <c r="AI56" s="34" t="s">
        <v>4</v>
      </c>
      <c r="AJ56" s="53">
        <f>IF(AN56=0,H56,0)</f>
        <v>0</v>
      </c>
      <c r="AK56" s="53">
        <f>IF(AN56=12,H56,0)</f>
        <v>0</v>
      </c>
      <c r="AL56" s="53">
        <f>IF(AN56=21,H56,0)</f>
        <v>0</v>
      </c>
      <c r="AN56" s="53">
        <v>21</v>
      </c>
      <c r="AO56" s="53">
        <f>G56*1</f>
        <v>0</v>
      </c>
      <c r="AP56" s="53">
        <f>G56*(1-1)</f>
        <v>0</v>
      </c>
      <c r="AQ56" s="55" t="s">
        <v>124</v>
      </c>
      <c r="AV56" s="53">
        <f>ROUND(AW56+AX56,2)</f>
        <v>0</v>
      </c>
      <c r="AW56" s="53">
        <f>ROUND(F56*AO56,2)</f>
        <v>0</v>
      </c>
      <c r="AX56" s="53">
        <f>ROUND(F56*AP56,2)</f>
        <v>0</v>
      </c>
      <c r="AY56" s="55" t="s">
        <v>196</v>
      </c>
      <c r="AZ56" s="55" t="s">
        <v>165</v>
      </c>
      <c r="BA56" s="34" t="s">
        <v>116</v>
      </c>
      <c r="BC56" s="53">
        <f>AW56+AX56</f>
        <v>0</v>
      </c>
      <c r="BD56" s="53">
        <f>G56/(100-BE56)*100</f>
        <v>0</v>
      </c>
      <c r="BE56" s="53">
        <v>0</v>
      </c>
      <c r="BF56" s="53">
        <f>56</f>
        <v>56</v>
      </c>
      <c r="BH56" s="53">
        <f>F56*AO56</f>
        <v>0</v>
      </c>
      <c r="BI56" s="53">
        <f>F56*AP56</f>
        <v>0</v>
      </c>
      <c r="BJ56" s="53">
        <f>F56*G56</f>
        <v>0</v>
      </c>
      <c r="BK56" s="53"/>
      <c r="BL56" s="53">
        <v>763</v>
      </c>
      <c r="BW56" s="53">
        <v>21</v>
      </c>
      <c r="BX56" s="3" t="s">
        <v>195</v>
      </c>
    </row>
    <row r="57" spans="1:76" x14ac:dyDescent="0.25">
      <c r="A57" s="56"/>
      <c r="C57" s="57" t="s">
        <v>109</v>
      </c>
      <c r="D57" s="57" t="s">
        <v>197</v>
      </c>
      <c r="F57" s="58">
        <v>1</v>
      </c>
      <c r="J57" s="48"/>
    </row>
    <row r="58" spans="1:76" x14ac:dyDescent="0.25">
      <c r="A58" s="56"/>
      <c r="C58" s="57" t="s">
        <v>4</v>
      </c>
      <c r="D58" s="57" t="s">
        <v>198</v>
      </c>
      <c r="F58" s="58">
        <v>0</v>
      </c>
      <c r="J58" s="48"/>
    </row>
    <row r="59" spans="1:76" x14ac:dyDescent="0.25">
      <c r="A59" s="1" t="s">
        <v>199</v>
      </c>
      <c r="B59" s="2" t="s">
        <v>200</v>
      </c>
      <c r="C59" s="70" t="s">
        <v>201</v>
      </c>
      <c r="D59" s="71"/>
      <c r="E59" s="2" t="s">
        <v>112</v>
      </c>
      <c r="F59" s="53">
        <v>1</v>
      </c>
      <c r="G59" s="54">
        <v>0</v>
      </c>
      <c r="H59" s="53">
        <f>ROUND(F59*G59,2)</f>
        <v>0</v>
      </c>
      <c r="I59" s="55" t="s">
        <v>123</v>
      </c>
      <c r="J59" s="48"/>
      <c r="Z59" s="53">
        <f>ROUND(IF(AQ59="5",BJ59,0),2)</f>
        <v>0</v>
      </c>
      <c r="AB59" s="53">
        <f>ROUND(IF(AQ59="1",BH59,0),2)</f>
        <v>0</v>
      </c>
      <c r="AC59" s="53">
        <f>ROUND(IF(AQ59="1",BI59,0),2)</f>
        <v>0</v>
      </c>
      <c r="AD59" s="53">
        <f>ROUND(IF(AQ59="7",BH59,0),2)</f>
        <v>0</v>
      </c>
      <c r="AE59" s="53">
        <f>ROUND(IF(AQ59="7",BI59,0),2)</f>
        <v>0</v>
      </c>
      <c r="AF59" s="53">
        <f>ROUND(IF(AQ59="2",BH59,0),2)</f>
        <v>0</v>
      </c>
      <c r="AG59" s="53">
        <f>ROUND(IF(AQ59="2",BI59,0),2)</f>
        <v>0</v>
      </c>
      <c r="AH59" s="53">
        <f>ROUND(IF(AQ59="0",BJ59,0),2)</f>
        <v>0</v>
      </c>
      <c r="AI59" s="34" t="s">
        <v>4</v>
      </c>
      <c r="AJ59" s="53">
        <f>IF(AN59=0,H59,0)</f>
        <v>0</v>
      </c>
      <c r="AK59" s="53">
        <f>IF(AN59=12,H59,0)</f>
        <v>0</v>
      </c>
      <c r="AL59" s="53">
        <f>IF(AN59=21,H59,0)</f>
        <v>0</v>
      </c>
      <c r="AN59" s="53">
        <v>21</v>
      </c>
      <c r="AO59" s="53">
        <f>G59*0.571428571</f>
        <v>0</v>
      </c>
      <c r="AP59" s="53">
        <f>G59*(1-0.571428571)</f>
        <v>0</v>
      </c>
      <c r="AQ59" s="55" t="s">
        <v>124</v>
      </c>
      <c r="AV59" s="53">
        <f>ROUND(AW59+AX59,2)</f>
        <v>0</v>
      </c>
      <c r="AW59" s="53">
        <f>ROUND(F59*AO59,2)</f>
        <v>0</v>
      </c>
      <c r="AX59" s="53">
        <f>ROUND(F59*AP59,2)</f>
        <v>0</v>
      </c>
      <c r="AY59" s="55" t="s">
        <v>196</v>
      </c>
      <c r="AZ59" s="55" t="s">
        <v>165</v>
      </c>
      <c r="BA59" s="34" t="s">
        <v>116</v>
      </c>
      <c r="BC59" s="53">
        <f>AW59+AX59</f>
        <v>0</v>
      </c>
      <c r="BD59" s="53">
        <f>G59/(100-BE59)*100</f>
        <v>0</v>
      </c>
      <c r="BE59" s="53">
        <v>0</v>
      </c>
      <c r="BF59" s="53">
        <f>59</f>
        <v>59</v>
      </c>
      <c r="BH59" s="53">
        <f>F59*AO59</f>
        <v>0</v>
      </c>
      <c r="BI59" s="53">
        <f>F59*AP59</f>
        <v>0</v>
      </c>
      <c r="BJ59" s="53">
        <f>F59*G59</f>
        <v>0</v>
      </c>
      <c r="BK59" s="53"/>
      <c r="BL59" s="53">
        <v>763</v>
      </c>
      <c r="BW59" s="53">
        <v>21</v>
      </c>
      <c r="BX59" s="3" t="s">
        <v>201</v>
      </c>
    </row>
    <row r="60" spans="1:76" x14ac:dyDescent="0.25">
      <c r="A60" s="56"/>
      <c r="C60" s="57" t="s">
        <v>109</v>
      </c>
      <c r="D60" s="57" t="s">
        <v>4</v>
      </c>
      <c r="F60" s="58">
        <v>1</v>
      </c>
      <c r="J60" s="48"/>
    </row>
    <row r="61" spans="1:76" x14ac:dyDescent="0.25">
      <c r="A61" s="1" t="s">
        <v>202</v>
      </c>
      <c r="B61" s="2" t="s">
        <v>203</v>
      </c>
      <c r="C61" s="70" t="s">
        <v>204</v>
      </c>
      <c r="D61" s="71"/>
      <c r="E61" s="2" t="s">
        <v>158</v>
      </c>
      <c r="F61" s="53">
        <v>4.7223600000000001</v>
      </c>
      <c r="G61" s="54">
        <v>0</v>
      </c>
      <c r="H61" s="53">
        <f>ROUND(F61*G61,2)</f>
        <v>0</v>
      </c>
      <c r="I61" s="55" t="s">
        <v>123</v>
      </c>
      <c r="J61" s="48"/>
      <c r="Z61" s="53">
        <f>ROUND(IF(AQ61="5",BJ61,0),2)</f>
        <v>0</v>
      </c>
      <c r="AB61" s="53">
        <f>ROUND(IF(AQ61="1",BH61,0),2)</f>
        <v>0</v>
      </c>
      <c r="AC61" s="53">
        <f>ROUND(IF(AQ61="1",BI61,0),2)</f>
        <v>0</v>
      </c>
      <c r="AD61" s="53">
        <f>ROUND(IF(AQ61="7",BH61,0),2)</f>
        <v>0</v>
      </c>
      <c r="AE61" s="53">
        <f>ROUND(IF(AQ61="7",BI61,0),2)</f>
        <v>0</v>
      </c>
      <c r="AF61" s="53">
        <f>ROUND(IF(AQ61="2",BH61,0),2)</f>
        <v>0</v>
      </c>
      <c r="AG61" s="53">
        <f>ROUND(IF(AQ61="2",BI61,0),2)</f>
        <v>0</v>
      </c>
      <c r="AH61" s="53">
        <f>ROUND(IF(AQ61="0",BJ61,0),2)</f>
        <v>0</v>
      </c>
      <c r="AI61" s="34" t="s">
        <v>4</v>
      </c>
      <c r="AJ61" s="53">
        <f>IF(AN61=0,H61,0)</f>
        <v>0</v>
      </c>
      <c r="AK61" s="53">
        <f>IF(AN61=12,H61,0)</f>
        <v>0</v>
      </c>
      <c r="AL61" s="53">
        <f>IF(AN61=21,H61,0)</f>
        <v>0</v>
      </c>
      <c r="AN61" s="53">
        <v>21</v>
      </c>
      <c r="AO61" s="53">
        <f>G61*0</f>
        <v>0</v>
      </c>
      <c r="AP61" s="53">
        <f>G61*(1-0)</f>
        <v>0</v>
      </c>
      <c r="AQ61" s="55" t="s">
        <v>142</v>
      </c>
      <c r="AV61" s="53">
        <f>ROUND(AW61+AX61,2)</f>
        <v>0</v>
      </c>
      <c r="AW61" s="53">
        <f>ROUND(F61*AO61,2)</f>
        <v>0</v>
      </c>
      <c r="AX61" s="53">
        <f>ROUND(F61*AP61,2)</f>
        <v>0</v>
      </c>
      <c r="AY61" s="55" t="s">
        <v>196</v>
      </c>
      <c r="AZ61" s="55" t="s">
        <v>165</v>
      </c>
      <c r="BA61" s="34" t="s">
        <v>116</v>
      </c>
      <c r="BC61" s="53">
        <f>AW61+AX61</f>
        <v>0</v>
      </c>
      <c r="BD61" s="53">
        <f>G61/(100-BE61)*100</f>
        <v>0</v>
      </c>
      <c r="BE61" s="53">
        <v>0</v>
      </c>
      <c r="BF61" s="53">
        <f>61</f>
        <v>61</v>
      </c>
      <c r="BH61" s="53">
        <f>F61*AO61</f>
        <v>0</v>
      </c>
      <c r="BI61" s="53">
        <f>F61*AP61</f>
        <v>0</v>
      </c>
      <c r="BJ61" s="53">
        <f>F61*G61</f>
        <v>0</v>
      </c>
      <c r="BK61" s="53"/>
      <c r="BL61" s="53">
        <v>763</v>
      </c>
      <c r="BW61" s="53">
        <v>21</v>
      </c>
      <c r="BX61" s="3" t="s">
        <v>204</v>
      </c>
    </row>
    <row r="62" spans="1:76" x14ac:dyDescent="0.25">
      <c r="A62" s="49" t="s">
        <v>4</v>
      </c>
      <c r="B62" s="50" t="s">
        <v>205</v>
      </c>
      <c r="C62" s="141" t="s">
        <v>206</v>
      </c>
      <c r="D62" s="142"/>
      <c r="E62" s="51" t="s">
        <v>73</v>
      </c>
      <c r="F62" s="51" t="s">
        <v>73</v>
      </c>
      <c r="G62" s="52" t="s">
        <v>73</v>
      </c>
      <c r="H62" s="26">
        <f>SUM(H63:H93)</f>
        <v>0</v>
      </c>
      <c r="I62" s="34" t="s">
        <v>4</v>
      </c>
      <c r="J62" s="48"/>
      <c r="AI62" s="34" t="s">
        <v>4</v>
      </c>
      <c r="AS62" s="26">
        <f>SUM(AJ63:AJ93)</f>
        <v>0</v>
      </c>
      <c r="AT62" s="26">
        <f>SUM(AK63:AK93)</f>
        <v>0</v>
      </c>
      <c r="AU62" s="26">
        <f>SUM(AL63:AL93)</f>
        <v>0</v>
      </c>
    </row>
    <row r="63" spans="1:76" x14ac:dyDescent="0.25">
      <c r="A63" s="1" t="s">
        <v>207</v>
      </c>
      <c r="B63" s="2" t="s">
        <v>208</v>
      </c>
      <c r="C63" s="70" t="s">
        <v>209</v>
      </c>
      <c r="D63" s="71"/>
      <c r="E63" s="2" t="s">
        <v>210</v>
      </c>
      <c r="F63" s="53">
        <v>5</v>
      </c>
      <c r="G63" s="54">
        <v>0</v>
      </c>
      <c r="H63" s="53">
        <f>ROUND(F63*G63,2)</f>
        <v>0</v>
      </c>
      <c r="I63" s="55" t="s">
        <v>123</v>
      </c>
      <c r="J63" s="48"/>
      <c r="Z63" s="53">
        <f>ROUND(IF(AQ63="5",BJ63,0),2)</f>
        <v>0</v>
      </c>
      <c r="AB63" s="53">
        <f>ROUND(IF(AQ63="1",BH63,0),2)</f>
        <v>0</v>
      </c>
      <c r="AC63" s="53">
        <f>ROUND(IF(AQ63="1",BI63,0),2)</f>
        <v>0</v>
      </c>
      <c r="AD63" s="53">
        <f>ROUND(IF(AQ63="7",BH63,0),2)</f>
        <v>0</v>
      </c>
      <c r="AE63" s="53">
        <f>ROUND(IF(AQ63="7",BI63,0),2)</f>
        <v>0</v>
      </c>
      <c r="AF63" s="53">
        <f>ROUND(IF(AQ63="2",BH63,0),2)</f>
        <v>0</v>
      </c>
      <c r="AG63" s="53">
        <f>ROUND(IF(AQ63="2",BI63,0),2)</f>
        <v>0</v>
      </c>
      <c r="AH63" s="53">
        <f>ROUND(IF(AQ63="0",BJ63,0),2)</f>
        <v>0</v>
      </c>
      <c r="AI63" s="34" t="s">
        <v>4</v>
      </c>
      <c r="AJ63" s="53">
        <f>IF(AN63=0,H63,0)</f>
        <v>0</v>
      </c>
      <c r="AK63" s="53">
        <f>IF(AN63=12,H63,0)</f>
        <v>0</v>
      </c>
      <c r="AL63" s="53">
        <f>IF(AN63=21,H63,0)</f>
        <v>0</v>
      </c>
      <c r="AN63" s="53">
        <v>21</v>
      </c>
      <c r="AO63" s="53">
        <f>G63*0</f>
        <v>0</v>
      </c>
      <c r="AP63" s="53">
        <f>G63*(1-0)</f>
        <v>0</v>
      </c>
      <c r="AQ63" s="55" t="s">
        <v>124</v>
      </c>
      <c r="AV63" s="53">
        <f>ROUND(AW63+AX63,2)</f>
        <v>0</v>
      </c>
      <c r="AW63" s="53">
        <f>ROUND(F63*AO63,2)</f>
        <v>0</v>
      </c>
      <c r="AX63" s="53">
        <f>ROUND(F63*AP63,2)</f>
        <v>0</v>
      </c>
      <c r="AY63" s="55" t="s">
        <v>211</v>
      </c>
      <c r="AZ63" s="55" t="s">
        <v>165</v>
      </c>
      <c r="BA63" s="34" t="s">
        <v>116</v>
      </c>
      <c r="BC63" s="53">
        <f>AW63+AX63</f>
        <v>0</v>
      </c>
      <c r="BD63" s="53">
        <f>G63/(100-BE63)*100</f>
        <v>0</v>
      </c>
      <c r="BE63" s="53">
        <v>0</v>
      </c>
      <c r="BF63" s="53">
        <f>63</f>
        <v>63</v>
      </c>
      <c r="BH63" s="53">
        <f>F63*AO63</f>
        <v>0</v>
      </c>
      <c r="BI63" s="53">
        <f>F63*AP63</f>
        <v>0</v>
      </c>
      <c r="BJ63" s="53">
        <f>F63*G63</f>
        <v>0</v>
      </c>
      <c r="BK63" s="53"/>
      <c r="BL63" s="53">
        <v>764</v>
      </c>
      <c r="BW63" s="53">
        <v>21</v>
      </c>
      <c r="BX63" s="3" t="s">
        <v>209</v>
      </c>
    </row>
    <row r="64" spans="1:76" x14ac:dyDescent="0.25">
      <c r="A64" s="56"/>
      <c r="C64" s="57" t="s">
        <v>142</v>
      </c>
      <c r="D64" s="57" t="s">
        <v>4</v>
      </c>
      <c r="F64" s="58">
        <v>5</v>
      </c>
      <c r="J64" s="48"/>
    </row>
    <row r="65" spans="1:76" x14ac:dyDescent="0.25">
      <c r="A65" s="1" t="s">
        <v>212</v>
      </c>
      <c r="B65" s="2" t="s">
        <v>213</v>
      </c>
      <c r="C65" s="70" t="s">
        <v>214</v>
      </c>
      <c r="D65" s="71"/>
      <c r="E65" s="2" t="s">
        <v>210</v>
      </c>
      <c r="F65" s="53">
        <v>6</v>
      </c>
      <c r="G65" s="54">
        <v>0</v>
      </c>
      <c r="H65" s="53">
        <f>ROUND(F65*G65,2)</f>
        <v>0</v>
      </c>
      <c r="I65" s="55" t="s">
        <v>123</v>
      </c>
      <c r="J65" s="48"/>
      <c r="Z65" s="53">
        <f>ROUND(IF(AQ65="5",BJ65,0),2)</f>
        <v>0</v>
      </c>
      <c r="AB65" s="53">
        <f>ROUND(IF(AQ65="1",BH65,0),2)</f>
        <v>0</v>
      </c>
      <c r="AC65" s="53">
        <f>ROUND(IF(AQ65="1",BI65,0),2)</f>
        <v>0</v>
      </c>
      <c r="AD65" s="53">
        <f>ROUND(IF(AQ65="7",BH65,0),2)</f>
        <v>0</v>
      </c>
      <c r="AE65" s="53">
        <f>ROUND(IF(AQ65="7",BI65,0),2)</f>
        <v>0</v>
      </c>
      <c r="AF65" s="53">
        <f>ROUND(IF(AQ65="2",BH65,0),2)</f>
        <v>0</v>
      </c>
      <c r="AG65" s="53">
        <f>ROUND(IF(AQ65="2",BI65,0),2)</f>
        <v>0</v>
      </c>
      <c r="AH65" s="53">
        <f>ROUND(IF(AQ65="0",BJ65,0),2)</f>
        <v>0</v>
      </c>
      <c r="AI65" s="34" t="s">
        <v>4</v>
      </c>
      <c r="AJ65" s="53">
        <f>IF(AN65=0,H65,0)</f>
        <v>0</v>
      </c>
      <c r="AK65" s="53">
        <f>IF(AN65=12,H65,0)</f>
        <v>0</v>
      </c>
      <c r="AL65" s="53">
        <f>IF(AN65=21,H65,0)</f>
        <v>0</v>
      </c>
      <c r="AN65" s="53">
        <v>21</v>
      </c>
      <c r="AO65" s="53">
        <f>G65*0</f>
        <v>0</v>
      </c>
      <c r="AP65" s="53">
        <f>G65*(1-0)</f>
        <v>0</v>
      </c>
      <c r="AQ65" s="55" t="s">
        <v>124</v>
      </c>
      <c r="AV65" s="53">
        <f>ROUND(AW65+AX65,2)</f>
        <v>0</v>
      </c>
      <c r="AW65" s="53">
        <f>ROUND(F65*AO65,2)</f>
        <v>0</v>
      </c>
      <c r="AX65" s="53">
        <f>ROUND(F65*AP65,2)</f>
        <v>0</v>
      </c>
      <c r="AY65" s="55" t="s">
        <v>211</v>
      </c>
      <c r="AZ65" s="55" t="s">
        <v>165</v>
      </c>
      <c r="BA65" s="34" t="s">
        <v>116</v>
      </c>
      <c r="BC65" s="53">
        <f>AW65+AX65</f>
        <v>0</v>
      </c>
      <c r="BD65" s="53">
        <f>G65/(100-BE65)*100</f>
        <v>0</v>
      </c>
      <c r="BE65" s="53">
        <v>0</v>
      </c>
      <c r="BF65" s="53">
        <f>65</f>
        <v>65</v>
      </c>
      <c r="BH65" s="53">
        <f>F65*AO65</f>
        <v>0</v>
      </c>
      <c r="BI65" s="53">
        <f>F65*AP65</f>
        <v>0</v>
      </c>
      <c r="BJ65" s="53">
        <f>F65*G65</f>
        <v>0</v>
      </c>
      <c r="BK65" s="53"/>
      <c r="BL65" s="53">
        <v>764</v>
      </c>
      <c r="BW65" s="53">
        <v>21</v>
      </c>
      <c r="BX65" s="3" t="s">
        <v>214</v>
      </c>
    </row>
    <row r="66" spans="1:76" x14ac:dyDescent="0.25">
      <c r="A66" s="56"/>
      <c r="C66" s="57" t="s">
        <v>146</v>
      </c>
      <c r="D66" s="57" t="s">
        <v>215</v>
      </c>
      <c r="F66" s="58">
        <v>6</v>
      </c>
      <c r="J66" s="48"/>
    </row>
    <row r="67" spans="1:76" x14ac:dyDescent="0.25">
      <c r="A67" s="1" t="s">
        <v>151</v>
      </c>
      <c r="B67" s="2" t="s">
        <v>216</v>
      </c>
      <c r="C67" s="70" t="s">
        <v>217</v>
      </c>
      <c r="D67" s="71"/>
      <c r="E67" s="2" t="s">
        <v>218</v>
      </c>
      <c r="F67" s="53">
        <v>14</v>
      </c>
      <c r="G67" s="54">
        <v>0</v>
      </c>
      <c r="H67" s="53">
        <f>ROUND(F67*G67,2)</f>
        <v>0</v>
      </c>
      <c r="I67" s="55" t="s">
        <v>123</v>
      </c>
      <c r="J67" s="48"/>
      <c r="Z67" s="53">
        <f>ROUND(IF(AQ67="5",BJ67,0),2)</f>
        <v>0</v>
      </c>
      <c r="AB67" s="53">
        <f>ROUND(IF(AQ67="1",BH67,0),2)</f>
        <v>0</v>
      </c>
      <c r="AC67" s="53">
        <f>ROUND(IF(AQ67="1",BI67,0),2)</f>
        <v>0</v>
      </c>
      <c r="AD67" s="53">
        <f>ROUND(IF(AQ67="7",BH67,0),2)</f>
        <v>0</v>
      </c>
      <c r="AE67" s="53">
        <f>ROUND(IF(AQ67="7",BI67,0),2)</f>
        <v>0</v>
      </c>
      <c r="AF67" s="53">
        <f>ROUND(IF(AQ67="2",BH67,0),2)</f>
        <v>0</v>
      </c>
      <c r="AG67" s="53">
        <f>ROUND(IF(AQ67="2",BI67,0),2)</f>
        <v>0</v>
      </c>
      <c r="AH67" s="53">
        <f>ROUND(IF(AQ67="0",BJ67,0),2)</f>
        <v>0</v>
      </c>
      <c r="AI67" s="34" t="s">
        <v>4</v>
      </c>
      <c r="AJ67" s="53">
        <f>IF(AN67=0,H67,0)</f>
        <v>0</v>
      </c>
      <c r="AK67" s="53">
        <f>IF(AN67=12,H67,0)</f>
        <v>0</v>
      </c>
      <c r="AL67" s="53">
        <f>IF(AN67=21,H67,0)</f>
        <v>0</v>
      </c>
      <c r="AN67" s="53">
        <v>21</v>
      </c>
      <c r="AO67" s="53">
        <f>G67*0</f>
        <v>0</v>
      </c>
      <c r="AP67" s="53">
        <f>G67*(1-0)</f>
        <v>0</v>
      </c>
      <c r="AQ67" s="55" t="s">
        <v>124</v>
      </c>
      <c r="AV67" s="53">
        <f>ROUND(AW67+AX67,2)</f>
        <v>0</v>
      </c>
      <c r="AW67" s="53">
        <f>ROUND(F67*AO67,2)</f>
        <v>0</v>
      </c>
      <c r="AX67" s="53">
        <f>ROUND(F67*AP67,2)</f>
        <v>0</v>
      </c>
      <c r="AY67" s="55" t="s">
        <v>211</v>
      </c>
      <c r="AZ67" s="55" t="s">
        <v>165</v>
      </c>
      <c r="BA67" s="34" t="s">
        <v>116</v>
      </c>
      <c r="BC67" s="53">
        <f>AW67+AX67</f>
        <v>0</v>
      </c>
      <c r="BD67" s="53">
        <f>G67/(100-BE67)*100</f>
        <v>0</v>
      </c>
      <c r="BE67" s="53">
        <v>0</v>
      </c>
      <c r="BF67" s="53">
        <f>67</f>
        <v>67</v>
      </c>
      <c r="BH67" s="53">
        <f>F67*AO67</f>
        <v>0</v>
      </c>
      <c r="BI67" s="53">
        <f>F67*AP67</f>
        <v>0</v>
      </c>
      <c r="BJ67" s="53">
        <f>F67*G67</f>
        <v>0</v>
      </c>
      <c r="BK67" s="53"/>
      <c r="BL67" s="53">
        <v>764</v>
      </c>
      <c r="BW67" s="53">
        <v>21</v>
      </c>
      <c r="BX67" s="3" t="s">
        <v>217</v>
      </c>
    </row>
    <row r="68" spans="1:76" x14ac:dyDescent="0.25">
      <c r="A68" s="56"/>
      <c r="C68" s="57" t="s">
        <v>219</v>
      </c>
      <c r="D68" s="57" t="s">
        <v>4</v>
      </c>
      <c r="F68" s="58">
        <v>14</v>
      </c>
      <c r="J68" s="48"/>
    </row>
    <row r="69" spans="1:76" x14ac:dyDescent="0.25">
      <c r="A69" s="1" t="s">
        <v>220</v>
      </c>
      <c r="B69" s="2" t="s">
        <v>221</v>
      </c>
      <c r="C69" s="70" t="s">
        <v>222</v>
      </c>
      <c r="D69" s="71"/>
      <c r="E69" s="2" t="s">
        <v>210</v>
      </c>
      <c r="F69" s="53">
        <v>14.5</v>
      </c>
      <c r="G69" s="54">
        <v>0</v>
      </c>
      <c r="H69" s="53">
        <f>ROUND(F69*G69,2)</f>
        <v>0</v>
      </c>
      <c r="I69" s="55" t="s">
        <v>123</v>
      </c>
      <c r="J69" s="48"/>
      <c r="Z69" s="53">
        <f>ROUND(IF(AQ69="5",BJ69,0),2)</f>
        <v>0</v>
      </c>
      <c r="AB69" s="53">
        <f>ROUND(IF(AQ69="1",BH69,0),2)</f>
        <v>0</v>
      </c>
      <c r="AC69" s="53">
        <f>ROUND(IF(AQ69="1",BI69,0),2)</f>
        <v>0</v>
      </c>
      <c r="AD69" s="53">
        <f>ROUND(IF(AQ69="7",BH69,0),2)</f>
        <v>0</v>
      </c>
      <c r="AE69" s="53">
        <f>ROUND(IF(AQ69="7",BI69,0),2)</f>
        <v>0</v>
      </c>
      <c r="AF69" s="53">
        <f>ROUND(IF(AQ69="2",BH69,0),2)</f>
        <v>0</v>
      </c>
      <c r="AG69" s="53">
        <f>ROUND(IF(AQ69="2",BI69,0),2)</f>
        <v>0</v>
      </c>
      <c r="AH69" s="53">
        <f>ROUND(IF(AQ69="0",BJ69,0),2)</f>
        <v>0</v>
      </c>
      <c r="AI69" s="34" t="s">
        <v>4</v>
      </c>
      <c r="AJ69" s="53">
        <f>IF(AN69=0,H69,0)</f>
        <v>0</v>
      </c>
      <c r="AK69" s="53">
        <f>IF(AN69=12,H69,0)</f>
        <v>0</v>
      </c>
      <c r="AL69" s="53">
        <f>IF(AN69=21,H69,0)</f>
        <v>0</v>
      </c>
      <c r="AN69" s="53">
        <v>21</v>
      </c>
      <c r="AO69" s="53">
        <f>G69*0</f>
        <v>0</v>
      </c>
      <c r="AP69" s="53">
        <f>G69*(1-0)</f>
        <v>0</v>
      </c>
      <c r="AQ69" s="55" t="s">
        <v>124</v>
      </c>
      <c r="AV69" s="53">
        <f>ROUND(AW69+AX69,2)</f>
        <v>0</v>
      </c>
      <c r="AW69" s="53">
        <f>ROUND(F69*AO69,2)</f>
        <v>0</v>
      </c>
      <c r="AX69" s="53">
        <f>ROUND(F69*AP69,2)</f>
        <v>0</v>
      </c>
      <c r="AY69" s="55" t="s">
        <v>211</v>
      </c>
      <c r="AZ69" s="55" t="s">
        <v>165</v>
      </c>
      <c r="BA69" s="34" t="s">
        <v>116</v>
      </c>
      <c r="BC69" s="53">
        <f>AW69+AX69</f>
        <v>0</v>
      </c>
      <c r="BD69" s="53">
        <f>G69/(100-BE69)*100</f>
        <v>0</v>
      </c>
      <c r="BE69" s="53">
        <v>0</v>
      </c>
      <c r="BF69" s="53">
        <f>69</f>
        <v>69</v>
      </c>
      <c r="BH69" s="53">
        <f>F69*AO69</f>
        <v>0</v>
      </c>
      <c r="BI69" s="53">
        <f>F69*AP69</f>
        <v>0</v>
      </c>
      <c r="BJ69" s="53">
        <f>F69*G69</f>
        <v>0</v>
      </c>
      <c r="BK69" s="53"/>
      <c r="BL69" s="53">
        <v>764</v>
      </c>
      <c r="BW69" s="53">
        <v>21</v>
      </c>
      <c r="BX69" s="3" t="s">
        <v>222</v>
      </c>
    </row>
    <row r="70" spans="1:76" x14ac:dyDescent="0.25">
      <c r="A70" s="56"/>
      <c r="C70" s="57" t="s">
        <v>223</v>
      </c>
      <c r="D70" s="57" t="s">
        <v>4</v>
      </c>
      <c r="F70" s="58">
        <v>14.5</v>
      </c>
      <c r="J70" s="48"/>
    </row>
    <row r="71" spans="1:76" x14ac:dyDescent="0.25">
      <c r="A71" s="1" t="s">
        <v>224</v>
      </c>
      <c r="B71" s="2" t="s">
        <v>225</v>
      </c>
      <c r="C71" s="70" t="s">
        <v>226</v>
      </c>
      <c r="D71" s="71"/>
      <c r="E71" s="2" t="s">
        <v>210</v>
      </c>
      <c r="F71" s="53">
        <v>8.5</v>
      </c>
      <c r="G71" s="54">
        <v>0</v>
      </c>
      <c r="H71" s="53">
        <f>ROUND(F71*G71,2)</f>
        <v>0</v>
      </c>
      <c r="I71" s="55" t="s">
        <v>123</v>
      </c>
      <c r="J71" s="48"/>
      <c r="Z71" s="53">
        <f>ROUND(IF(AQ71="5",BJ71,0),2)</f>
        <v>0</v>
      </c>
      <c r="AB71" s="53">
        <f>ROUND(IF(AQ71="1",BH71,0),2)</f>
        <v>0</v>
      </c>
      <c r="AC71" s="53">
        <f>ROUND(IF(AQ71="1",BI71,0),2)</f>
        <v>0</v>
      </c>
      <c r="AD71" s="53">
        <f>ROUND(IF(AQ71="7",BH71,0),2)</f>
        <v>0</v>
      </c>
      <c r="AE71" s="53">
        <f>ROUND(IF(AQ71="7",BI71,0),2)</f>
        <v>0</v>
      </c>
      <c r="AF71" s="53">
        <f>ROUND(IF(AQ71="2",BH71,0),2)</f>
        <v>0</v>
      </c>
      <c r="AG71" s="53">
        <f>ROUND(IF(AQ71="2",BI71,0),2)</f>
        <v>0</v>
      </c>
      <c r="AH71" s="53">
        <f>ROUND(IF(AQ71="0",BJ71,0),2)</f>
        <v>0</v>
      </c>
      <c r="AI71" s="34" t="s">
        <v>4</v>
      </c>
      <c r="AJ71" s="53">
        <f>IF(AN71=0,H71,0)</f>
        <v>0</v>
      </c>
      <c r="AK71" s="53">
        <f>IF(AN71=12,H71,0)</f>
        <v>0</v>
      </c>
      <c r="AL71" s="53">
        <f>IF(AN71=21,H71,0)</f>
        <v>0</v>
      </c>
      <c r="AN71" s="53">
        <v>21</v>
      </c>
      <c r="AO71" s="53">
        <f>G71*0</f>
        <v>0</v>
      </c>
      <c r="AP71" s="53">
        <f>G71*(1-0)</f>
        <v>0</v>
      </c>
      <c r="AQ71" s="55" t="s">
        <v>124</v>
      </c>
      <c r="AV71" s="53">
        <f>ROUND(AW71+AX71,2)</f>
        <v>0</v>
      </c>
      <c r="AW71" s="53">
        <f>ROUND(F71*AO71,2)</f>
        <v>0</v>
      </c>
      <c r="AX71" s="53">
        <f>ROUND(F71*AP71,2)</f>
        <v>0</v>
      </c>
      <c r="AY71" s="55" t="s">
        <v>211</v>
      </c>
      <c r="AZ71" s="55" t="s">
        <v>165</v>
      </c>
      <c r="BA71" s="34" t="s">
        <v>116</v>
      </c>
      <c r="BC71" s="53">
        <f>AW71+AX71</f>
        <v>0</v>
      </c>
      <c r="BD71" s="53">
        <f>G71/(100-BE71)*100</f>
        <v>0</v>
      </c>
      <c r="BE71" s="53">
        <v>0</v>
      </c>
      <c r="BF71" s="53">
        <f>71</f>
        <v>71</v>
      </c>
      <c r="BH71" s="53">
        <f>F71*AO71</f>
        <v>0</v>
      </c>
      <c r="BI71" s="53">
        <f>F71*AP71</f>
        <v>0</v>
      </c>
      <c r="BJ71" s="53">
        <f>F71*G71</f>
        <v>0</v>
      </c>
      <c r="BK71" s="53"/>
      <c r="BL71" s="53">
        <v>764</v>
      </c>
      <c r="BW71" s="53">
        <v>21</v>
      </c>
      <c r="BX71" s="3" t="s">
        <v>226</v>
      </c>
    </row>
    <row r="72" spans="1:76" x14ac:dyDescent="0.25">
      <c r="A72" s="56"/>
      <c r="C72" s="57" t="s">
        <v>227</v>
      </c>
      <c r="D72" s="57" t="s">
        <v>228</v>
      </c>
      <c r="F72" s="58">
        <v>8.5</v>
      </c>
      <c r="J72" s="48"/>
    </row>
    <row r="73" spans="1:76" x14ac:dyDescent="0.25">
      <c r="A73" s="1" t="s">
        <v>229</v>
      </c>
      <c r="B73" s="2" t="s">
        <v>230</v>
      </c>
      <c r="C73" s="70" t="s">
        <v>231</v>
      </c>
      <c r="D73" s="71"/>
      <c r="E73" s="2" t="s">
        <v>210</v>
      </c>
      <c r="F73" s="53">
        <v>32</v>
      </c>
      <c r="G73" s="54">
        <v>0</v>
      </c>
      <c r="H73" s="53">
        <f>ROUND(F73*G73,2)</f>
        <v>0</v>
      </c>
      <c r="I73" s="55" t="s">
        <v>123</v>
      </c>
      <c r="J73" s="48"/>
      <c r="Z73" s="53">
        <f>ROUND(IF(AQ73="5",BJ73,0),2)</f>
        <v>0</v>
      </c>
      <c r="AB73" s="53">
        <f>ROUND(IF(AQ73="1",BH73,0),2)</f>
        <v>0</v>
      </c>
      <c r="AC73" s="53">
        <f>ROUND(IF(AQ73="1",BI73,0),2)</f>
        <v>0</v>
      </c>
      <c r="AD73" s="53">
        <f>ROUND(IF(AQ73="7",BH73,0),2)</f>
        <v>0</v>
      </c>
      <c r="AE73" s="53">
        <f>ROUND(IF(AQ73="7",BI73,0),2)</f>
        <v>0</v>
      </c>
      <c r="AF73" s="53">
        <f>ROUND(IF(AQ73="2",BH73,0),2)</f>
        <v>0</v>
      </c>
      <c r="AG73" s="53">
        <f>ROUND(IF(AQ73="2",BI73,0),2)</f>
        <v>0</v>
      </c>
      <c r="AH73" s="53">
        <f>ROUND(IF(AQ73="0",BJ73,0),2)</f>
        <v>0</v>
      </c>
      <c r="AI73" s="34" t="s">
        <v>4</v>
      </c>
      <c r="AJ73" s="53">
        <f>IF(AN73=0,H73,0)</f>
        <v>0</v>
      </c>
      <c r="AK73" s="53">
        <f>IF(AN73=12,H73,0)</f>
        <v>0</v>
      </c>
      <c r="AL73" s="53">
        <f>IF(AN73=21,H73,0)</f>
        <v>0</v>
      </c>
      <c r="AN73" s="53">
        <v>21</v>
      </c>
      <c r="AO73" s="53">
        <f>G73*0</f>
        <v>0</v>
      </c>
      <c r="AP73" s="53">
        <f>G73*(1-0)</f>
        <v>0</v>
      </c>
      <c r="AQ73" s="55" t="s">
        <v>124</v>
      </c>
      <c r="AV73" s="53">
        <f>ROUND(AW73+AX73,2)</f>
        <v>0</v>
      </c>
      <c r="AW73" s="53">
        <f>ROUND(F73*AO73,2)</f>
        <v>0</v>
      </c>
      <c r="AX73" s="53">
        <f>ROUND(F73*AP73,2)</f>
        <v>0</v>
      </c>
      <c r="AY73" s="55" t="s">
        <v>211</v>
      </c>
      <c r="AZ73" s="55" t="s">
        <v>165</v>
      </c>
      <c r="BA73" s="34" t="s">
        <v>116</v>
      </c>
      <c r="BC73" s="53">
        <f>AW73+AX73</f>
        <v>0</v>
      </c>
      <c r="BD73" s="53">
        <f>G73/(100-BE73)*100</f>
        <v>0</v>
      </c>
      <c r="BE73" s="53">
        <v>0</v>
      </c>
      <c r="BF73" s="53">
        <f>73</f>
        <v>73</v>
      </c>
      <c r="BH73" s="53">
        <f>F73*AO73</f>
        <v>0</v>
      </c>
      <c r="BI73" s="53">
        <f>F73*AP73</f>
        <v>0</v>
      </c>
      <c r="BJ73" s="53">
        <f>F73*G73</f>
        <v>0</v>
      </c>
      <c r="BK73" s="53"/>
      <c r="BL73" s="53">
        <v>764</v>
      </c>
      <c r="BW73" s="53">
        <v>21</v>
      </c>
      <c r="BX73" s="3" t="s">
        <v>231</v>
      </c>
    </row>
    <row r="74" spans="1:76" x14ac:dyDescent="0.25">
      <c r="A74" s="56"/>
      <c r="C74" s="57" t="s">
        <v>232</v>
      </c>
      <c r="D74" s="57" t="s">
        <v>4</v>
      </c>
      <c r="F74" s="58">
        <v>32</v>
      </c>
      <c r="J74" s="48"/>
    </row>
    <row r="75" spans="1:76" x14ac:dyDescent="0.25">
      <c r="A75" s="1" t="s">
        <v>233</v>
      </c>
      <c r="B75" s="2" t="s">
        <v>234</v>
      </c>
      <c r="C75" s="70" t="s">
        <v>235</v>
      </c>
      <c r="D75" s="71"/>
      <c r="E75" s="2" t="s">
        <v>210</v>
      </c>
      <c r="F75" s="53">
        <v>8.5</v>
      </c>
      <c r="G75" s="54">
        <v>0</v>
      </c>
      <c r="H75" s="53">
        <f>ROUND(F75*G75,2)</f>
        <v>0</v>
      </c>
      <c r="I75" s="55" t="s">
        <v>123</v>
      </c>
      <c r="J75" s="48"/>
      <c r="Z75" s="53">
        <f>ROUND(IF(AQ75="5",BJ75,0),2)</f>
        <v>0</v>
      </c>
      <c r="AB75" s="53">
        <f>ROUND(IF(AQ75="1",BH75,0),2)</f>
        <v>0</v>
      </c>
      <c r="AC75" s="53">
        <f>ROUND(IF(AQ75="1",BI75,0),2)</f>
        <v>0</v>
      </c>
      <c r="AD75" s="53">
        <f>ROUND(IF(AQ75="7",BH75,0),2)</f>
        <v>0</v>
      </c>
      <c r="AE75" s="53">
        <f>ROUND(IF(AQ75="7",BI75,0),2)</f>
        <v>0</v>
      </c>
      <c r="AF75" s="53">
        <f>ROUND(IF(AQ75="2",BH75,0),2)</f>
        <v>0</v>
      </c>
      <c r="AG75" s="53">
        <f>ROUND(IF(AQ75="2",BI75,0),2)</f>
        <v>0</v>
      </c>
      <c r="AH75" s="53">
        <f>ROUND(IF(AQ75="0",BJ75,0),2)</f>
        <v>0</v>
      </c>
      <c r="AI75" s="34" t="s">
        <v>4</v>
      </c>
      <c r="AJ75" s="53">
        <f>IF(AN75=0,H75,0)</f>
        <v>0</v>
      </c>
      <c r="AK75" s="53">
        <f>IF(AN75=12,H75,0)</f>
        <v>0</v>
      </c>
      <c r="AL75" s="53">
        <f>IF(AN75=21,H75,0)</f>
        <v>0</v>
      </c>
      <c r="AN75" s="53">
        <v>21</v>
      </c>
      <c r="AO75" s="53">
        <f>G75*0.058780804</f>
        <v>0</v>
      </c>
      <c r="AP75" s="53">
        <f>G75*(1-0.058780804)</f>
        <v>0</v>
      </c>
      <c r="AQ75" s="55" t="s">
        <v>124</v>
      </c>
      <c r="AV75" s="53">
        <f>ROUND(AW75+AX75,2)</f>
        <v>0</v>
      </c>
      <c r="AW75" s="53">
        <f>ROUND(F75*AO75,2)</f>
        <v>0</v>
      </c>
      <c r="AX75" s="53">
        <f>ROUND(F75*AP75,2)</f>
        <v>0</v>
      </c>
      <c r="AY75" s="55" t="s">
        <v>211</v>
      </c>
      <c r="AZ75" s="55" t="s">
        <v>165</v>
      </c>
      <c r="BA75" s="34" t="s">
        <v>116</v>
      </c>
      <c r="BC75" s="53">
        <f>AW75+AX75</f>
        <v>0</v>
      </c>
      <c r="BD75" s="53">
        <f>G75/(100-BE75)*100</f>
        <v>0</v>
      </c>
      <c r="BE75" s="53">
        <v>0</v>
      </c>
      <c r="BF75" s="53">
        <f>75</f>
        <v>75</v>
      </c>
      <c r="BH75" s="53">
        <f>F75*AO75</f>
        <v>0</v>
      </c>
      <c r="BI75" s="53">
        <f>F75*AP75</f>
        <v>0</v>
      </c>
      <c r="BJ75" s="53">
        <f>F75*G75</f>
        <v>0</v>
      </c>
      <c r="BK75" s="53"/>
      <c r="BL75" s="53">
        <v>764</v>
      </c>
      <c r="BW75" s="53">
        <v>21</v>
      </c>
      <c r="BX75" s="3" t="s">
        <v>235</v>
      </c>
    </row>
    <row r="76" spans="1:76" x14ac:dyDescent="0.25">
      <c r="A76" s="56"/>
      <c r="C76" s="57" t="s">
        <v>227</v>
      </c>
      <c r="D76" s="57" t="s">
        <v>4</v>
      </c>
      <c r="F76" s="58">
        <v>8.5</v>
      </c>
      <c r="J76" s="48"/>
    </row>
    <row r="77" spans="1:76" x14ac:dyDescent="0.25">
      <c r="A77" s="1" t="s">
        <v>236</v>
      </c>
      <c r="B77" s="2" t="s">
        <v>237</v>
      </c>
      <c r="C77" s="70" t="s">
        <v>238</v>
      </c>
      <c r="D77" s="71"/>
      <c r="E77" s="2" t="s">
        <v>210</v>
      </c>
      <c r="F77" s="53">
        <v>8.5</v>
      </c>
      <c r="G77" s="54">
        <v>0</v>
      </c>
      <c r="H77" s="53">
        <f>ROUND(F77*G77,2)</f>
        <v>0</v>
      </c>
      <c r="I77" s="55" t="s">
        <v>113</v>
      </c>
      <c r="J77" s="48"/>
      <c r="Z77" s="53">
        <f>ROUND(IF(AQ77="5",BJ77,0),2)</f>
        <v>0</v>
      </c>
      <c r="AB77" s="53">
        <f>ROUND(IF(AQ77="1",BH77,0),2)</f>
        <v>0</v>
      </c>
      <c r="AC77" s="53">
        <f>ROUND(IF(AQ77="1",BI77,0),2)</f>
        <v>0</v>
      </c>
      <c r="AD77" s="53">
        <f>ROUND(IF(AQ77="7",BH77,0),2)</f>
        <v>0</v>
      </c>
      <c r="AE77" s="53">
        <f>ROUND(IF(AQ77="7",BI77,0),2)</f>
        <v>0</v>
      </c>
      <c r="AF77" s="53">
        <f>ROUND(IF(AQ77="2",BH77,0),2)</f>
        <v>0</v>
      </c>
      <c r="AG77" s="53">
        <f>ROUND(IF(AQ77="2",BI77,0),2)</f>
        <v>0</v>
      </c>
      <c r="AH77" s="53">
        <f>ROUND(IF(AQ77="0",BJ77,0),2)</f>
        <v>0</v>
      </c>
      <c r="AI77" s="34" t="s">
        <v>4</v>
      </c>
      <c r="AJ77" s="53">
        <f>IF(AN77=0,H77,0)</f>
        <v>0</v>
      </c>
      <c r="AK77" s="53">
        <f>IF(AN77=12,H77,0)</f>
        <v>0</v>
      </c>
      <c r="AL77" s="53">
        <f>IF(AN77=21,H77,0)</f>
        <v>0</v>
      </c>
      <c r="AN77" s="53">
        <v>21</v>
      </c>
      <c r="AO77" s="53">
        <f>G77*1</f>
        <v>0</v>
      </c>
      <c r="AP77" s="53">
        <f>G77*(1-1)</f>
        <v>0</v>
      </c>
      <c r="AQ77" s="55" t="s">
        <v>124</v>
      </c>
      <c r="AV77" s="53">
        <f>ROUND(AW77+AX77,2)</f>
        <v>0</v>
      </c>
      <c r="AW77" s="53">
        <f>ROUND(F77*AO77,2)</f>
        <v>0</v>
      </c>
      <c r="AX77" s="53">
        <f>ROUND(F77*AP77,2)</f>
        <v>0</v>
      </c>
      <c r="AY77" s="55" t="s">
        <v>211</v>
      </c>
      <c r="AZ77" s="55" t="s">
        <v>165</v>
      </c>
      <c r="BA77" s="34" t="s">
        <v>116</v>
      </c>
      <c r="BC77" s="53">
        <f>AW77+AX77</f>
        <v>0</v>
      </c>
      <c r="BD77" s="53">
        <f>G77/(100-BE77)*100</f>
        <v>0</v>
      </c>
      <c r="BE77" s="53">
        <v>0</v>
      </c>
      <c r="BF77" s="53">
        <f>77</f>
        <v>77</v>
      </c>
      <c r="BH77" s="53">
        <f>F77*AO77</f>
        <v>0</v>
      </c>
      <c r="BI77" s="53">
        <f>F77*AP77</f>
        <v>0</v>
      </c>
      <c r="BJ77" s="53">
        <f>F77*G77</f>
        <v>0</v>
      </c>
      <c r="BK77" s="53"/>
      <c r="BL77" s="53">
        <v>764</v>
      </c>
      <c r="BW77" s="53">
        <v>21</v>
      </c>
      <c r="BX77" s="3" t="s">
        <v>238</v>
      </c>
    </row>
    <row r="78" spans="1:76" x14ac:dyDescent="0.25">
      <c r="A78" s="56"/>
      <c r="C78" s="57" t="s">
        <v>227</v>
      </c>
      <c r="D78" s="57" t="s">
        <v>4</v>
      </c>
      <c r="F78" s="58">
        <v>8.5</v>
      </c>
      <c r="J78" s="48"/>
    </row>
    <row r="79" spans="1:76" x14ac:dyDescent="0.25">
      <c r="A79" s="1" t="s">
        <v>239</v>
      </c>
      <c r="B79" s="2" t="s">
        <v>240</v>
      </c>
      <c r="C79" s="70" t="s">
        <v>241</v>
      </c>
      <c r="D79" s="71"/>
      <c r="E79" s="2" t="s">
        <v>210</v>
      </c>
      <c r="F79" s="53">
        <v>33</v>
      </c>
      <c r="G79" s="54">
        <v>0</v>
      </c>
      <c r="H79" s="53">
        <f>ROUND(F79*G79,2)</f>
        <v>0</v>
      </c>
      <c r="I79" s="55" t="s">
        <v>123</v>
      </c>
      <c r="J79" s="48"/>
      <c r="Z79" s="53">
        <f>ROUND(IF(AQ79="5",BJ79,0),2)</f>
        <v>0</v>
      </c>
      <c r="AB79" s="53">
        <f>ROUND(IF(AQ79="1",BH79,0),2)</f>
        <v>0</v>
      </c>
      <c r="AC79" s="53">
        <f>ROUND(IF(AQ79="1",BI79,0),2)</f>
        <v>0</v>
      </c>
      <c r="AD79" s="53">
        <f>ROUND(IF(AQ79="7",BH79,0),2)</f>
        <v>0</v>
      </c>
      <c r="AE79" s="53">
        <f>ROUND(IF(AQ79="7",BI79,0),2)</f>
        <v>0</v>
      </c>
      <c r="AF79" s="53">
        <f>ROUND(IF(AQ79="2",BH79,0),2)</f>
        <v>0</v>
      </c>
      <c r="AG79" s="53">
        <f>ROUND(IF(AQ79="2",BI79,0),2)</f>
        <v>0</v>
      </c>
      <c r="AH79" s="53">
        <f>ROUND(IF(AQ79="0",BJ79,0),2)</f>
        <v>0</v>
      </c>
      <c r="AI79" s="34" t="s">
        <v>4</v>
      </c>
      <c r="AJ79" s="53">
        <f>IF(AN79=0,H79,0)</f>
        <v>0</v>
      </c>
      <c r="AK79" s="53">
        <f>IF(AN79=12,H79,0)</f>
        <v>0</v>
      </c>
      <c r="AL79" s="53">
        <f>IF(AN79=21,H79,0)</f>
        <v>0</v>
      </c>
      <c r="AN79" s="53">
        <v>21</v>
      </c>
      <c r="AO79" s="53">
        <f>G79*0.448547544</f>
        <v>0</v>
      </c>
      <c r="AP79" s="53">
        <f>G79*(1-0.448547544)</f>
        <v>0</v>
      </c>
      <c r="AQ79" s="55" t="s">
        <v>124</v>
      </c>
      <c r="AV79" s="53">
        <f>ROUND(AW79+AX79,2)</f>
        <v>0</v>
      </c>
      <c r="AW79" s="53">
        <f>ROUND(F79*AO79,2)</f>
        <v>0</v>
      </c>
      <c r="AX79" s="53">
        <f>ROUND(F79*AP79,2)</f>
        <v>0</v>
      </c>
      <c r="AY79" s="55" t="s">
        <v>211</v>
      </c>
      <c r="AZ79" s="55" t="s">
        <v>165</v>
      </c>
      <c r="BA79" s="34" t="s">
        <v>116</v>
      </c>
      <c r="BC79" s="53">
        <f>AW79+AX79</f>
        <v>0</v>
      </c>
      <c r="BD79" s="53">
        <f>G79/(100-BE79)*100</f>
        <v>0</v>
      </c>
      <c r="BE79" s="53">
        <v>0</v>
      </c>
      <c r="BF79" s="53">
        <f>79</f>
        <v>79</v>
      </c>
      <c r="BH79" s="53">
        <f>F79*AO79</f>
        <v>0</v>
      </c>
      <c r="BI79" s="53">
        <f>F79*AP79</f>
        <v>0</v>
      </c>
      <c r="BJ79" s="53">
        <f>F79*G79</f>
        <v>0</v>
      </c>
      <c r="BK79" s="53"/>
      <c r="BL79" s="53">
        <v>764</v>
      </c>
      <c r="BW79" s="53">
        <v>21</v>
      </c>
      <c r="BX79" s="3" t="s">
        <v>241</v>
      </c>
    </row>
    <row r="80" spans="1:76" x14ac:dyDescent="0.25">
      <c r="A80" s="56"/>
      <c r="C80" s="57" t="s">
        <v>242</v>
      </c>
      <c r="D80" s="57" t="s">
        <v>243</v>
      </c>
      <c r="F80" s="58">
        <v>33</v>
      </c>
      <c r="J80" s="48"/>
    </row>
    <row r="81" spans="1:76" x14ac:dyDescent="0.25">
      <c r="A81" s="1" t="s">
        <v>244</v>
      </c>
      <c r="B81" s="2" t="s">
        <v>245</v>
      </c>
      <c r="C81" s="70" t="s">
        <v>246</v>
      </c>
      <c r="D81" s="71"/>
      <c r="E81" s="2" t="s">
        <v>210</v>
      </c>
      <c r="F81" s="53">
        <v>8</v>
      </c>
      <c r="G81" s="54">
        <v>0</v>
      </c>
      <c r="H81" s="53">
        <f>ROUND(F81*G81,2)</f>
        <v>0</v>
      </c>
      <c r="I81" s="55" t="s">
        <v>123</v>
      </c>
      <c r="J81" s="48"/>
      <c r="Z81" s="53">
        <f>ROUND(IF(AQ81="5",BJ81,0),2)</f>
        <v>0</v>
      </c>
      <c r="AB81" s="53">
        <f>ROUND(IF(AQ81="1",BH81,0),2)</f>
        <v>0</v>
      </c>
      <c r="AC81" s="53">
        <f>ROUND(IF(AQ81="1",BI81,0),2)</f>
        <v>0</v>
      </c>
      <c r="AD81" s="53">
        <f>ROUND(IF(AQ81="7",BH81,0),2)</f>
        <v>0</v>
      </c>
      <c r="AE81" s="53">
        <f>ROUND(IF(AQ81="7",BI81,0),2)</f>
        <v>0</v>
      </c>
      <c r="AF81" s="53">
        <f>ROUND(IF(AQ81="2",BH81,0),2)</f>
        <v>0</v>
      </c>
      <c r="AG81" s="53">
        <f>ROUND(IF(AQ81="2",BI81,0),2)</f>
        <v>0</v>
      </c>
      <c r="AH81" s="53">
        <f>ROUND(IF(AQ81="0",BJ81,0),2)</f>
        <v>0</v>
      </c>
      <c r="AI81" s="34" t="s">
        <v>4</v>
      </c>
      <c r="AJ81" s="53">
        <f>IF(AN81=0,H81,0)</f>
        <v>0</v>
      </c>
      <c r="AK81" s="53">
        <f>IF(AN81=12,H81,0)</f>
        <v>0</v>
      </c>
      <c r="AL81" s="53">
        <f>IF(AN81=21,H81,0)</f>
        <v>0</v>
      </c>
      <c r="AN81" s="53">
        <v>21</v>
      </c>
      <c r="AO81" s="53">
        <f>G81*0.30297619</f>
        <v>0</v>
      </c>
      <c r="AP81" s="53">
        <f>G81*(1-0.30297619)</f>
        <v>0</v>
      </c>
      <c r="AQ81" s="55" t="s">
        <v>124</v>
      </c>
      <c r="AV81" s="53">
        <f>ROUND(AW81+AX81,2)</f>
        <v>0</v>
      </c>
      <c r="AW81" s="53">
        <f>ROUND(F81*AO81,2)</f>
        <v>0</v>
      </c>
      <c r="AX81" s="53">
        <f>ROUND(F81*AP81,2)</f>
        <v>0</v>
      </c>
      <c r="AY81" s="55" t="s">
        <v>211</v>
      </c>
      <c r="AZ81" s="55" t="s">
        <v>165</v>
      </c>
      <c r="BA81" s="34" t="s">
        <v>116</v>
      </c>
      <c r="BC81" s="53">
        <f>AW81+AX81</f>
        <v>0</v>
      </c>
      <c r="BD81" s="53">
        <f>G81/(100-BE81)*100</f>
        <v>0</v>
      </c>
      <c r="BE81" s="53">
        <v>0</v>
      </c>
      <c r="BF81" s="53">
        <f>81</f>
        <v>81</v>
      </c>
      <c r="BH81" s="53">
        <f>F81*AO81</f>
        <v>0</v>
      </c>
      <c r="BI81" s="53">
        <f>F81*AP81</f>
        <v>0</v>
      </c>
      <c r="BJ81" s="53">
        <f>F81*G81</f>
        <v>0</v>
      </c>
      <c r="BK81" s="53"/>
      <c r="BL81" s="53">
        <v>764</v>
      </c>
      <c r="BW81" s="53">
        <v>21</v>
      </c>
      <c r="BX81" s="3" t="s">
        <v>246</v>
      </c>
    </row>
    <row r="82" spans="1:76" x14ac:dyDescent="0.25">
      <c r="A82" s="56"/>
      <c r="C82" s="57" t="s">
        <v>152</v>
      </c>
      <c r="D82" s="57" t="s">
        <v>247</v>
      </c>
      <c r="F82" s="58">
        <v>8</v>
      </c>
      <c r="J82" s="48"/>
    </row>
    <row r="83" spans="1:76" x14ac:dyDescent="0.25">
      <c r="A83" s="1" t="s">
        <v>248</v>
      </c>
      <c r="B83" s="2" t="s">
        <v>249</v>
      </c>
      <c r="C83" s="70" t="s">
        <v>250</v>
      </c>
      <c r="D83" s="71"/>
      <c r="E83" s="2" t="s">
        <v>210</v>
      </c>
      <c r="F83" s="53">
        <v>6</v>
      </c>
      <c r="G83" s="54">
        <v>0</v>
      </c>
      <c r="H83" s="53">
        <f>ROUND(F83*G83,2)</f>
        <v>0</v>
      </c>
      <c r="I83" s="55" t="s">
        <v>123</v>
      </c>
      <c r="J83" s="48"/>
      <c r="Z83" s="53">
        <f>ROUND(IF(AQ83="5",BJ83,0),2)</f>
        <v>0</v>
      </c>
      <c r="AB83" s="53">
        <f>ROUND(IF(AQ83="1",BH83,0),2)</f>
        <v>0</v>
      </c>
      <c r="AC83" s="53">
        <f>ROUND(IF(AQ83="1",BI83,0),2)</f>
        <v>0</v>
      </c>
      <c r="AD83" s="53">
        <f>ROUND(IF(AQ83="7",BH83,0),2)</f>
        <v>0</v>
      </c>
      <c r="AE83" s="53">
        <f>ROUND(IF(AQ83="7",BI83,0),2)</f>
        <v>0</v>
      </c>
      <c r="AF83" s="53">
        <f>ROUND(IF(AQ83="2",BH83,0),2)</f>
        <v>0</v>
      </c>
      <c r="AG83" s="53">
        <f>ROUND(IF(AQ83="2",BI83,0),2)</f>
        <v>0</v>
      </c>
      <c r="AH83" s="53">
        <f>ROUND(IF(AQ83="0",BJ83,0),2)</f>
        <v>0</v>
      </c>
      <c r="AI83" s="34" t="s">
        <v>4</v>
      </c>
      <c r="AJ83" s="53">
        <f>IF(AN83=0,H83,0)</f>
        <v>0</v>
      </c>
      <c r="AK83" s="53">
        <f>IF(AN83=12,H83,0)</f>
        <v>0</v>
      </c>
      <c r="AL83" s="53">
        <f>IF(AN83=21,H83,0)</f>
        <v>0</v>
      </c>
      <c r="AN83" s="53">
        <v>21</v>
      </c>
      <c r="AO83" s="53">
        <f>G83*0.42969112</f>
        <v>0</v>
      </c>
      <c r="AP83" s="53">
        <f>G83*(1-0.42969112)</f>
        <v>0</v>
      </c>
      <c r="AQ83" s="55" t="s">
        <v>124</v>
      </c>
      <c r="AV83" s="53">
        <f>ROUND(AW83+AX83,2)</f>
        <v>0</v>
      </c>
      <c r="AW83" s="53">
        <f>ROUND(F83*AO83,2)</f>
        <v>0</v>
      </c>
      <c r="AX83" s="53">
        <f>ROUND(F83*AP83,2)</f>
        <v>0</v>
      </c>
      <c r="AY83" s="55" t="s">
        <v>211</v>
      </c>
      <c r="AZ83" s="55" t="s">
        <v>165</v>
      </c>
      <c r="BA83" s="34" t="s">
        <v>116</v>
      </c>
      <c r="BC83" s="53">
        <f>AW83+AX83</f>
        <v>0</v>
      </c>
      <c r="BD83" s="53">
        <f>G83/(100-BE83)*100</f>
        <v>0</v>
      </c>
      <c r="BE83" s="53">
        <v>0</v>
      </c>
      <c r="BF83" s="53">
        <f>83</f>
        <v>83</v>
      </c>
      <c r="BH83" s="53">
        <f>F83*AO83</f>
        <v>0</v>
      </c>
      <c r="BI83" s="53">
        <f>F83*AP83</f>
        <v>0</v>
      </c>
      <c r="BJ83" s="53">
        <f>F83*G83</f>
        <v>0</v>
      </c>
      <c r="BK83" s="53"/>
      <c r="BL83" s="53">
        <v>764</v>
      </c>
      <c r="BW83" s="53">
        <v>21</v>
      </c>
      <c r="BX83" s="3" t="s">
        <v>250</v>
      </c>
    </row>
    <row r="84" spans="1:76" x14ac:dyDescent="0.25">
      <c r="A84" s="56"/>
      <c r="C84" s="57" t="s">
        <v>146</v>
      </c>
      <c r="D84" s="57" t="s">
        <v>251</v>
      </c>
      <c r="F84" s="58">
        <v>6</v>
      </c>
      <c r="J84" s="48"/>
    </row>
    <row r="85" spans="1:76" x14ac:dyDescent="0.25">
      <c r="A85" s="1" t="s">
        <v>252</v>
      </c>
      <c r="B85" s="2" t="s">
        <v>253</v>
      </c>
      <c r="C85" s="70" t="s">
        <v>254</v>
      </c>
      <c r="D85" s="71"/>
      <c r="E85" s="2" t="s">
        <v>218</v>
      </c>
      <c r="F85" s="53">
        <v>2</v>
      </c>
      <c r="G85" s="54">
        <v>0</v>
      </c>
      <c r="H85" s="53">
        <f>ROUND(F85*G85,2)</f>
        <v>0</v>
      </c>
      <c r="I85" s="55" t="s">
        <v>123</v>
      </c>
      <c r="J85" s="48"/>
      <c r="Z85" s="53">
        <f>ROUND(IF(AQ85="5",BJ85,0),2)</f>
        <v>0</v>
      </c>
      <c r="AB85" s="53">
        <f>ROUND(IF(AQ85="1",BH85,0),2)</f>
        <v>0</v>
      </c>
      <c r="AC85" s="53">
        <f>ROUND(IF(AQ85="1",BI85,0),2)</f>
        <v>0</v>
      </c>
      <c r="AD85" s="53">
        <f>ROUND(IF(AQ85="7",BH85,0),2)</f>
        <v>0</v>
      </c>
      <c r="AE85" s="53">
        <f>ROUND(IF(AQ85="7",BI85,0),2)</f>
        <v>0</v>
      </c>
      <c r="AF85" s="53">
        <f>ROUND(IF(AQ85="2",BH85,0),2)</f>
        <v>0</v>
      </c>
      <c r="AG85" s="53">
        <f>ROUND(IF(AQ85="2",BI85,0),2)</f>
        <v>0</v>
      </c>
      <c r="AH85" s="53">
        <f>ROUND(IF(AQ85="0",BJ85,0),2)</f>
        <v>0</v>
      </c>
      <c r="AI85" s="34" t="s">
        <v>4</v>
      </c>
      <c r="AJ85" s="53">
        <f>IF(AN85=0,H85,0)</f>
        <v>0</v>
      </c>
      <c r="AK85" s="53">
        <f>IF(AN85=12,H85,0)</f>
        <v>0</v>
      </c>
      <c r="AL85" s="53">
        <f>IF(AN85=21,H85,0)</f>
        <v>0</v>
      </c>
      <c r="AN85" s="53">
        <v>21</v>
      </c>
      <c r="AO85" s="53">
        <f>G85*0.178318407</f>
        <v>0</v>
      </c>
      <c r="AP85" s="53">
        <f>G85*(1-0.178318407)</f>
        <v>0</v>
      </c>
      <c r="AQ85" s="55" t="s">
        <v>124</v>
      </c>
      <c r="AV85" s="53">
        <f>ROUND(AW85+AX85,2)</f>
        <v>0</v>
      </c>
      <c r="AW85" s="53">
        <f>ROUND(F85*AO85,2)</f>
        <v>0</v>
      </c>
      <c r="AX85" s="53">
        <f>ROUND(F85*AP85,2)</f>
        <v>0</v>
      </c>
      <c r="AY85" s="55" t="s">
        <v>211</v>
      </c>
      <c r="AZ85" s="55" t="s">
        <v>165</v>
      </c>
      <c r="BA85" s="34" t="s">
        <v>116</v>
      </c>
      <c r="BC85" s="53">
        <f>AW85+AX85</f>
        <v>0</v>
      </c>
      <c r="BD85" s="53">
        <f>G85/(100-BE85)*100</f>
        <v>0</v>
      </c>
      <c r="BE85" s="53">
        <v>0</v>
      </c>
      <c r="BF85" s="53">
        <f>85</f>
        <v>85</v>
      </c>
      <c r="BH85" s="53">
        <f>F85*AO85</f>
        <v>0</v>
      </c>
      <c r="BI85" s="53">
        <f>F85*AP85</f>
        <v>0</v>
      </c>
      <c r="BJ85" s="53">
        <f>F85*G85</f>
        <v>0</v>
      </c>
      <c r="BK85" s="53"/>
      <c r="BL85" s="53">
        <v>764</v>
      </c>
      <c r="BW85" s="53">
        <v>21</v>
      </c>
      <c r="BX85" s="3" t="s">
        <v>254</v>
      </c>
    </row>
    <row r="86" spans="1:76" x14ac:dyDescent="0.25">
      <c r="A86" s="56"/>
      <c r="C86" s="57" t="s">
        <v>119</v>
      </c>
      <c r="D86" s="57" t="s">
        <v>4</v>
      </c>
      <c r="F86" s="58">
        <v>2</v>
      </c>
      <c r="J86" s="48"/>
    </row>
    <row r="87" spans="1:76" x14ac:dyDescent="0.25">
      <c r="A87" s="1" t="s">
        <v>255</v>
      </c>
      <c r="B87" s="2" t="s">
        <v>256</v>
      </c>
      <c r="C87" s="70" t="s">
        <v>257</v>
      </c>
      <c r="D87" s="71"/>
      <c r="E87" s="2" t="s">
        <v>210</v>
      </c>
      <c r="F87" s="53">
        <v>14.5</v>
      </c>
      <c r="G87" s="54">
        <v>0</v>
      </c>
      <c r="H87" s="53">
        <f>ROUND(F87*G87,2)</f>
        <v>0</v>
      </c>
      <c r="I87" s="55" t="s">
        <v>123</v>
      </c>
      <c r="J87" s="48"/>
      <c r="Z87" s="53">
        <f>ROUND(IF(AQ87="5",BJ87,0),2)</f>
        <v>0</v>
      </c>
      <c r="AB87" s="53">
        <f>ROUND(IF(AQ87="1",BH87,0),2)</f>
        <v>0</v>
      </c>
      <c r="AC87" s="53">
        <f>ROUND(IF(AQ87="1",BI87,0),2)</f>
        <v>0</v>
      </c>
      <c r="AD87" s="53">
        <f>ROUND(IF(AQ87="7",BH87,0),2)</f>
        <v>0</v>
      </c>
      <c r="AE87" s="53">
        <f>ROUND(IF(AQ87="7",BI87,0),2)</f>
        <v>0</v>
      </c>
      <c r="AF87" s="53">
        <f>ROUND(IF(AQ87="2",BH87,0),2)</f>
        <v>0</v>
      </c>
      <c r="AG87" s="53">
        <f>ROUND(IF(AQ87="2",BI87,0),2)</f>
        <v>0</v>
      </c>
      <c r="AH87" s="53">
        <f>ROUND(IF(AQ87="0",BJ87,0),2)</f>
        <v>0</v>
      </c>
      <c r="AI87" s="34" t="s">
        <v>4</v>
      </c>
      <c r="AJ87" s="53">
        <f>IF(AN87=0,H87,0)</f>
        <v>0</v>
      </c>
      <c r="AK87" s="53">
        <f>IF(AN87=12,H87,0)</f>
        <v>0</v>
      </c>
      <c r="AL87" s="53">
        <f>IF(AN87=21,H87,0)</f>
        <v>0</v>
      </c>
      <c r="AN87" s="53">
        <v>21</v>
      </c>
      <c r="AO87" s="53">
        <f>G87*0.253210754</f>
        <v>0</v>
      </c>
      <c r="AP87" s="53">
        <f>G87*(1-0.253210754)</f>
        <v>0</v>
      </c>
      <c r="AQ87" s="55" t="s">
        <v>124</v>
      </c>
      <c r="AV87" s="53">
        <f>ROUND(AW87+AX87,2)</f>
        <v>0</v>
      </c>
      <c r="AW87" s="53">
        <f>ROUND(F87*AO87,2)</f>
        <v>0</v>
      </c>
      <c r="AX87" s="53">
        <f>ROUND(F87*AP87,2)</f>
        <v>0</v>
      </c>
      <c r="AY87" s="55" t="s">
        <v>211</v>
      </c>
      <c r="AZ87" s="55" t="s">
        <v>165</v>
      </c>
      <c r="BA87" s="34" t="s">
        <v>116</v>
      </c>
      <c r="BC87" s="53">
        <f>AW87+AX87</f>
        <v>0</v>
      </c>
      <c r="BD87" s="53">
        <f>G87/(100-BE87)*100</f>
        <v>0</v>
      </c>
      <c r="BE87" s="53">
        <v>0</v>
      </c>
      <c r="BF87" s="53">
        <f>87</f>
        <v>87</v>
      </c>
      <c r="BH87" s="53">
        <f>F87*AO87</f>
        <v>0</v>
      </c>
      <c r="BI87" s="53">
        <f>F87*AP87</f>
        <v>0</v>
      </c>
      <c r="BJ87" s="53">
        <f>F87*G87</f>
        <v>0</v>
      </c>
      <c r="BK87" s="53"/>
      <c r="BL87" s="53">
        <v>764</v>
      </c>
      <c r="BW87" s="53">
        <v>21</v>
      </c>
      <c r="BX87" s="3" t="s">
        <v>257</v>
      </c>
    </row>
    <row r="88" spans="1:76" ht="13.5" customHeight="1" x14ac:dyDescent="0.25">
      <c r="A88" s="56"/>
      <c r="B88" s="59" t="s">
        <v>127</v>
      </c>
      <c r="C88" s="143" t="s">
        <v>258</v>
      </c>
      <c r="D88" s="144"/>
      <c r="E88" s="144"/>
      <c r="F88" s="144"/>
      <c r="G88" s="145"/>
      <c r="H88" s="144"/>
      <c r="I88" s="144"/>
      <c r="J88" s="146"/>
    </row>
    <row r="89" spans="1:76" x14ac:dyDescent="0.25">
      <c r="A89" s="56"/>
      <c r="C89" s="57" t="s">
        <v>227</v>
      </c>
      <c r="D89" s="57" t="s">
        <v>259</v>
      </c>
      <c r="F89" s="58">
        <v>8.5</v>
      </c>
      <c r="J89" s="48"/>
    </row>
    <row r="90" spans="1:76" x14ac:dyDescent="0.25">
      <c r="A90" s="56"/>
      <c r="C90" s="57" t="s">
        <v>146</v>
      </c>
      <c r="D90" s="57" t="s">
        <v>260</v>
      </c>
      <c r="F90" s="58">
        <v>6</v>
      </c>
      <c r="J90" s="48"/>
    </row>
    <row r="91" spans="1:76" x14ac:dyDescent="0.25">
      <c r="A91" s="1" t="s">
        <v>232</v>
      </c>
      <c r="B91" s="2" t="s">
        <v>261</v>
      </c>
      <c r="C91" s="70" t="s">
        <v>262</v>
      </c>
      <c r="D91" s="71"/>
      <c r="E91" s="2" t="s">
        <v>218</v>
      </c>
      <c r="F91" s="53">
        <v>8</v>
      </c>
      <c r="G91" s="54">
        <v>0</v>
      </c>
      <c r="H91" s="53">
        <f>ROUND(F91*G91,2)</f>
        <v>0</v>
      </c>
      <c r="I91" s="55" t="s">
        <v>123</v>
      </c>
      <c r="J91" s="48"/>
      <c r="Z91" s="53">
        <f>ROUND(IF(AQ91="5",BJ91,0),2)</f>
        <v>0</v>
      </c>
      <c r="AB91" s="53">
        <f>ROUND(IF(AQ91="1",BH91,0),2)</f>
        <v>0</v>
      </c>
      <c r="AC91" s="53">
        <f>ROUND(IF(AQ91="1",BI91,0),2)</f>
        <v>0</v>
      </c>
      <c r="AD91" s="53">
        <f>ROUND(IF(AQ91="7",BH91,0),2)</f>
        <v>0</v>
      </c>
      <c r="AE91" s="53">
        <f>ROUND(IF(AQ91="7",BI91,0),2)</f>
        <v>0</v>
      </c>
      <c r="AF91" s="53">
        <f>ROUND(IF(AQ91="2",BH91,0),2)</f>
        <v>0</v>
      </c>
      <c r="AG91" s="53">
        <f>ROUND(IF(AQ91="2",BI91,0),2)</f>
        <v>0</v>
      </c>
      <c r="AH91" s="53">
        <f>ROUND(IF(AQ91="0",BJ91,0),2)</f>
        <v>0</v>
      </c>
      <c r="AI91" s="34" t="s">
        <v>4</v>
      </c>
      <c r="AJ91" s="53">
        <f>IF(AN91=0,H91,0)</f>
        <v>0</v>
      </c>
      <c r="AK91" s="53">
        <f>IF(AN91=12,H91,0)</f>
        <v>0</v>
      </c>
      <c r="AL91" s="53">
        <f>IF(AN91=21,H91,0)</f>
        <v>0</v>
      </c>
      <c r="AN91" s="53">
        <v>21</v>
      </c>
      <c r="AO91" s="53">
        <f>G91*0.089093046</f>
        <v>0</v>
      </c>
      <c r="AP91" s="53">
        <f>G91*(1-0.089093046)</f>
        <v>0</v>
      </c>
      <c r="AQ91" s="55" t="s">
        <v>124</v>
      </c>
      <c r="AV91" s="53">
        <f>ROUND(AW91+AX91,2)</f>
        <v>0</v>
      </c>
      <c r="AW91" s="53">
        <f>ROUND(F91*AO91,2)</f>
        <v>0</v>
      </c>
      <c r="AX91" s="53">
        <f>ROUND(F91*AP91,2)</f>
        <v>0</v>
      </c>
      <c r="AY91" s="55" t="s">
        <v>211</v>
      </c>
      <c r="AZ91" s="55" t="s">
        <v>165</v>
      </c>
      <c r="BA91" s="34" t="s">
        <v>116</v>
      </c>
      <c r="BC91" s="53">
        <f>AW91+AX91</f>
        <v>0</v>
      </c>
      <c r="BD91" s="53">
        <f>G91/(100-BE91)*100</f>
        <v>0</v>
      </c>
      <c r="BE91" s="53">
        <v>0</v>
      </c>
      <c r="BF91" s="53">
        <f>91</f>
        <v>91</v>
      </c>
      <c r="BH91" s="53">
        <f>F91*AO91</f>
        <v>0</v>
      </c>
      <c r="BI91" s="53">
        <f>F91*AP91</f>
        <v>0</v>
      </c>
      <c r="BJ91" s="53">
        <f>F91*G91</f>
        <v>0</v>
      </c>
      <c r="BK91" s="53"/>
      <c r="BL91" s="53">
        <v>764</v>
      </c>
      <c r="BW91" s="53">
        <v>21</v>
      </c>
      <c r="BX91" s="3" t="s">
        <v>262</v>
      </c>
    </row>
    <row r="92" spans="1:76" x14ac:dyDescent="0.25">
      <c r="A92" s="56"/>
      <c r="C92" s="57" t="s">
        <v>152</v>
      </c>
      <c r="D92" s="57" t="s">
        <v>263</v>
      </c>
      <c r="F92" s="58">
        <v>8</v>
      </c>
      <c r="J92" s="48"/>
    </row>
    <row r="93" spans="1:76" x14ac:dyDescent="0.25">
      <c r="A93" s="1" t="s">
        <v>242</v>
      </c>
      <c r="B93" s="2" t="s">
        <v>264</v>
      </c>
      <c r="C93" s="70" t="s">
        <v>265</v>
      </c>
      <c r="D93" s="71"/>
      <c r="E93" s="2" t="s">
        <v>158</v>
      </c>
      <c r="F93" s="53">
        <v>0.18876999999999999</v>
      </c>
      <c r="G93" s="54">
        <v>0</v>
      </c>
      <c r="H93" s="53">
        <f>ROUND(F93*G93,2)</f>
        <v>0</v>
      </c>
      <c r="I93" s="55" t="s">
        <v>123</v>
      </c>
      <c r="J93" s="48"/>
      <c r="Z93" s="53">
        <f>ROUND(IF(AQ93="5",BJ93,0),2)</f>
        <v>0</v>
      </c>
      <c r="AB93" s="53">
        <f>ROUND(IF(AQ93="1",BH93,0),2)</f>
        <v>0</v>
      </c>
      <c r="AC93" s="53">
        <f>ROUND(IF(AQ93="1",BI93,0),2)</f>
        <v>0</v>
      </c>
      <c r="AD93" s="53">
        <f>ROUND(IF(AQ93="7",BH93,0),2)</f>
        <v>0</v>
      </c>
      <c r="AE93" s="53">
        <f>ROUND(IF(AQ93="7",BI93,0),2)</f>
        <v>0</v>
      </c>
      <c r="AF93" s="53">
        <f>ROUND(IF(AQ93="2",BH93,0),2)</f>
        <v>0</v>
      </c>
      <c r="AG93" s="53">
        <f>ROUND(IF(AQ93="2",BI93,0),2)</f>
        <v>0</v>
      </c>
      <c r="AH93" s="53">
        <f>ROUND(IF(AQ93="0",BJ93,0),2)</f>
        <v>0</v>
      </c>
      <c r="AI93" s="34" t="s">
        <v>4</v>
      </c>
      <c r="AJ93" s="53">
        <f>IF(AN93=0,H93,0)</f>
        <v>0</v>
      </c>
      <c r="AK93" s="53">
        <f>IF(AN93=12,H93,0)</f>
        <v>0</v>
      </c>
      <c r="AL93" s="53">
        <f>IF(AN93=21,H93,0)</f>
        <v>0</v>
      </c>
      <c r="AN93" s="53">
        <v>21</v>
      </c>
      <c r="AO93" s="53">
        <f>G93*0</f>
        <v>0</v>
      </c>
      <c r="AP93" s="53">
        <f>G93*(1-0)</f>
        <v>0</v>
      </c>
      <c r="AQ93" s="55" t="s">
        <v>142</v>
      </c>
      <c r="AV93" s="53">
        <f>ROUND(AW93+AX93,2)</f>
        <v>0</v>
      </c>
      <c r="AW93" s="53">
        <f>ROUND(F93*AO93,2)</f>
        <v>0</v>
      </c>
      <c r="AX93" s="53">
        <f>ROUND(F93*AP93,2)</f>
        <v>0</v>
      </c>
      <c r="AY93" s="55" t="s">
        <v>211</v>
      </c>
      <c r="AZ93" s="55" t="s">
        <v>165</v>
      </c>
      <c r="BA93" s="34" t="s">
        <v>116</v>
      </c>
      <c r="BC93" s="53">
        <f>AW93+AX93</f>
        <v>0</v>
      </c>
      <c r="BD93" s="53">
        <f>G93/(100-BE93)*100</f>
        <v>0</v>
      </c>
      <c r="BE93" s="53">
        <v>0</v>
      </c>
      <c r="BF93" s="53">
        <f>93</f>
        <v>93</v>
      </c>
      <c r="BH93" s="53">
        <f>F93*AO93</f>
        <v>0</v>
      </c>
      <c r="BI93" s="53">
        <f>F93*AP93</f>
        <v>0</v>
      </c>
      <c r="BJ93" s="53">
        <f>F93*G93</f>
        <v>0</v>
      </c>
      <c r="BK93" s="53"/>
      <c r="BL93" s="53">
        <v>764</v>
      </c>
      <c r="BW93" s="53">
        <v>21</v>
      </c>
      <c r="BX93" s="3" t="s">
        <v>265</v>
      </c>
    </row>
    <row r="94" spans="1:76" x14ac:dyDescent="0.25">
      <c r="A94" s="49" t="s">
        <v>4</v>
      </c>
      <c r="B94" s="50" t="s">
        <v>266</v>
      </c>
      <c r="C94" s="141" t="s">
        <v>267</v>
      </c>
      <c r="D94" s="142"/>
      <c r="E94" s="51" t="s">
        <v>73</v>
      </c>
      <c r="F94" s="51" t="s">
        <v>73</v>
      </c>
      <c r="G94" s="52" t="s">
        <v>73</v>
      </c>
      <c r="H94" s="26">
        <f>SUM(H95:H111)</f>
        <v>0</v>
      </c>
      <c r="I94" s="34" t="s">
        <v>4</v>
      </c>
      <c r="J94" s="48"/>
      <c r="AI94" s="34" t="s">
        <v>4</v>
      </c>
      <c r="AS94" s="26">
        <f>SUM(AJ95:AJ111)</f>
        <v>0</v>
      </c>
      <c r="AT94" s="26">
        <f>SUM(AK95:AK111)</f>
        <v>0</v>
      </c>
      <c r="AU94" s="26">
        <f>SUM(AL95:AL111)</f>
        <v>0</v>
      </c>
    </row>
    <row r="95" spans="1:76" x14ac:dyDescent="0.25">
      <c r="A95" s="1" t="s">
        <v>268</v>
      </c>
      <c r="B95" s="2" t="s">
        <v>269</v>
      </c>
      <c r="C95" s="70" t="s">
        <v>270</v>
      </c>
      <c r="D95" s="71"/>
      <c r="E95" s="2" t="s">
        <v>122</v>
      </c>
      <c r="F95" s="53">
        <v>300</v>
      </c>
      <c r="G95" s="54">
        <v>0</v>
      </c>
      <c r="H95" s="53">
        <f>ROUND(F95*G95,2)</f>
        <v>0</v>
      </c>
      <c r="I95" s="55" t="s">
        <v>123</v>
      </c>
      <c r="J95" s="48"/>
      <c r="Z95" s="53">
        <f>ROUND(IF(AQ95="5",BJ95,0),2)</f>
        <v>0</v>
      </c>
      <c r="AB95" s="53">
        <f>ROUND(IF(AQ95="1",BH95,0),2)</f>
        <v>0</v>
      </c>
      <c r="AC95" s="53">
        <f>ROUND(IF(AQ95="1",BI95,0),2)</f>
        <v>0</v>
      </c>
      <c r="AD95" s="53">
        <f>ROUND(IF(AQ95="7",BH95,0),2)</f>
        <v>0</v>
      </c>
      <c r="AE95" s="53">
        <f>ROUND(IF(AQ95="7",BI95,0),2)</f>
        <v>0</v>
      </c>
      <c r="AF95" s="53">
        <f>ROUND(IF(AQ95="2",BH95,0),2)</f>
        <v>0</v>
      </c>
      <c r="AG95" s="53">
        <f>ROUND(IF(AQ95="2",BI95,0),2)</f>
        <v>0</v>
      </c>
      <c r="AH95" s="53">
        <f>ROUND(IF(AQ95="0",BJ95,0),2)</f>
        <v>0</v>
      </c>
      <c r="AI95" s="34" t="s">
        <v>4</v>
      </c>
      <c r="AJ95" s="53">
        <f>IF(AN95=0,H95,0)</f>
        <v>0</v>
      </c>
      <c r="AK95" s="53">
        <f>IF(AN95=12,H95,0)</f>
        <v>0</v>
      </c>
      <c r="AL95" s="53">
        <f>IF(AN95=21,H95,0)</f>
        <v>0</v>
      </c>
      <c r="AN95" s="53">
        <v>21</v>
      </c>
      <c r="AO95" s="53">
        <f>G95*0.000124533</f>
        <v>0</v>
      </c>
      <c r="AP95" s="53">
        <f>G95*(1-0.000124533)</f>
        <v>0</v>
      </c>
      <c r="AQ95" s="55" t="s">
        <v>109</v>
      </c>
      <c r="AV95" s="53">
        <f>ROUND(AW95+AX95,2)</f>
        <v>0</v>
      </c>
      <c r="AW95" s="53">
        <f>ROUND(F95*AO95,2)</f>
        <v>0</v>
      </c>
      <c r="AX95" s="53">
        <f>ROUND(F95*AP95,2)</f>
        <v>0</v>
      </c>
      <c r="AY95" s="55" t="s">
        <v>271</v>
      </c>
      <c r="AZ95" s="55" t="s">
        <v>272</v>
      </c>
      <c r="BA95" s="34" t="s">
        <v>116</v>
      </c>
      <c r="BC95" s="53">
        <f>AW95+AX95</f>
        <v>0</v>
      </c>
      <c r="BD95" s="53">
        <f>G95/(100-BE95)*100</f>
        <v>0</v>
      </c>
      <c r="BE95" s="53">
        <v>0</v>
      </c>
      <c r="BF95" s="53">
        <f>95</f>
        <v>95</v>
      </c>
      <c r="BH95" s="53">
        <f>F95*AO95</f>
        <v>0</v>
      </c>
      <c r="BI95" s="53">
        <f>F95*AP95</f>
        <v>0</v>
      </c>
      <c r="BJ95" s="53">
        <f>F95*G95</f>
        <v>0</v>
      </c>
      <c r="BK95" s="53"/>
      <c r="BL95" s="53">
        <v>94</v>
      </c>
      <c r="BW95" s="53">
        <v>21</v>
      </c>
      <c r="BX95" s="3" t="s">
        <v>270</v>
      </c>
    </row>
    <row r="96" spans="1:76" x14ac:dyDescent="0.25">
      <c r="A96" s="56"/>
      <c r="C96" s="57" t="s">
        <v>273</v>
      </c>
      <c r="D96" s="57" t="s">
        <v>4</v>
      </c>
      <c r="F96" s="58">
        <v>300</v>
      </c>
      <c r="J96" s="48"/>
    </row>
    <row r="97" spans="1:76" x14ac:dyDescent="0.25">
      <c r="A97" s="1" t="s">
        <v>274</v>
      </c>
      <c r="B97" s="2" t="s">
        <v>275</v>
      </c>
      <c r="C97" s="70" t="s">
        <v>276</v>
      </c>
      <c r="D97" s="71"/>
      <c r="E97" s="2" t="s">
        <v>122</v>
      </c>
      <c r="F97" s="53">
        <v>300</v>
      </c>
      <c r="G97" s="54">
        <v>0</v>
      </c>
      <c r="H97" s="53">
        <f>ROUND(F97*G97,2)</f>
        <v>0</v>
      </c>
      <c r="I97" s="55" t="s">
        <v>123</v>
      </c>
      <c r="J97" s="48"/>
      <c r="Z97" s="53">
        <f>ROUND(IF(AQ97="5",BJ97,0),2)</f>
        <v>0</v>
      </c>
      <c r="AB97" s="53">
        <f>ROUND(IF(AQ97="1",BH97,0),2)</f>
        <v>0</v>
      </c>
      <c r="AC97" s="53">
        <f>ROUND(IF(AQ97="1",BI97,0),2)</f>
        <v>0</v>
      </c>
      <c r="AD97" s="53">
        <f>ROUND(IF(AQ97="7",BH97,0),2)</f>
        <v>0</v>
      </c>
      <c r="AE97" s="53">
        <f>ROUND(IF(AQ97="7",BI97,0),2)</f>
        <v>0</v>
      </c>
      <c r="AF97" s="53">
        <f>ROUND(IF(AQ97="2",BH97,0),2)</f>
        <v>0</v>
      </c>
      <c r="AG97" s="53">
        <f>ROUND(IF(AQ97="2",BI97,0),2)</f>
        <v>0</v>
      </c>
      <c r="AH97" s="53">
        <f>ROUND(IF(AQ97="0",BJ97,0),2)</f>
        <v>0</v>
      </c>
      <c r="AI97" s="34" t="s">
        <v>4</v>
      </c>
      <c r="AJ97" s="53">
        <f>IF(AN97=0,H97,0)</f>
        <v>0</v>
      </c>
      <c r="AK97" s="53">
        <f>IF(AN97=12,H97,0)</f>
        <v>0</v>
      </c>
      <c r="AL97" s="53">
        <f>IF(AN97=21,H97,0)</f>
        <v>0</v>
      </c>
      <c r="AN97" s="53">
        <v>21</v>
      </c>
      <c r="AO97" s="53">
        <f>G97*0.918250951</f>
        <v>0</v>
      </c>
      <c r="AP97" s="53">
        <f>G97*(1-0.918250951)</f>
        <v>0</v>
      </c>
      <c r="AQ97" s="55" t="s">
        <v>109</v>
      </c>
      <c r="AV97" s="53">
        <f>ROUND(AW97+AX97,2)</f>
        <v>0</v>
      </c>
      <c r="AW97" s="53">
        <f>ROUND(F97*AO97,2)</f>
        <v>0</v>
      </c>
      <c r="AX97" s="53">
        <f>ROUND(F97*AP97,2)</f>
        <v>0</v>
      </c>
      <c r="AY97" s="55" t="s">
        <v>271</v>
      </c>
      <c r="AZ97" s="55" t="s">
        <v>272</v>
      </c>
      <c r="BA97" s="34" t="s">
        <v>116</v>
      </c>
      <c r="BC97" s="53">
        <f>AW97+AX97</f>
        <v>0</v>
      </c>
      <c r="BD97" s="53">
        <f>G97/(100-BE97)*100</f>
        <v>0</v>
      </c>
      <c r="BE97" s="53">
        <v>0</v>
      </c>
      <c r="BF97" s="53">
        <f>97</f>
        <v>97</v>
      </c>
      <c r="BH97" s="53">
        <f>F97*AO97</f>
        <v>0</v>
      </c>
      <c r="BI97" s="53">
        <f>F97*AP97</f>
        <v>0</v>
      </c>
      <c r="BJ97" s="53">
        <f>F97*G97</f>
        <v>0</v>
      </c>
      <c r="BK97" s="53"/>
      <c r="BL97" s="53">
        <v>94</v>
      </c>
      <c r="BW97" s="53">
        <v>21</v>
      </c>
      <c r="BX97" s="3" t="s">
        <v>276</v>
      </c>
    </row>
    <row r="98" spans="1:76" x14ac:dyDescent="0.25">
      <c r="A98" s="56"/>
      <c r="C98" s="57" t="s">
        <v>277</v>
      </c>
      <c r="D98" s="57" t="s">
        <v>4</v>
      </c>
      <c r="F98" s="58">
        <v>300</v>
      </c>
      <c r="J98" s="48"/>
    </row>
    <row r="99" spans="1:76" x14ac:dyDescent="0.25">
      <c r="A99" s="1" t="s">
        <v>278</v>
      </c>
      <c r="B99" s="2" t="s">
        <v>279</v>
      </c>
      <c r="C99" s="70" t="s">
        <v>280</v>
      </c>
      <c r="D99" s="71"/>
      <c r="E99" s="2" t="s">
        <v>122</v>
      </c>
      <c r="F99" s="53">
        <v>300</v>
      </c>
      <c r="G99" s="54">
        <v>0</v>
      </c>
      <c r="H99" s="53">
        <f>ROUND(F99*G99,2)</f>
        <v>0</v>
      </c>
      <c r="I99" s="55" t="s">
        <v>123</v>
      </c>
      <c r="J99" s="48"/>
      <c r="Z99" s="53">
        <f>ROUND(IF(AQ99="5",BJ99,0),2)</f>
        <v>0</v>
      </c>
      <c r="AB99" s="53">
        <f>ROUND(IF(AQ99="1",BH99,0),2)</f>
        <v>0</v>
      </c>
      <c r="AC99" s="53">
        <f>ROUND(IF(AQ99="1",BI99,0),2)</f>
        <v>0</v>
      </c>
      <c r="AD99" s="53">
        <f>ROUND(IF(AQ99="7",BH99,0),2)</f>
        <v>0</v>
      </c>
      <c r="AE99" s="53">
        <f>ROUND(IF(AQ99="7",BI99,0),2)</f>
        <v>0</v>
      </c>
      <c r="AF99" s="53">
        <f>ROUND(IF(AQ99="2",BH99,0),2)</f>
        <v>0</v>
      </c>
      <c r="AG99" s="53">
        <f>ROUND(IF(AQ99="2",BI99,0),2)</f>
        <v>0</v>
      </c>
      <c r="AH99" s="53">
        <f>ROUND(IF(AQ99="0",BJ99,0),2)</f>
        <v>0</v>
      </c>
      <c r="AI99" s="34" t="s">
        <v>4</v>
      </c>
      <c r="AJ99" s="53">
        <f>IF(AN99=0,H99,0)</f>
        <v>0</v>
      </c>
      <c r="AK99" s="53">
        <f>IF(AN99=12,H99,0)</f>
        <v>0</v>
      </c>
      <c r="AL99" s="53">
        <f>IF(AN99=21,H99,0)</f>
        <v>0</v>
      </c>
      <c r="AN99" s="53">
        <v>21</v>
      </c>
      <c r="AO99" s="53">
        <f>G99*0</f>
        <v>0</v>
      </c>
      <c r="AP99" s="53">
        <f>G99*(1-0)</f>
        <v>0</v>
      </c>
      <c r="AQ99" s="55" t="s">
        <v>109</v>
      </c>
      <c r="AV99" s="53">
        <f>ROUND(AW99+AX99,2)</f>
        <v>0</v>
      </c>
      <c r="AW99" s="53">
        <f>ROUND(F99*AO99,2)</f>
        <v>0</v>
      </c>
      <c r="AX99" s="53">
        <f>ROUND(F99*AP99,2)</f>
        <v>0</v>
      </c>
      <c r="AY99" s="55" t="s">
        <v>271</v>
      </c>
      <c r="AZ99" s="55" t="s">
        <v>272</v>
      </c>
      <c r="BA99" s="34" t="s">
        <v>116</v>
      </c>
      <c r="BC99" s="53">
        <f>AW99+AX99</f>
        <v>0</v>
      </c>
      <c r="BD99" s="53">
        <f>G99/(100-BE99)*100</f>
        <v>0</v>
      </c>
      <c r="BE99" s="53">
        <v>0</v>
      </c>
      <c r="BF99" s="53">
        <f>99</f>
        <v>99</v>
      </c>
      <c r="BH99" s="53">
        <f>F99*AO99</f>
        <v>0</v>
      </c>
      <c r="BI99" s="53">
        <f>F99*AP99</f>
        <v>0</v>
      </c>
      <c r="BJ99" s="53">
        <f>F99*G99</f>
        <v>0</v>
      </c>
      <c r="BK99" s="53"/>
      <c r="BL99" s="53">
        <v>94</v>
      </c>
      <c r="BW99" s="53">
        <v>21</v>
      </c>
      <c r="BX99" s="3" t="s">
        <v>280</v>
      </c>
    </row>
    <row r="100" spans="1:76" x14ac:dyDescent="0.25">
      <c r="A100" s="56"/>
      <c r="C100" s="57" t="s">
        <v>277</v>
      </c>
      <c r="D100" s="57" t="s">
        <v>4</v>
      </c>
      <c r="F100" s="58">
        <v>300</v>
      </c>
      <c r="J100" s="48"/>
    </row>
    <row r="101" spans="1:76" x14ac:dyDescent="0.25">
      <c r="A101" s="1" t="s">
        <v>281</v>
      </c>
      <c r="B101" s="2" t="s">
        <v>282</v>
      </c>
      <c r="C101" s="70" t="s">
        <v>283</v>
      </c>
      <c r="D101" s="71"/>
      <c r="E101" s="2" t="s">
        <v>112</v>
      </c>
      <c r="F101" s="53">
        <v>1</v>
      </c>
      <c r="G101" s="54">
        <v>0</v>
      </c>
      <c r="H101" s="53">
        <f>ROUND(F101*G101,2)</f>
        <v>0</v>
      </c>
      <c r="I101" s="55" t="s">
        <v>113</v>
      </c>
      <c r="J101" s="48"/>
      <c r="Z101" s="53">
        <f>ROUND(IF(AQ101="5",BJ101,0),2)</f>
        <v>0</v>
      </c>
      <c r="AB101" s="53">
        <f>ROUND(IF(AQ101="1",BH101,0),2)</f>
        <v>0</v>
      </c>
      <c r="AC101" s="53">
        <f>ROUND(IF(AQ101="1",BI101,0),2)</f>
        <v>0</v>
      </c>
      <c r="AD101" s="53">
        <f>ROUND(IF(AQ101="7",BH101,0),2)</f>
        <v>0</v>
      </c>
      <c r="AE101" s="53">
        <f>ROUND(IF(AQ101="7",BI101,0),2)</f>
        <v>0</v>
      </c>
      <c r="AF101" s="53">
        <f>ROUND(IF(AQ101="2",BH101,0),2)</f>
        <v>0</v>
      </c>
      <c r="AG101" s="53">
        <f>ROUND(IF(AQ101="2",BI101,0),2)</f>
        <v>0</v>
      </c>
      <c r="AH101" s="53">
        <f>ROUND(IF(AQ101="0",BJ101,0),2)</f>
        <v>0</v>
      </c>
      <c r="AI101" s="34" t="s">
        <v>4</v>
      </c>
      <c r="AJ101" s="53">
        <f>IF(AN101=0,H101,0)</f>
        <v>0</v>
      </c>
      <c r="AK101" s="53">
        <f>IF(AN101=12,H101,0)</f>
        <v>0</v>
      </c>
      <c r="AL101" s="53">
        <f>IF(AN101=21,H101,0)</f>
        <v>0</v>
      </c>
      <c r="AN101" s="53">
        <v>21</v>
      </c>
      <c r="AO101" s="53">
        <f>G101*1</f>
        <v>0</v>
      </c>
      <c r="AP101" s="53">
        <f>G101*(1-1)</f>
        <v>0</v>
      </c>
      <c r="AQ101" s="55" t="s">
        <v>109</v>
      </c>
      <c r="AV101" s="53">
        <f>ROUND(AW101+AX101,2)</f>
        <v>0</v>
      </c>
      <c r="AW101" s="53">
        <f>ROUND(F101*AO101,2)</f>
        <v>0</v>
      </c>
      <c r="AX101" s="53">
        <f>ROUND(F101*AP101,2)</f>
        <v>0</v>
      </c>
      <c r="AY101" s="55" t="s">
        <v>271</v>
      </c>
      <c r="AZ101" s="55" t="s">
        <v>272</v>
      </c>
      <c r="BA101" s="34" t="s">
        <v>116</v>
      </c>
      <c r="BC101" s="53">
        <f>AW101+AX101</f>
        <v>0</v>
      </c>
      <c r="BD101" s="53">
        <f>G101/(100-BE101)*100</f>
        <v>0</v>
      </c>
      <c r="BE101" s="53">
        <v>0</v>
      </c>
      <c r="BF101" s="53">
        <f>101</f>
        <v>101</v>
      </c>
      <c r="BH101" s="53">
        <f>F101*AO101</f>
        <v>0</v>
      </c>
      <c r="BI101" s="53">
        <f>F101*AP101</f>
        <v>0</v>
      </c>
      <c r="BJ101" s="53">
        <f>F101*G101</f>
        <v>0</v>
      </c>
      <c r="BK101" s="53"/>
      <c r="BL101" s="53">
        <v>94</v>
      </c>
      <c r="BW101" s="53">
        <v>21</v>
      </c>
      <c r="BX101" s="3" t="s">
        <v>283</v>
      </c>
    </row>
    <row r="102" spans="1:76" x14ac:dyDescent="0.25">
      <c r="A102" s="56"/>
      <c r="C102" s="57" t="s">
        <v>109</v>
      </c>
      <c r="D102" s="57" t="s">
        <v>4</v>
      </c>
      <c r="F102" s="58">
        <v>1</v>
      </c>
      <c r="J102" s="48"/>
    </row>
    <row r="103" spans="1:76" x14ac:dyDescent="0.25">
      <c r="A103" s="1" t="s">
        <v>284</v>
      </c>
      <c r="B103" s="2" t="s">
        <v>285</v>
      </c>
      <c r="C103" s="70" t="s">
        <v>286</v>
      </c>
      <c r="D103" s="71"/>
      <c r="E103" s="2" t="s">
        <v>122</v>
      </c>
      <c r="F103" s="53">
        <v>300</v>
      </c>
      <c r="G103" s="54">
        <v>0</v>
      </c>
      <c r="H103" s="53">
        <f>ROUND(F103*G103,2)</f>
        <v>0</v>
      </c>
      <c r="I103" s="55" t="s">
        <v>123</v>
      </c>
      <c r="J103" s="48"/>
      <c r="Z103" s="53">
        <f>ROUND(IF(AQ103="5",BJ103,0),2)</f>
        <v>0</v>
      </c>
      <c r="AB103" s="53">
        <f>ROUND(IF(AQ103="1",BH103,0),2)</f>
        <v>0</v>
      </c>
      <c r="AC103" s="53">
        <f>ROUND(IF(AQ103="1",BI103,0),2)</f>
        <v>0</v>
      </c>
      <c r="AD103" s="53">
        <f>ROUND(IF(AQ103="7",BH103,0),2)</f>
        <v>0</v>
      </c>
      <c r="AE103" s="53">
        <f>ROUND(IF(AQ103="7",BI103,0),2)</f>
        <v>0</v>
      </c>
      <c r="AF103" s="53">
        <f>ROUND(IF(AQ103="2",BH103,0),2)</f>
        <v>0</v>
      </c>
      <c r="AG103" s="53">
        <f>ROUND(IF(AQ103="2",BI103,0),2)</f>
        <v>0</v>
      </c>
      <c r="AH103" s="53">
        <f>ROUND(IF(AQ103="0",BJ103,0),2)</f>
        <v>0</v>
      </c>
      <c r="AI103" s="34" t="s">
        <v>4</v>
      </c>
      <c r="AJ103" s="53">
        <f>IF(AN103=0,H103,0)</f>
        <v>0</v>
      </c>
      <c r="AK103" s="53">
        <f>IF(AN103=12,H103,0)</f>
        <v>0</v>
      </c>
      <c r="AL103" s="53">
        <f>IF(AN103=21,H103,0)</f>
        <v>0</v>
      </c>
      <c r="AN103" s="53">
        <v>21</v>
      </c>
      <c r="AO103" s="53">
        <f>G103*0</f>
        <v>0</v>
      </c>
      <c r="AP103" s="53">
        <f>G103*(1-0)</f>
        <v>0</v>
      </c>
      <c r="AQ103" s="55" t="s">
        <v>109</v>
      </c>
      <c r="AV103" s="53">
        <f>ROUND(AW103+AX103,2)</f>
        <v>0</v>
      </c>
      <c r="AW103" s="53">
        <f>ROUND(F103*AO103,2)</f>
        <v>0</v>
      </c>
      <c r="AX103" s="53">
        <f>ROUND(F103*AP103,2)</f>
        <v>0</v>
      </c>
      <c r="AY103" s="55" t="s">
        <v>271</v>
      </c>
      <c r="AZ103" s="55" t="s">
        <v>272</v>
      </c>
      <c r="BA103" s="34" t="s">
        <v>116</v>
      </c>
      <c r="BC103" s="53">
        <f>AW103+AX103</f>
        <v>0</v>
      </c>
      <c r="BD103" s="53">
        <f>G103/(100-BE103)*100</f>
        <v>0</v>
      </c>
      <c r="BE103" s="53">
        <v>0</v>
      </c>
      <c r="BF103" s="53">
        <f>103</f>
        <v>103</v>
      </c>
      <c r="BH103" s="53">
        <f>F103*AO103</f>
        <v>0</v>
      </c>
      <c r="BI103" s="53">
        <f>F103*AP103</f>
        <v>0</v>
      </c>
      <c r="BJ103" s="53">
        <f>F103*G103</f>
        <v>0</v>
      </c>
      <c r="BK103" s="53"/>
      <c r="BL103" s="53">
        <v>94</v>
      </c>
      <c r="BW103" s="53">
        <v>21</v>
      </c>
      <c r="BX103" s="3" t="s">
        <v>286</v>
      </c>
    </row>
    <row r="104" spans="1:76" x14ac:dyDescent="0.25">
      <c r="A104" s="56"/>
      <c r="C104" s="57" t="s">
        <v>277</v>
      </c>
      <c r="D104" s="57" t="s">
        <v>4</v>
      </c>
      <c r="F104" s="58">
        <v>300</v>
      </c>
      <c r="J104" s="48"/>
    </row>
    <row r="105" spans="1:76" x14ac:dyDescent="0.25">
      <c r="A105" s="1" t="s">
        <v>287</v>
      </c>
      <c r="B105" s="2" t="s">
        <v>288</v>
      </c>
      <c r="C105" s="70" t="s">
        <v>289</v>
      </c>
      <c r="D105" s="71"/>
      <c r="E105" s="2" t="s">
        <v>122</v>
      </c>
      <c r="F105" s="53">
        <v>300</v>
      </c>
      <c r="G105" s="54">
        <v>0</v>
      </c>
      <c r="H105" s="53">
        <f>ROUND(F105*G105,2)</f>
        <v>0</v>
      </c>
      <c r="I105" s="55" t="s">
        <v>123</v>
      </c>
      <c r="J105" s="48"/>
      <c r="Z105" s="53">
        <f>ROUND(IF(AQ105="5",BJ105,0),2)</f>
        <v>0</v>
      </c>
      <c r="AB105" s="53">
        <f>ROUND(IF(AQ105="1",BH105,0),2)</f>
        <v>0</v>
      </c>
      <c r="AC105" s="53">
        <f>ROUND(IF(AQ105="1",BI105,0),2)</f>
        <v>0</v>
      </c>
      <c r="AD105" s="53">
        <f>ROUND(IF(AQ105="7",BH105,0),2)</f>
        <v>0</v>
      </c>
      <c r="AE105" s="53">
        <f>ROUND(IF(AQ105="7",BI105,0),2)</f>
        <v>0</v>
      </c>
      <c r="AF105" s="53">
        <f>ROUND(IF(AQ105="2",BH105,0),2)</f>
        <v>0</v>
      </c>
      <c r="AG105" s="53">
        <f>ROUND(IF(AQ105="2",BI105,0),2)</f>
        <v>0</v>
      </c>
      <c r="AH105" s="53">
        <f>ROUND(IF(AQ105="0",BJ105,0),2)</f>
        <v>0</v>
      </c>
      <c r="AI105" s="34" t="s">
        <v>4</v>
      </c>
      <c r="AJ105" s="53">
        <f>IF(AN105=0,H105,0)</f>
        <v>0</v>
      </c>
      <c r="AK105" s="53">
        <f>IF(AN105=12,H105,0)</f>
        <v>0</v>
      </c>
      <c r="AL105" s="53">
        <f>IF(AN105=21,H105,0)</f>
        <v>0</v>
      </c>
      <c r="AN105" s="53">
        <v>21</v>
      </c>
      <c r="AO105" s="53">
        <f>G105*0</f>
        <v>0</v>
      </c>
      <c r="AP105" s="53">
        <f>G105*(1-0)</f>
        <v>0</v>
      </c>
      <c r="AQ105" s="55" t="s">
        <v>109</v>
      </c>
      <c r="AV105" s="53">
        <f>ROUND(AW105+AX105,2)</f>
        <v>0</v>
      </c>
      <c r="AW105" s="53">
        <f>ROUND(F105*AO105,2)</f>
        <v>0</v>
      </c>
      <c r="AX105" s="53">
        <f>ROUND(F105*AP105,2)</f>
        <v>0</v>
      </c>
      <c r="AY105" s="55" t="s">
        <v>271</v>
      </c>
      <c r="AZ105" s="55" t="s">
        <v>272</v>
      </c>
      <c r="BA105" s="34" t="s">
        <v>116</v>
      </c>
      <c r="BC105" s="53">
        <f>AW105+AX105</f>
        <v>0</v>
      </c>
      <c r="BD105" s="53">
        <f>G105/(100-BE105)*100</f>
        <v>0</v>
      </c>
      <c r="BE105" s="53">
        <v>0</v>
      </c>
      <c r="BF105" s="53">
        <f>105</f>
        <v>105</v>
      </c>
      <c r="BH105" s="53">
        <f>F105*AO105</f>
        <v>0</v>
      </c>
      <c r="BI105" s="53">
        <f>F105*AP105</f>
        <v>0</v>
      </c>
      <c r="BJ105" s="53">
        <f>F105*G105</f>
        <v>0</v>
      </c>
      <c r="BK105" s="53"/>
      <c r="BL105" s="53">
        <v>94</v>
      </c>
      <c r="BW105" s="53">
        <v>21</v>
      </c>
      <c r="BX105" s="3" t="s">
        <v>289</v>
      </c>
    </row>
    <row r="106" spans="1:76" x14ac:dyDescent="0.25">
      <c r="A106" s="56"/>
      <c r="C106" s="57" t="s">
        <v>277</v>
      </c>
      <c r="D106" s="57" t="s">
        <v>4</v>
      </c>
      <c r="F106" s="58">
        <v>300</v>
      </c>
      <c r="J106" s="48"/>
    </row>
    <row r="107" spans="1:76" x14ac:dyDescent="0.25">
      <c r="A107" s="1" t="s">
        <v>290</v>
      </c>
      <c r="B107" s="2" t="s">
        <v>291</v>
      </c>
      <c r="C107" s="70" t="s">
        <v>292</v>
      </c>
      <c r="D107" s="71"/>
      <c r="E107" s="2" t="s">
        <v>122</v>
      </c>
      <c r="F107" s="53">
        <v>153</v>
      </c>
      <c r="G107" s="54">
        <v>0</v>
      </c>
      <c r="H107" s="53">
        <f>ROUND(F107*G107,2)</f>
        <v>0</v>
      </c>
      <c r="I107" s="55" t="s">
        <v>123</v>
      </c>
      <c r="J107" s="48"/>
      <c r="Z107" s="53">
        <f>ROUND(IF(AQ107="5",BJ107,0),2)</f>
        <v>0</v>
      </c>
      <c r="AB107" s="53">
        <f>ROUND(IF(AQ107="1",BH107,0),2)</f>
        <v>0</v>
      </c>
      <c r="AC107" s="53">
        <f>ROUND(IF(AQ107="1",BI107,0),2)</f>
        <v>0</v>
      </c>
      <c r="AD107" s="53">
        <f>ROUND(IF(AQ107="7",BH107,0),2)</f>
        <v>0</v>
      </c>
      <c r="AE107" s="53">
        <f>ROUND(IF(AQ107="7",BI107,0),2)</f>
        <v>0</v>
      </c>
      <c r="AF107" s="53">
        <f>ROUND(IF(AQ107="2",BH107,0),2)</f>
        <v>0</v>
      </c>
      <c r="AG107" s="53">
        <f>ROUND(IF(AQ107="2",BI107,0),2)</f>
        <v>0</v>
      </c>
      <c r="AH107" s="53">
        <f>ROUND(IF(AQ107="0",BJ107,0),2)</f>
        <v>0</v>
      </c>
      <c r="AI107" s="34" t="s">
        <v>4</v>
      </c>
      <c r="AJ107" s="53">
        <f>IF(AN107=0,H107,0)</f>
        <v>0</v>
      </c>
      <c r="AK107" s="53">
        <f>IF(AN107=12,H107,0)</f>
        <v>0</v>
      </c>
      <c r="AL107" s="53">
        <f>IF(AN107=21,H107,0)</f>
        <v>0</v>
      </c>
      <c r="AN107" s="53">
        <v>21</v>
      </c>
      <c r="AO107" s="53">
        <f>G107*0.000146413</f>
        <v>0</v>
      </c>
      <c r="AP107" s="53">
        <f>G107*(1-0.000146413)</f>
        <v>0</v>
      </c>
      <c r="AQ107" s="55" t="s">
        <v>109</v>
      </c>
      <c r="AV107" s="53">
        <f>ROUND(AW107+AX107,2)</f>
        <v>0</v>
      </c>
      <c r="AW107" s="53">
        <f>ROUND(F107*AO107,2)</f>
        <v>0</v>
      </c>
      <c r="AX107" s="53">
        <f>ROUND(F107*AP107,2)</f>
        <v>0</v>
      </c>
      <c r="AY107" s="55" t="s">
        <v>271</v>
      </c>
      <c r="AZ107" s="55" t="s">
        <v>272</v>
      </c>
      <c r="BA107" s="34" t="s">
        <v>116</v>
      </c>
      <c r="BC107" s="53">
        <f>AW107+AX107</f>
        <v>0</v>
      </c>
      <c r="BD107" s="53">
        <f>G107/(100-BE107)*100</f>
        <v>0</v>
      </c>
      <c r="BE107" s="53">
        <v>0</v>
      </c>
      <c r="BF107" s="53">
        <f>107</f>
        <v>107</v>
      </c>
      <c r="BH107" s="53">
        <f>F107*AO107</f>
        <v>0</v>
      </c>
      <c r="BI107" s="53">
        <f>F107*AP107</f>
        <v>0</v>
      </c>
      <c r="BJ107" s="53">
        <f>F107*G107</f>
        <v>0</v>
      </c>
      <c r="BK107" s="53"/>
      <c r="BL107" s="53">
        <v>94</v>
      </c>
      <c r="BW107" s="53">
        <v>21</v>
      </c>
      <c r="BX107" s="3" t="s">
        <v>292</v>
      </c>
    </row>
    <row r="108" spans="1:76" x14ac:dyDescent="0.25">
      <c r="A108" s="56"/>
      <c r="C108" s="57" t="s">
        <v>293</v>
      </c>
      <c r="D108" s="57" t="s">
        <v>294</v>
      </c>
      <c r="F108" s="58">
        <v>153</v>
      </c>
      <c r="J108" s="48"/>
    </row>
    <row r="109" spans="1:76" x14ac:dyDescent="0.25">
      <c r="A109" s="1" t="s">
        <v>295</v>
      </c>
      <c r="B109" s="2" t="s">
        <v>296</v>
      </c>
      <c r="C109" s="70" t="s">
        <v>297</v>
      </c>
      <c r="D109" s="71"/>
      <c r="E109" s="2" t="s">
        <v>122</v>
      </c>
      <c r="F109" s="53">
        <v>153</v>
      </c>
      <c r="G109" s="54">
        <v>0</v>
      </c>
      <c r="H109" s="53">
        <f>ROUND(F109*G109,2)</f>
        <v>0</v>
      </c>
      <c r="I109" s="55" t="s">
        <v>123</v>
      </c>
      <c r="J109" s="48"/>
      <c r="Z109" s="53">
        <f>ROUND(IF(AQ109="5",BJ109,0),2)</f>
        <v>0</v>
      </c>
      <c r="AB109" s="53">
        <f>ROUND(IF(AQ109="1",BH109,0),2)</f>
        <v>0</v>
      </c>
      <c r="AC109" s="53">
        <f>ROUND(IF(AQ109="1",BI109,0),2)</f>
        <v>0</v>
      </c>
      <c r="AD109" s="53">
        <f>ROUND(IF(AQ109="7",BH109,0),2)</f>
        <v>0</v>
      </c>
      <c r="AE109" s="53">
        <f>ROUND(IF(AQ109="7",BI109,0),2)</f>
        <v>0</v>
      </c>
      <c r="AF109" s="53">
        <f>ROUND(IF(AQ109="2",BH109,0),2)</f>
        <v>0</v>
      </c>
      <c r="AG109" s="53">
        <f>ROUND(IF(AQ109="2",BI109,0),2)</f>
        <v>0</v>
      </c>
      <c r="AH109" s="53">
        <f>ROUND(IF(AQ109="0",BJ109,0),2)</f>
        <v>0</v>
      </c>
      <c r="AI109" s="34" t="s">
        <v>4</v>
      </c>
      <c r="AJ109" s="53">
        <f>IF(AN109=0,H109,0)</f>
        <v>0</v>
      </c>
      <c r="AK109" s="53">
        <f>IF(AN109=12,H109,0)</f>
        <v>0</v>
      </c>
      <c r="AL109" s="53">
        <f>IF(AN109=21,H109,0)</f>
        <v>0</v>
      </c>
      <c r="AN109" s="53">
        <v>21</v>
      </c>
      <c r="AO109" s="53">
        <f>G109*0</f>
        <v>0</v>
      </c>
      <c r="AP109" s="53">
        <f>G109*(1-0)</f>
        <v>0</v>
      </c>
      <c r="AQ109" s="55" t="s">
        <v>109</v>
      </c>
      <c r="AV109" s="53">
        <f>ROUND(AW109+AX109,2)</f>
        <v>0</v>
      </c>
      <c r="AW109" s="53">
        <f>ROUND(F109*AO109,2)</f>
        <v>0</v>
      </c>
      <c r="AX109" s="53">
        <f>ROUND(F109*AP109,2)</f>
        <v>0</v>
      </c>
      <c r="AY109" s="55" t="s">
        <v>271</v>
      </c>
      <c r="AZ109" s="55" t="s">
        <v>272</v>
      </c>
      <c r="BA109" s="34" t="s">
        <v>116</v>
      </c>
      <c r="BC109" s="53">
        <f>AW109+AX109</f>
        <v>0</v>
      </c>
      <c r="BD109" s="53">
        <f>G109/(100-BE109)*100</f>
        <v>0</v>
      </c>
      <c r="BE109" s="53">
        <v>0</v>
      </c>
      <c r="BF109" s="53">
        <f>109</f>
        <v>109</v>
      </c>
      <c r="BH109" s="53">
        <f>F109*AO109</f>
        <v>0</v>
      </c>
      <c r="BI109" s="53">
        <f>F109*AP109</f>
        <v>0</v>
      </c>
      <c r="BJ109" s="53">
        <f>F109*G109</f>
        <v>0</v>
      </c>
      <c r="BK109" s="53"/>
      <c r="BL109" s="53">
        <v>94</v>
      </c>
      <c r="BW109" s="53">
        <v>21</v>
      </c>
      <c r="BX109" s="3" t="s">
        <v>297</v>
      </c>
    </row>
    <row r="110" spans="1:76" x14ac:dyDescent="0.25">
      <c r="A110" s="56"/>
      <c r="C110" s="57" t="s">
        <v>298</v>
      </c>
      <c r="D110" s="57" t="s">
        <v>294</v>
      </c>
      <c r="F110" s="58">
        <v>153</v>
      </c>
      <c r="J110" s="48"/>
    </row>
    <row r="111" spans="1:76" x14ac:dyDescent="0.25">
      <c r="A111" s="1" t="s">
        <v>107</v>
      </c>
      <c r="B111" s="2" t="s">
        <v>299</v>
      </c>
      <c r="C111" s="70" t="s">
        <v>300</v>
      </c>
      <c r="D111" s="71"/>
      <c r="E111" s="2" t="s">
        <v>112</v>
      </c>
      <c r="F111" s="53">
        <v>1</v>
      </c>
      <c r="G111" s="54">
        <v>0</v>
      </c>
      <c r="H111" s="53">
        <f>ROUND(F111*G111,2)</f>
        <v>0</v>
      </c>
      <c r="I111" s="55" t="s">
        <v>123</v>
      </c>
      <c r="J111" s="48"/>
      <c r="Z111" s="53">
        <f>ROUND(IF(AQ111="5",BJ111,0),2)</f>
        <v>0</v>
      </c>
      <c r="AB111" s="53">
        <f>ROUND(IF(AQ111="1",BH111,0),2)</f>
        <v>0</v>
      </c>
      <c r="AC111" s="53">
        <f>ROUND(IF(AQ111="1",BI111,0),2)</f>
        <v>0</v>
      </c>
      <c r="AD111" s="53">
        <f>ROUND(IF(AQ111="7",BH111,0),2)</f>
        <v>0</v>
      </c>
      <c r="AE111" s="53">
        <f>ROUND(IF(AQ111="7",BI111,0),2)</f>
        <v>0</v>
      </c>
      <c r="AF111" s="53">
        <f>ROUND(IF(AQ111="2",BH111,0),2)</f>
        <v>0</v>
      </c>
      <c r="AG111" s="53">
        <f>ROUND(IF(AQ111="2",BI111,0),2)</f>
        <v>0</v>
      </c>
      <c r="AH111" s="53">
        <f>ROUND(IF(AQ111="0",BJ111,0),2)</f>
        <v>0</v>
      </c>
      <c r="AI111" s="34" t="s">
        <v>4</v>
      </c>
      <c r="AJ111" s="53">
        <f>IF(AN111=0,H111,0)</f>
        <v>0</v>
      </c>
      <c r="AK111" s="53">
        <f>IF(AN111=12,H111,0)</f>
        <v>0</v>
      </c>
      <c r="AL111" s="53">
        <f>IF(AN111=21,H111,0)</f>
        <v>0</v>
      </c>
      <c r="AN111" s="53">
        <v>21</v>
      </c>
      <c r="AO111" s="53">
        <f>G111*0</f>
        <v>0</v>
      </c>
      <c r="AP111" s="53">
        <f>G111*(1-0)</f>
        <v>0</v>
      </c>
      <c r="AQ111" s="55" t="s">
        <v>109</v>
      </c>
      <c r="AV111" s="53">
        <f>ROUND(AW111+AX111,2)</f>
        <v>0</v>
      </c>
      <c r="AW111" s="53">
        <f>ROUND(F111*AO111,2)</f>
        <v>0</v>
      </c>
      <c r="AX111" s="53">
        <f>ROUND(F111*AP111,2)</f>
        <v>0</v>
      </c>
      <c r="AY111" s="55" t="s">
        <v>271</v>
      </c>
      <c r="AZ111" s="55" t="s">
        <v>272</v>
      </c>
      <c r="BA111" s="34" t="s">
        <v>116</v>
      </c>
      <c r="BC111" s="53">
        <f>AW111+AX111</f>
        <v>0</v>
      </c>
      <c r="BD111" s="53">
        <f>G111/(100-BE111)*100</f>
        <v>0</v>
      </c>
      <c r="BE111" s="53">
        <v>0</v>
      </c>
      <c r="BF111" s="53">
        <f>111</f>
        <v>111</v>
      </c>
      <c r="BH111" s="53">
        <f>F111*AO111</f>
        <v>0</v>
      </c>
      <c r="BI111" s="53">
        <f>F111*AP111</f>
        <v>0</v>
      </c>
      <c r="BJ111" s="53">
        <f>F111*G111</f>
        <v>0</v>
      </c>
      <c r="BK111" s="53"/>
      <c r="BL111" s="53">
        <v>94</v>
      </c>
      <c r="BW111" s="53">
        <v>21</v>
      </c>
      <c r="BX111" s="3" t="s">
        <v>300</v>
      </c>
    </row>
    <row r="112" spans="1:76" ht="13.5" customHeight="1" x14ac:dyDescent="0.25">
      <c r="A112" s="56"/>
      <c r="B112" s="59" t="s">
        <v>127</v>
      </c>
      <c r="C112" s="143" t="s">
        <v>301</v>
      </c>
      <c r="D112" s="144"/>
      <c r="E112" s="144"/>
      <c r="F112" s="144"/>
      <c r="G112" s="145"/>
      <c r="H112" s="144"/>
      <c r="I112" s="144"/>
      <c r="J112" s="146"/>
    </row>
    <row r="113" spans="1:76" x14ac:dyDescent="0.25">
      <c r="A113" s="56"/>
      <c r="C113" s="57" t="s">
        <v>109</v>
      </c>
      <c r="D113" s="57" t="s">
        <v>4</v>
      </c>
      <c r="F113" s="58">
        <v>1</v>
      </c>
      <c r="J113" s="48"/>
    </row>
    <row r="114" spans="1:76" x14ac:dyDescent="0.25">
      <c r="A114" s="49" t="s">
        <v>4</v>
      </c>
      <c r="B114" s="50" t="s">
        <v>302</v>
      </c>
      <c r="C114" s="141" t="s">
        <v>303</v>
      </c>
      <c r="D114" s="142"/>
      <c r="E114" s="51" t="s">
        <v>73</v>
      </c>
      <c r="F114" s="51" t="s">
        <v>73</v>
      </c>
      <c r="G114" s="52" t="s">
        <v>73</v>
      </c>
      <c r="H114" s="26">
        <f>SUM(H115:H115)</f>
        <v>0</v>
      </c>
      <c r="I114" s="34" t="s">
        <v>4</v>
      </c>
      <c r="J114" s="48"/>
      <c r="AI114" s="34" t="s">
        <v>4</v>
      </c>
      <c r="AS114" s="26">
        <f>SUM(AJ115:AJ115)</f>
        <v>0</v>
      </c>
      <c r="AT114" s="26">
        <f>SUM(AK115:AK115)</f>
        <v>0</v>
      </c>
      <c r="AU114" s="26">
        <f>SUM(AL115:AL115)</f>
        <v>0</v>
      </c>
    </row>
    <row r="115" spans="1:76" x14ac:dyDescent="0.25">
      <c r="A115" s="1" t="s">
        <v>304</v>
      </c>
      <c r="B115" s="2" t="s">
        <v>305</v>
      </c>
      <c r="C115" s="70" t="s">
        <v>306</v>
      </c>
      <c r="D115" s="71"/>
      <c r="E115" s="2" t="s">
        <v>158</v>
      </c>
      <c r="F115" s="53">
        <v>5.95791</v>
      </c>
      <c r="G115" s="54">
        <v>0</v>
      </c>
      <c r="H115" s="53">
        <f>ROUND(F115*G115,2)</f>
        <v>0</v>
      </c>
      <c r="I115" s="55" t="s">
        <v>123</v>
      </c>
      <c r="J115" s="48"/>
      <c r="Z115" s="53">
        <f>ROUND(IF(AQ115="5",BJ115,0),2)</f>
        <v>0</v>
      </c>
      <c r="AB115" s="53">
        <f>ROUND(IF(AQ115="1",BH115,0),2)</f>
        <v>0</v>
      </c>
      <c r="AC115" s="53">
        <f>ROUND(IF(AQ115="1",BI115,0),2)</f>
        <v>0</v>
      </c>
      <c r="AD115" s="53">
        <f>ROUND(IF(AQ115="7",BH115,0),2)</f>
        <v>0</v>
      </c>
      <c r="AE115" s="53">
        <f>ROUND(IF(AQ115="7",BI115,0),2)</f>
        <v>0</v>
      </c>
      <c r="AF115" s="53">
        <f>ROUND(IF(AQ115="2",BH115,0),2)</f>
        <v>0</v>
      </c>
      <c r="AG115" s="53">
        <f>ROUND(IF(AQ115="2",BI115,0),2)</f>
        <v>0</v>
      </c>
      <c r="AH115" s="53">
        <f>ROUND(IF(AQ115="0",BJ115,0),2)</f>
        <v>0</v>
      </c>
      <c r="AI115" s="34" t="s">
        <v>4</v>
      </c>
      <c r="AJ115" s="53">
        <f>IF(AN115=0,H115,0)</f>
        <v>0</v>
      </c>
      <c r="AK115" s="53">
        <f>IF(AN115=12,H115,0)</f>
        <v>0</v>
      </c>
      <c r="AL115" s="53">
        <f>IF(AN115=21,H115,0)</f>
        <v>0</v>
      </c>
      <c r="AN115" s="53">
        <v>21</v>
      </c>
      <c r="AO115" s="53">
        <f>G115*0</f>
        <v>0</v>
      </c>
      <c r="AP115" s="53">
        <f>G115*(1-0)</f>
        <v>0</v>
      </c>
      <c r="AQ115" s="55" t="s">
        <v>142</v>
      </c>
      <c r="AV115" s="53">
        <f>ROUND(AW115+AX115,2)</f>
        <v>0</v>
      </c>
      <c r="AW115" s="53">
        <f>ROUND(F115*AO115,2)</f>
        <v>0</v>
      </c>
      <c r="AX115" s="53">
        <f>ROUND(F115*AP115,2)</f>
        <v>0</v>
      </c>
      <c r="AY115" s="55" t="s">
        <v>307</v>
      </c>
      <c r="AZ115" s="55" t="s">
        <v>272</v>
      </c>
      <c r="BA115" s="34" t="s">
        <v>116</v>
      </c>
      <c r="BC115" s="53">
        <f>AW115+AX115</f>
        <v>0</v>
      </c>
      <c r="BD115" s="53">
        <f>G115/(100-BE115)*100</f>
        <v>0</v>
      </c>
      <c r="BE115" s="53">
        <v>0</v>
      </c>
      <c r="BF115" s="53">
        <f>115</f>
        <v>115</v>
      </c>
      <c r="BH115" s="53">
        <f>F115*AO115</f>
        <v>0</v>
      </c>
      <c r="BI115" s="53">
        <f>F115*AP115</f>
        <v>0</v>
      </c>
      <c r="BJ115" s="53">
        <f>F115*G115</f>
        <v>0</v>
      </c>
      <c r="BK115" s="53"/>
      <c r="BL115" s="53"/>
      <c r="BW115" s="53">
        <v>21</v>
      </c>
      <c r="BX115" s="3" t="s">
        <v>306</v>
      </c>
    </row>
    <row r="116" spans="1:76" x14ac:dyDescent="0.25">
      <c r="A116" s="49" t="s">
        <v>4</v>
      </c>
      <c r="B116" s="50" t="s">
        <v>308</v>
      </c>
      <c r="C116" s="141" t="s">
        <v>309</v>
      </c>
      <c r="D116" s="142"/>
      <c r="E116" s="51" t="s">
        <v>73</v>
      </c>
      <c r="F116" s="51" t="s">
        <v>73</v>
      </c>
      <c r="G116" s="52" t="s">
        <v>73</v>
      </c>
      <c r="H116" s="26">
        <f>SUM(H117:H131)</f>
        <v>0</v>
      </c>
      <c r="I116" s="34" t="s">
        <v>4</v>
      </c>
      <c r="J116" s="48"/>
      <c r="AI116" s="34" t="s">
        <v>4</v>
      </c>
      <c r="AS116" s="26">
        <f>SUM(AJ117:AJ131)</f>
        <v>0</v>
      </c>
      <c r="AT116" s="26">
        <f>SUM(AK117:AK131)</f>
        <v>0</v>
      </c>
      <c r="AU116" s="26">
        <f>SUM(AL117:AL131)</f>
        <v>0</v>
      </c>
    </row>
    <row r="117" spans="1:76" x14ac:dyDescent="0.25">
      <c r="A117" s="1" t="s">
        <v>310</v>
      </c>
      <c r="B117" s="2" t="s">
        <v>311</v>
      </c>
      <c r="C117" s="70" t="s">
        <v>312</v>
      </c>
      <c r="D117" s="71"/>
      <c r="E117" s="2" t="s">
        <v>158</v>
      </c>
      <c r="F117" s="53">
        <v>5.9974299999999996</v>
      </c>
      <c r="G117" s="54">
        <v>0</v>
      </c>
      <c r="H117" s="53">
        <f>ROUND(F117*G117,2)</f>
        <v>0</v>
      </c>
      <c r="I117" s="55" t="s">
        <v>123</v>
      </c>
      <c r="J117" s="48"/>
      <c r="Z117" s="53">
        <f>ROUND(IF(AQ117="5",BJ117,0),2)</f>
        <v>0</v>
      </c>
      <c r="AB117" s="53">
        <f>ROUND(IF(AQ117="1",BH117,0),2)</f>
        <v>0</v>
      </c>
      <c r="AC117" s="53">
        <f>ROUND(IF(AQ117="1",BI117,0),2)</f>
        <v>0</v>
      </c>
      <c r="AD117" s="53">
        <f>ROUND(IF(AQ117="7",BH117,0),2)</f>
        <v>0</v>
      </c>
      <c r="AE117" s="53">
        <f>ROUND(IF(AQ117="7",BI117,0),2)</f>
        <v>0</v>
      </c>
      <c r="AF117" s="53">
        <f>ROUND(IF(AQ117="2",BH117,0),2)</f>
        <v>0</v>
      </c>
      <c r="AG117" s="53">
        <f>ROUND(IF(AQ117="2",BI117,0),2)</f>
        <v>0</v>
      </c>
      <c r="AH117" s="53">
        <f>ROUND(IF(AQ117="0",BJ117,0),2)</f>
        <v>0</v>
      </c>
      <c r="AI117" s="34" t="s">
        <v>4</v>
      </c>
      <c r="AJ117" s="53">
        <f>IF(AN117=0,H117,0)</f>
        <v>0</v>
      </c>
      <c r="AK117" s="53">
        <f>IF(AN117=12,H117,0)</f>
        <v>0</v>
      </c>
      <c r="AL117" s="53">
        <f>IF(AN117=21,H117,0)</f>
        <v>0</v>
      </c>
      <c r="AN117" s="53">
        <v>21</v>
      </c>
      <c r="AO117" s="53">
        <f>G117*0</f>
        <v>0</v>
      </c>
      <c r="AP117" s="53">
        <f>G117*(1-0)</f>
        <v>0</v>
      </c>
      <c r="AQ117" s="55" t="s">
        <v>142</v>
      </c>
      <c r="AV117" s="53">
        <f>ROUND(AW117+AX117,2)</f>
        <v>0</v>
      </c>
      <c r="AW117" s="53">
        <f>ROUND(F117*AO117,2)</f>
        <v>0</v>
      </c>
      <c r="AX117" s="53">
        <f>ROUND(F117*AP117,2)</f>
        <v>0</v>
      </c>
      <c r="AY117" s="55" t="s">
        <v>313</v>
      </c>
      <c r="AZ117" s="55" t="s">
        <v>272</v>
      </c>
      <c r="BA117" s="34" t="s">
        <v>116</v>
      </c>
      <c r="BC117" s="53">
        <f>AW117+AX117</f>
        <v>0</v>
      </c>
      <c r="BD117" s="53">
        <f>G117/(100-BE117)*100</f>
        <v>0</v>
      </c>
      <c r="BE117" s="53">
        <v>0</v>
      </c>
      <c r="BF117" s="53">
        <f>117</f>
        <v>117</v>
      </c>
      <c r="BH117" s="53">
        <f>F117*AO117</f>
        <v>0</v>
      </c>
      <c r="BI117" s="53">
        <f>F117*AP117</f>
        <v>0</v>
      </c>
      <c r="BJ117" s="53">
        <f>F117*G117</f>
        <v>0</v>
      </c>
      <c r="BK117" s="53"/>
      <c r="BL117" s="53"/>
      <c r="BW117" s="53">
        <v>21</v>
      </c>
      <c r="BX117" s="3" t="s">
        <v>312</v>
      </c>
    </row>
    <row r="118" spans="1:76" x14ac:dyDescent="0.25">
      <c r="A118" s="56"/>
      <c r="C118" s="57" t="s">
        <v>4</v>
      </c>
      <c r="D118" s="57" t="s">
        <v>314</v>
      </c>
      <c r="F118" s="58">
        <v>0</v>
      </c>
      <c r="J118" s="48"/>
    </row>
    <row r="119" spans="1:76" x14ac:dyDescent="0.25">
      <c r="A119" s="1" t="s">
        <v>315</v>
      </c>
      <c r="B119" s="2" t="s">
        <v>316</v>
      </c>
      <c r="C119" s="70" t="s">
        <v>317</v>
      </c>
      <c r="D119" s="71"/>
      <c r="E119" s="2" t="s">
        <v>158</v>
      </c>
      <c r="F119" s="53">
        <v>5.99</v>
      </c>
      <c r="G119" s="54">
        <v>0</v>
      </c>
      <c r="H119" s="53">
        <f>ROUND(F119*G119,2)</f>
        <v>0</v>
      </c>
      <c r="I119" s="55" t="s">
        <v>123</v>
      </c>
      <c r="J119" s="48"/>
      <c r="Z119" s="53">
        <f>ROUND(IF(AQ119="5",BJ119,0),2)</f>
        <v>0</v>
      </c>
      <c r="AB119" s="53">
        <f>ROUND(IF(AQ119="1",BH119,0),2)</f>
        <v>0</v>
      </c>
      <c r="AC119" s="53">
        <f>ROUND(IF(AQ119="1",BI119,0),2)</f>
        <v>0</v>
      </c>
      <c r="AD119" s="53">
        <f>ROUND(IF(AQ119="7",BH119,0),2)</f>
        <v>0</v>
      </c>
      <c r="AE119" s="53">
        <f>ROUND(IF(AQ119="7",BI119,0),2)</f>
        <v>0</v>
      </c>
      <c r="AF119" s="53">
        <f>ROUND(IF(AQ119="2",BH119,0),2)</f>
        <v>0</v>
      </c>
      <c r="AG119" s="53">
        <f>ROUND(IF(AQ119="2",BI119,0),2)</f>
        <v>0</v>
      </c>
      <c r="AH119" s="53">
        <f>ROUND(IF(AQ119="0",BJ119,0),2)</f>
        <v>0</v>
      </c>
      <c r="AI119" s="34" t="s">
        <v>4</v>
      </c>
      <c r="AJ119" s="53">
        <f>IF(AN119=0,H119,0)</f>
        <v>0</v>
      </c>
      <c r="AK119" s="53">
        <f>IF(AN119=12,H119,0)</f>
        <v>0</v>
      </c>
      <c r="AL119" s="53">
        <f>IF(AN119=21,H119,0)</f>
        <v>0</v>
      </c>
      <c r="AN119" s="53">
        <v>21</v>
      </c>
      <c r="AO119" s="53">
        <f>G119*0</f>
        <v>0</v>
      </c>
      <c r="AP119" s="53">
        <f>G119*(1-0)</f>
        <v>0</v>
      </c>
      <c r="AQ119" s="55" t="s">
        <v>142</v>
      </c>
      <c r="AV119" s="53">
        <f>ROUND(AW119+AX119,2)</f>
        <v>0</v>
      </c>
      <c r="AW119" s="53">
        <f>ROUND(F119*AO119,2)</f>
        <v>0</v>
      </c>
      <c r="AX119" s="53">
        <f>ROUND(F119*AP119,2)</f>
        <v>0</v>
      </c>
      <c r="AY119" s="55" t="s">
        <v>313</v>
      </c>
      <c r="AZ119" s="55" t="s">
        <v>272</v>
      </c>
      <c r="BA119" s="34" t="s">
        <v>116</v>
      </c>
      <c r="BC119" s="53">
        <f>AW119+AX119</f>
        <v>0</v>
      </c>
      <c r="BD119" s="53">
        <f>G119/(100-BE119)*100</f>
        <v>0</v>
      </c>
      <c r="BE119" s="53">
        <v>0</v>
      </c>
      <c r="BF119" s="53">
        <f>119</f>
        <v>119</v>
      </c>
      <c r="BH119" s="53">
        <f>F119*AO119</f>
        <v>0</v>
      </c>
      <c r="BI119" s="53">
        <f>F119*AP119</f>
        <v>0</v>
      </c>
      <c r="BJ119" s="53">
        <f>F119*G119</f>
        <v>0</v>
      </c>
      <c r="BK119" s="53"/>
      <c r="BL119" s="53"/>
      <c r="BW119" s="53">
        <v>21</v>
      </c>
      <c r="BX119" s="3" t="s">
        <v>317</v>
      </c>
    </row>
    <row r="120" spans="1:76" x14ac:dyDescent="0.25">
      <c r="A120" s="56"/>
      <c r="C120" s="57" t="s">
        <v>318</v>
      </c>
      <c r="D120" s="57" t="s">
        <v>4</v>
      </c>
      <c r="F120" s="58">
        <v>5.99</v>
      </c>
      <c r="J120" s="48"/>
    </row>
    <row r="121" spans="1:76" x14ac:dyDescent="0.25">
      <c r="A121" s="1" t="s">
        <v>319</v>
      </c>
      <c r="B121" s="2" t="s">
        <v>320</v>
      </c>
      <c r="C121" s="70" t="s">
        <v>321</v>
      </c>
      <c r="D121" s="71"/>
      <c r="E121" s="2" t="s">
        <v>158</v>
      </c>
      <c r="F121" s="53">
        <v>5.99</v>
      </c>
      <c r="G121" s="54">
        <v>0</v>
      </c>
      <c r="H121" s="53">
        <f>ROUND(F121*G121,2)</f>
        <v>0</v>
      </c>
      <c r="I121" s="55" t="s">
        <v>123</v>
      </c>
      <c r="J121" s="48"/>
      <c r="Z121" s="53">
        <f>ROUND(IF(AQ121="5",BJ121,0),2)</f>
        <v>0</v>
      </c>
      <c r="AB121" s="53">
        <f>ROUND(IF(AQ121="1",BH121,0),2)</f>
        <v>0</v>
      </c>
      <c r="AC121" s="53">
        <f>ROUND(IF(AQ121="1",BI121,0),2)</f>
        <v>0</v>
      </c>
      <c r="AD121" s="53">
        <f>ROUND(IF(AQ121="7",BH121,0),2)</f>
        <v>0</v>
      </c>
      <c r="AE121" s="53">
        <f>ROUND(IF(AQ121="7",BI121,0),2)</f>
        <v>0</v>
      </c>
      <c r="AF121" s="53">
        <f>ROUND(IF(AQ121="2",BH121,0),2)</f>
        <v>0</v>
      </c>
      <c r="AG121" s="53">
        <f>ROUND(IF(AQ121="2",BI121,0),2)</f>
        <v>0</v>
      </c>
      <c r="AH121" s="53">
        <f>ROUND(IF(AQ121="0",BJ121,0),2)</f>
        <v>0</v>
      </c>
      <c r="AI121" s="34" t="s">
        <v>4</v>
      </c>
      <c r="AJ121" s="53">
        <f>IF(AN121=0,H121,0)</f>
        <v>0</v>
      </c>
      <c r="AK121" s="53">
        <f>IF(AN121=12,H121,0)</f>
        <v>0</v>
      </c>
      <c r="AL121" s="53">
        <f>IF(AN121=21,H121,0)</f>
        <v>0</v>
      </c>
      <c r="AN121" s="53">
        <v>21</v>
      </c>
      <c r="AO121" s="53">
        <f>G121*0</f>
        <v>0</v>
      </c>
      <c r="AP121" s="53">
        <f>G121*(1-0)</f>
        <v>0</v>
      </c>
      <c r="AQ121" s="55" t="s">
        <v>142</v>
      </c>
      <c r="AV121" s="53">
        <f>ROUND(AW121+AX121,2)</f>
        <v>0</v>
      </c>
      <c r="AW121" s="53">
        <f>ROUND(F121*AO121,2)</f>
        <v>0</v>
      </c>
      <c r="AX121" s="53">
        <f>ROUND(F121*AP121,2)</f>
        <v>0</v>
      </c>
      <c r="AY121" s="55" t="s">
        <v>313</v>
      </c>
      <c r="AZ121" s="55" t="s">
        <v>272</v>
      </c>
      <c r="BA121" s="34" t="s">
        <v>116</v>
      </c>
      <c r="BC121" s="53">
        <f>AW121+AX121</f>
        <v>0</v>
      </c>
      <c r="BD121" s="53">
        <f>G121/(100-BE121)*100</f>
        <v>0</v>
      </c>
      <c r="BE121" s="53">
        <v>0</v>
      </c>
      <c r="BF121" s="53">
        <f>121</f>
        <v>121</v>
      </c>
      <c r="BH121" s="53">
        <f>F121*AO121</f>
        <v>0</v>
      </c>
      <c r="BI121" s="53">
        <f>F121*AP121</f>
        <v>0</v>
      </c>
      <c r="BJ121" s="53">
        <f>F121*G121</f>
        <v>0</v>
      </c>
      <c r="BK121" s="53"/>
      <c r="BL121" s="53"/>
      <c r="BW121" s="53">
        <v>21</v>
      </c>
      <c r="BX121" s="3" t="s">
        <v>321</v>
      </c>
    </row>
    <row r="122" spans="1:76" ht="13.5" customHeight="1" x14ac:dyDescent="0.25">
      <c r="A122" s="56"/>
      <c r="B122" s="59" t="s">
        <v>127</v>
      </c>
      <c r="C122" s="143" t="s">
        <v>322</v>
      </c>
      <c r="D122" s="144"/>
      <c r="E122" s="144"/>
      <c r="F122" s="144"/>
      <c r="G122" s="145"/>
      <c r="H122" s="144"/>
      <c r="I122" s="144"/>
      <c r="J122" s="146"/>
    </row>
    <row r="123" spans="1:76" x14ac:dyDescent="0.25">
      <c r="A123" s="56"/>
      <c r="C123" s="57" t="s">
        <v>318</v>
      </c>
      <c r="D123" s="57" t="s">
        <v>4</v>
      </c>
      <c r="F123" s="58">
        <v>5.99</v>
      </c>
      <c r="J123" s="48"/>
    </row>
    <row r="124" spans="1:76" x14ac:dyDescent="0.25">
      <c r="A124" s="1" t="s">
        <v>323</v>
      </c>
      <c r="B124" s="2" t="s">
        <v>324</v>
      </c>
      <c r="C124" s="70" t="s">
        <v>325</v>
      </c>
      <c r="D124" s="71"/>
      <c r="E124" s="2" t="s">
        <v>158</v>
      </c>
      <c r="F124" s="53">
        <v>5.99</v>
      </c>
      <c r="G124" s="54">
        <v>0</v>
      </c>
      <c r="H124" s="53">
        <f>ROUND(F124*G124,2)</f>
        <v>0</v>
      </c>
      <c r="I124" s="55" t="s">
        <v>123</v>
      </c>
      <c r="J124" s="48"/>
      <c r="Z124" s="53">
        <f>ROUND(IF(AQ124="5",BJ124,0),2)</f>
        <v>0</v>
      </c>
      <c r="AB124" s="53">
        <f>ROUND(IF(AQ124="1",BH124,0),2)</f>
        <v>0</v>
      </c>
      <c r="AC124" s="53">
        <f>ROUND(IF(AQ124="1",BI124,0),2)</f>
        <v>0</v>
      </c>
      <c r="AD124" s="53">
        <f>ROUND(IF(AQ124="7",BH124,0),2)</f>
        <v>0</v>
      </c>
      <c r="AE124" s="53">
        <f>ROUND(IF(AQ124="7",BI124,0),2)</f>
        <v>0</v>
      </c>
      <c r="AF124" s="53">
        <f>ROUND(IF(AQ124="2",BH124,0),2)</f>
        <v>0</v>
      </c>
      <c r="AG124" s="53">
        <f>ROUND(IF(AQ124="2",BI124,0),2)</f>
        <v>0</v>
      </c>
      <c r="AH124" s="53">
        <f>ROUND(IF(AQ124="0",BJ124,0),2)</f>
        <v>0</v>
      </c>
      <c r="AI124" s="34" t="s">
        <v>4</v>
      </c>
      <c r="AJ124" s="53">
        <f>IF(AN124=0,H124,0)</f>
        <v>0</v>
      </c>
      <c r="AK124" s="53">
        <f>IF(AN124=12,H124,0)</f>
        <v>0</v>
      </c>
      <c r="AL124" s="53">
        <f>IF(AN124=21,H124,0)</f>
        <v>0</v>
      </c>
      <c r="AN124" s="53">
        <v>21</v>
      </c>
      <c r="AO124" s="53">
        <f>G124*0</f>
        <v>0</v>
      </c>
      <c r="AP124" s="53">
        <f>G124*(1-0)</f>
        <v>0</v>
      </c>
      <c r="AQ124" s="55" t="s">
        <v>142</v>
      </c>
      <c r="AV124" s="53">
        <f>ROUND(AW124+AX124,2)</f>
        <v>0</v>
      </c>
      <c r="AW124" s="53">
        <f>ROUND(F124*AO124,2)</f>
        <v>0</v>
      </c>
      <c r="AX124" s="53">
        <f>ROUND(F124*AP124,2)</f>
        <v>0</v>
      </c>
      <c r="AY124" s="55" t="s">
        <v>313</v>
      </c>
      <c r="AZ124" s="55" t="s">
        <v>272</v>
      </c>
      <c r="BA124" s="34" t="s">
        <v>116</v>
      </c>
      <c r="BC124" s="53">
        <f>AW124+AX124</f>
        <v>0</v>
      </c>
      <c r="BD124" s="53">
        <f>G124/(100-BE124)*100</f>
        <v>0</v>
      </c>
      <c r="BE124" s="53">
        <v>0</v>
      </c>
      <c r="BF124" s="53">
        <f>124</f>
        <v>124</v>
      </c>
      <c r="BH124" s="53">
        <f>F124*AO124</f>
        <v>0</v>
      </c>
      <c r="BI124" s="53">
        <f>F124*AP124</f>
        <v>0</v>
      </c>
      <c r="BJ124" s="53">
        <f>F124*G124</f>
        <v>0</v>
      </c>
      <c r="BK124" s="53"/>
      <c r="BL124" s="53"/>
      <c r="BW124" s="53">
        <v>21</v>
      </c>
      <c r="BX124" s="3" t="s">
        <v>325</v>
      </c>
    </row>
    <row r="125" spans="1:76" ht="13.5" customHeight="1" x14ac:dyDescent="0.25">
      <c r="A125" s="56"/>
      <c r="B125" s="59" t="s">
        <v>127</v>
      </c>
      <c r="C125" s="143" t="s">
        <v>322</v>
      </c>
      <c r="D125" s="144"/>
      <c r="E125" s="144"/>
      <c r="F125" s="144"/>
      <c r="G125" s="145"/>
      <c r="H125" s="144"/>
      <c r="I125" s="144"/>
      <c r="J125" s="146"/>
    </row>
    <row r="126" spans="1:76" x14ac:dyDescent="0.25">
      <c r="A126" s="56"/>
      <c r="C126" s="57" t="s">
        <v>318</v>
      </c>
      <c r="D126" s="57" t="s">
        <v>326</v>
      </c>
      <c r="F126" s="58">
        <v>5.99</v>
      </c>
      <c r="J126" s="48"/>
    </row>
    <row r="127" spans="1:76" x14ac:dyDescent="0.25">
      <c r="A127" s="1" t="s">
        <v>327</v>
      </c>
      <c r="B127" s="2" t="s">
        <v>328</v>
      </c>
      <c r="C127" s="70" t="s">
        <v>329</v>
      </c>
      <c r="D127" s="71"/>
      <c r="E127" s="2" t="s">
        <v>158</v>
      </c>
      <c r="F127" s="53">
        <v>5.99</v>
      </c>
      <c r="G127" s="54">
        <v>0</v>
      </c>
      <c r="H127" s="53">
        <f>ROUND(F127*G127,2)</f>
        <v>0</v>
      </c>
      <c r="I127" s="55" t="s">
        <v>123</v>
      </c>
      <c r="J127" s="48"/>
      <c r="Z127" s="53">
        <f>ROUND(IF(AQ127="5",BJ127,0),2)</f>
        <v>0</v>
      </c>
      <c r="AB127" s="53">
        <f>ROUND(IF(AQ127="1",BH127,0),2)</f>
        <v>0</v>
      </c>
      <c r="AC127" s="53">
        <f>ROUND(IF(AQ127="1",BI127,0),2)</f>
        <v>0</v>
      </c>
      <c r="AD127" s="53">
        <f>ROUND(IF(AQ127="7",BH127,0),2)</f>
        <v>0</v>
      </c>
      <c r="AE127" s="53">
        <f>ROUND(IF(AQ127="7",BI127,0),2)</f>
        <v>0</v>
      </c>
      <c r="AF127" s="53">
        <f>ROUND(IF(AQ127="2",BH127,0),2)</f>
        <v>0</v>
      </c>
      <c r="AG127" s="53">
        <f>ROUND(IF(AQ127="2",BI127,0),2)</f>
        <v>0</v>
      </c>
      <c r="AH127" s="53">
        <f>ROUND(IF(AQ127="0",BJ127,0),2)</f>
        <v>0</v>
      </c>
      <c r="AI127" s="34" t="s">
        <v>4</v>
      </c>
      <c r="AJ127" s="53">
        <f>IF(AN127=0,H127,0)</f>
        <v>0</v>
      </c>
      <c r="AK127" s="53">
        <f>IF(AN127=12,H127,0)</f>
        <v>0</v>
      </c>
      <c r="AL127" s="53">
        <f>IF(AN127=21,H127,0)</f>
        <v>0</v>
      </c>
      <c r="AN127" s="53">
        <v>21</v>
      </c>
      <c r="AO127" s="53">
        <f>G127*0</f>
        <v>0</v>
      </c>
      <c r="AP127" s="53">
        <f>G127*(1-0)</f>
        <v>0</v>
      </c>
      <c r="AQ127" s="55" t="s">
        <v>142</v>
      </c>
      <c r="AV127" s="53">
        <f>ROUND(AW127+AX127,2)</f>
        <v>0</v>
      </c>
      <c r="AW127" s="53">
        <f>ROUND(F127*AO127,2)</f>
        <v>0</v>
      </c>
      <c r="AX127" s="53">
        <f>ROUND(F127*AP127,2)</f>
        <v>0</v>
      </c>
      <c r="AY127" s="55" t="s">
        <v>313</v>
      </c>
      <c r="AZ127" s="55" t="s">
        <v>272</v>
      </c>
      <c r="BA127" s="34" t="s">
        <v>116</v>
      </c>
      <c r="BC127" s="53">
        <f>AW127+AX127</f>
        <v>0</v>
      </c>
      <c r="BD127" s="53">
        <f>G127/(100-BE127)*100</f>
        <v>0</v>
      </c>
      <c r="BE127" s="53">
        <v>0</v>
      </c>
      <c r="BF127" s="53">
        <f>127</f>
        <v>127</v>
      </c>
      <c r="BH127" s="53">
        <f>F127*AO127</f>
        <v>0</v>
      </c>
      <c r="BI127" s="53">
        <f>F127*AP127</f>
        <v>0</v>
      </c>
      <c r="BJ127" s="53">
        <f>F127*G127</f>
        <v>0</v>
      </c>
      <c r="BK127" s="53"/>
      <c r="BL127" s="53"/>
      <c r="BW127" s="53">
        <v>21</v>
      </c>
      <c r="BX127" s="3" t="s">
        <v>329</v>
      </c>
    </row>
    <row r="128" spans="1:76" x14ac:dyDescent="0.25">
      <c r="A128" s="56"/>
      <c r="C128" s="57" t="s">
        <v>318</v>
      </c>
      <c r="D128" s="57" t="s">
        <v>4</v>
      </c>
      <c r="F128" s="58">
        <v>5.99</v>
      </c>
      <c r="J128" s="48"/>
    </row>
    <row r="129" spans="1:76" x14ac:dyDescent="0.25">
      <c r="A129" s="1" t="s">
        <v>330</v>
      </c>
      <c r="B129" s="2" t="s">
        <v>331</v>
      </c>
      <c r="C129" s="70" t="s">
        <v>332</v>
      </c>
      <c r="D129" s="71"/>
      <c r="E129" s="2" t="s">
        <v>158</v>
      </c>
      <c r="F129" s="53">
        <v>1.52</v>
      </c>
      <c r="G129" s="54">
        <v>0</v>
      </c>
      <c r="H129" s="53">
        <f>ROUND(F129*G129,2)</f>
        <v>0</v>
      </c>
      <c r="I129" s="55" t="s">
        <v>123</v>
      </c>
      <c r="J129" s="48"/>
      <c r="Z129" s="53">
        <f>ROUND(IF(AQ129="5",BJ129,0),2)</f>
        <v>0</v>
      </c>
      <c r="AB129" s="53">
        <f>ROUND(IF(AQ129="1",BH129,0),2)</f>
        <v>0</v>
      </c>
      <c r="AC129" s="53">
        <f>ROUND(IF(AQ129="1",BI129,0),2)</f>
        <v>0</v>
      </c>
      <c r="AD129" s="53">
        <f>ROUND(IF(AQ129="7",BH129,0),2)</f>
        <v>0</v>
      </c>
      <c r="AE129" s="53">
        <f>ROUND(IF(AQ129="7",BI129,0),2)</f>
        <v>0</v>
      </c>
      <c r="AF129" s="53">
        <f>ROUND(IF(AQ129="2",BH129,0),2)</f>
        <v>0</v>
      </c>
      <c r="AG129" s="53">
        <f>ROUND(IF(AQ129="2",BI129,0),2)</f>
        <v>0</v>
      </c>
      <c r="AH129" s="53">
        <f>ROUND(IF(AQ129="0",BJ129,0),2)</f>
        <v>0</v>
      </c>
      <c r="AI129" s="34" t="s">
        <v>4</v>
      </c>
      <c r="AJ129" s="53">
        <f>IF(AN129=0,H129,0)</f>
        <v>0</v>
      </c>
      <c r="AK129" s="53">
        <f>IF(AN129=12,H129,0)</f>
        <v>0</v>
      </c>
      <c r="AL129" s="53">
        <f>IF(AN129=21,H129,0)</f>
        <v>0</v>
      </c>
      <c r="AN129" s="53">
        <v>21</v>
      </c>
      <c r="AO129" s="53">
        <f>G129*0</f>
        <v>0</v>
      </c>
      <c r="AP129" s="53">
        <f>G129*(1-0)</f>
        <v>0</v>
      </c>
      <c r="AQ129" s="55" t="s">
        <v>142</v>
      </c>
      <c r="AV129" s="53">
        <f>ROUND(AW129+AX129,2)</f>
        <v>0</v>
      </c>
      <c r="AW129" s="53">
        <f>ROUND(F129*AO129,2)</f>
        <v>0</v>
      </c>
      <c r="AX129" s="53">
        <f>ROUND(F129*AP129,2)</f>
        <v>0</v>
      </c>
      <c r="AY129" s="55" t="s">
        <v>313</v>
      </c>
      <c r="AZ129" s="55" t="s">
        <v>272</v>
      </c>
      <c r="BA129" s="34" t="s">
        <v>116</v>
      </c>
      <c r="BC129" s="53">
        <f>AW129+AX129</f>
        <v>0</v>
      </c>
      <c r="BD129" s="53">
        <f>G129/(100-BE129)*100</f>
        <v>0</v>
      </c>
      <c r="BE129" s="53">
        <v>0</v>
      </c>
      <c r="BF129" s="53">
        <f>129</f>
        <v>129</v>
      </c>
      <c r="BH129" s="53">
        <f>F129*AO129</f>
        <v>0</v>
      </c>
      <c r="BI129" s="53">
        <f>F129*AP129</f>
        <v>0</v>
      </c>
      <c r="BJ129" s="53">
        <f>F129*G129</f>
        <v>0</v>
      </c>
      <c r="BK129" s="53"/>
      <c r="BL129" s="53"/>
      <c r="BW129" s="53">
        <v>21</v>
      </c>
      <c r="BX129" s="3" t="s">
        <v>332</v>
      </c>
    </row>
    <row r="130" spans="1:76" x14ac:dyDescent="0.25">
      <c r="A130" s="1" t="s">
        <v>333</v>
      </c>
      <c r="B130" s="2" t="s">
        <v>334</v>
      </c>
      <c r="C130" s="70" t="s">
        <v>335</v>
      </c>
      <c r="D130" s="71"/>
      <c r="E130" s="2" t="s">
        <v>158</v>
      </c>
      <c r="F130" s="53">
        <v>4.2839999999999998</v>
      </c>
      <c r="G130" s="54">
        <v>0</v>
      </c>
      <c r="H130" s="53">
        <f>ROUND(F130*G130,2)</f>
        <v>0</v>
      </c>
      <c r="I130" s="55" t="s">
        <v>123</v>
      </c>
      <c r="J130" s="48"/>
      <c r="Z130" s="53">
        <f>ROUND(IF(AQ130="5",BJ130,0),2)</f>
        <v>0</v>
      </c>
      <c r="AB130" s="53">
        <f>ROUND(IF(AQ130="1",BH130,0),2)</f>
        <v>0</v>
      </c>
      <c r="AC130" s="53">
        <f>ROUND(IF(AQ130="1",BI130,0),2)</f>
        <v>0</v>
      </c>
      <c r="AD130" s="53">
        <f>ROUND(IF(AQ130="7",BH130,0),2)</f>
        <v>0</v>
      </c>
      <c r="AE130" s="53">
        <f>ROUND(IF(AQ130="7",BI130,0),2)</f>
        <v>0</v>
      </c>
      <c r="AF130" s="53">
        <f>ROUND(IF(AQ130="2",BH130,0),2)</f>
        <v>0</v>
      </c>
      <c r="AG130" s="53">
        <f>ROUND(IF(AQ130="2",BI130,0),2)</f>
        <v>0</v>
      </c>
      <c r="AH130" s="53">
        <f>ROUND(IF(AQ130="0",BJ130,0),2)</f>
        <v>0</v>
      </c>
      <c r="AI130" s="34" t="s">
        <v>4</v>
      </c>
      <c r="AJ130" s="53">
        <f>IF(AN130=0,H130,0)</f>
        <v>0</v>
      </c>
      <c r="AK130" s="53">
        <f>IF(AN130=12,H130,0)</f>
        <v>0</v>
      </c>
      <c r="AL130" s="53">
        <f>IF(AN130=21,H130,0)</f>
        <v>0</v>
      </c>
      <c r="AN130" s="53">
        <v>21</v>
      </c>
      <c r="AO130" s="53">
        <f>G130*0</f>
        <v>0</v>
      </c>
      <c r="AP130" s="53">
        <f>G130*(1-0)</f>
        <v>0</v>
      </c>
      <c r="AQ130" s="55" t="s">
        <v>142</v>
      </c>
      <c r="AV130" s="53">
        <f>ROUND(AW130+AX130,2)</f>
        <v>0</v>
      </c>
      <c r="AW130" s="53">
        <f>ROUND(F130*AO130,2)</f>
        <v>0</v>
      </c>
      <c r="AX130" s="53">
        <f>ROUND(F130*AP130,2)</f>
        <v>0</v>
      </c>
      <c r="AY130" s="55" t="s">
        <v>313</v>
      </c>
      <c r="AZ130" s="55" t="s">
        <v>272</v>
      </c>
      <c r="BA130" s="34" t="s">
        <v>116</v>
      </c>
      <c r="BC130" s="53">
        <f>AW130+AX130</f>
        <v>0</v>
      </c>
      <c r="BD130" s="53">
        <f>G130/(100-BE130)*100</f>
        <v>0</v>
      </c>
      <c r="BE130" s="53">
        <v>0</v>
      </c>
      <c r="BF130" s="53">
        <f>130</f>
        <v>130</v>
      </c>
      <c r="BH130" s="53">
        <f>F130*AO130</f>
        <v>0</v>
      </c>
      <c r="BI130" s="53">
        <f>F130*AP130</f>
        <v>0</v>
      </c>
      <c r="BJ130" s="53">
        <f>F130*G130</f>
        <v>0</v>
      </c>
      <c r="BK130" s="53"/>
      <c r="BL130" s="53"/>
      <c r="BW130" s="53">
        <v>21</v>
      </c>
      <c r="BX130" s="3" t="s">
        <v>335</v>
      </c>
    </row>
    <row r="131" spans="1:76" x14ac:dyDescent="0.25">
      <c r="A131" s="1" t="s">
        <v>336</v>
      </c>
      <c r="B131" s="2" t="s">
        <v>337</v>
      </c>
      <c r="C131" s="70" t="s">
        <v>338</v>
      </c>
      <c r="D131" s="71"/>
      <c r="E131" s="2" t="s">
        <v>158</v>
      </c>
      <c r="F131" s="53">
        <v>0.19342000000000001</v>
      </c>
      <c r="G131" s="54">
        <v>0</v>
      </c>
      <c r="H131" s="53">
        <f>ROUND(F131*G131,2)</f>
        <v>0</v>
      </c>
      <c r="I131" s="55" t="s">
        <v>123</v>
      </c>
      <c r="J131" s="48"/>
      <c r="Z131" s="53">
        <f>ROUND(IF(AQ131="5",BJ131,0),2)</f>
        <v>0</v>
      </c>
      <c r="AB131" s="53">
        <f>ROUND(IF(AQ131="1",BH131,0),2)</f>
        <v>0</v>
      </c>
      <c r="AC131" s="53">
        <f>ROUND(IF(AQ131="1",BI131,0),2)</f>
        <v>0</v>
      </c>
      <c r="AD131" s="53">
        <f>ROUND(IF(AQ131="7",BH131,0),2)</f>
        <v>0</v>
      </c>
      <c r="AE131" s="53">
        <f>ROUND(IF(AQ131="7",BI131,0),2)</f>
        <v>0</v>
      </c>
      <c r="AF131" s="53">
        <f>ROUND(IF(AQ131="2",BH131,0),2)</f>
        <v>0</v>
      </c>
      <c r="AG131" s="53">
        <f>ROUND(IF(AQ131="2",BI131,0),2)</f>
        <v>0</v>
      </c>
      <c r="AH131" s="53">
        <f>ROUND(IF(AQ131="0",BJ131,0),2)</f>
        <v>0</v>
      </c>
      <c r="AI131" s="34" t="s">
        <v>4</v>
      </c>
      <c r="AJ131" s="53">
        <f>IF(AN131=0,H131,0)</f>
        <v>0</v>
      </c>
      <c r="AK131" s="53">
        <f>IF(AN131=12,H131,0)</f>
        <v>0</v>
      </c>
      <c r="AL131" s="53">
        <f>IF(AN131=21,H131,0)</f>
        <v>0</v>
      </c>
      <c r="AN131" s="53">
        <v>21</v>
      </c>
      <c r="AO131" s="53">
        <f>G131*0</f>
        <v>0</v>
      </c>
      <c r="AP131" s="53">
        <f>G131*(1-0)</f>
        <v>0</v>
      </c>
      <c r="AQ131" s="55" t="s">
        <v>142</v>
      </c>
      <c r="AV131" s="53">
        <f>ROUND(AW131+AX131,2)</f>
        <v>0</v>
      </c>
      <c r="AW131" s="53">
        <f>ROUND(F131*AO131,2)</f>
        <v>0</v>
      </c>
      <c r="AX131" s="53">
        <f>ROUND(F131*AP131,2)</f>
        <v>0</v>
      </c>
      <c r="AY131" s="55" t="s">
        <v>313</v>
      </c>
      <c r="AZ131" s="55" t="s">
        <v>272</v>
      </c>
      <c r="BA131" s="34" t="s">
        <v>116</v>
      </c>
      <c r="BC131" s="53">
        <f>AW131+AX131</f>
        <v>0</v>
      </c>
      <c r="BD131" s="53">
        <f>G131/(100-BE131)*100</f>
        <v>0</v>
      </c>
      <c r="BE131" s="53">
        <v>0</v>
      </c>
      <c r="BF131" s="53">
        <f>131</f>
        <v>131</v>
      </c>
      <c r="BH131" s="53">
        <f>F131*AO131</f>
        <v>0</v>
      </c>
      <c r="BI131" s="53">
        <f>F131*AP131</f>
        <v>0</v>
      </c>
      <c r="BJ131" s="53">
        <f>F131*G131</f>
        <v>0</v>
      </c>
      <c r="BK131" s="53"/>
      <c r="BL131" s="53"/>
      <c r="BW131" s="53">
        <v>21</v>
      </c>
      <c r="BX131" s="3" t="s">
        <v>338</v>
      </c>
    </row>
    <row r="132" spans="1:76" x14ac:dyDescent="0.25">
      <c r="A132" s="49" t="s">
        <v>4</v>
      </c>
      <c r="B132" s="50" t="s">
        <v>339</v>
      </c>
      <c r="C132" s="141" t="s">
        <v>33</v>
      </c>
      <c r="D132" s="142"/>
      <c r="E132" s="51" t="s">
        <v>73</v>
      </c>
      <c r="F132" s="51" t="s">
        <v>73</v>
      </c>
      <c r="G132" s="52" t="s">
        <v>73</v>
      </c>
      <c r="H132" s="26">
        <f>SUM(H133:H133)</f>
        <v>0</v>
      </c>
      <c r="I132" s="34" t="s">
        <v>4</v>
      </c>
      <c r="J132" s="48"/>
      <c r="AI132" s="34" t="s">
        <v>4</v>
      </c>
      <c r="AS132" s="26">
        <f>SUM(AJ133:AJ133)</f>
        <v>0</v>
      </c>
      <c r="AT132" s="26">
        <f>SUM(AK133:AK133)</f>
        <v>0</v>
      </c>
      <c r="AU132" s="26">
        <f>SUM(AL133:AL133)</f>
        <v>0</v>
      </c>
    </row>
    <row r="133" spans="1:76" x14ac:dyDescent="0.25">
      <c r="A133" s="1" t="s">
        <v>340</v>
      </c>
      <c r="B133" s="2" t="s">
        <v>341</v>
      </c>
      <c r="C133" s="70" t="s">
        <v>342</v>
      </c>
      <c r="D133" s="71"/>
      <c r="E133" s="2" t="s">
        <v>218</v>
      </c>
      <c r="F133" s="53">
        <v>1</v>
      </c>
      <c r="G133" s="54">
        <v>0</v>
      </c>
      <c r="H133" s="53">
        <f>ROUND(F133*G133,2)</f>
        <v>0</v>
      </c>
      <c r="I133" s="55" t="s">
        <v>113</v>
      </c>
      <c r="J133" s="48"/>
      <c r="Z133" s="53">
        <f>ROUND(IF(AQ133="5",BJ133,0),2)</f>
        <v>0</v>
      </c>
      <c r="AB133" s="53">
        <f>ROUND(IF(AQ133="1",BH133,0),2)</f>
        <v>0</v>
      </c>
      <c r="AC133" s="53">
        <f>ROUND(IF(AQ133="1",BI133,0),2)</f>
        <v>0</v>
      </c>
      <c r="AD133" s="53">
        <f>ROUND(IF(AQ133="7",BH133,0),2)</f>
        <v>0</v>
      </c>
      <c r="AE133" s="53">
        <f>ROUND(IF(AQ133="7",BI133,0),2)</f>
        <v>0</v>
      </c>
      <c r="AF133" s="53">
        <f>ROUND(IF(AQ133="2",BH133,0),2)</f>
        <v>0</v>
      </c>
      <c r="AG133" s="53">
        <f>ROUND(IF(AQ133="2",BI133,0),2)</f>
        <v>0</v>
      </c>
      <c r="AH133" s="53">
        <f>ROUND(IF(AQ133="0",BJ133,0),2)</f>
        <v>0</v>
      </c>
      <c r="AI133" s="34" t="s">
        <v>4</v>
      </c>
      <c r="AJ133" s="53">
        <f>IF(AN133=0,H133,0)</f>
        <v>0</v>
      </c>
      <c r="AK133" s="53">
        <f>IF(AN133=12,H133,0)</f>
        <v>0</v>
      </c>
      <c r="AL133" s="53">
        <f>IF(AN133=21,H133,0)</f>
        <v>0</v>
      </c>
      <c r="AN133" s="53">
        <v>21</v>
      </c>
      <c r="AO133" s="53">
        <f>G133*1</f>
        <v>0</v>
      </c>
      <c r="AP133" s="53">
        <f>G133*(1-1)</f>
        <v>0</v>
      </c>
      <c r="AQ133" s="55" t="s">
        <v>343</v>
      </c>
      <c r="AV133" s="53">
        <f>ROUND(AW133+AX133,2)</f>
        <v>0</v>
      </c>
      <c r="AW133" s="53">
        <f>ROUND(F133*AO133,2)</f>
        <v>0</v>
      </c>
      <c r="AX133" s="53">
        <f>ROUND(F133*AP133,2)</f>
        <v>0</v>
      </c>
      <c r="AY133" s="55" t="s">
        <v>344</v>
      </c>
      <c r="AZ133" s="55" t="s">
        <v>345</v>
      </c>
      <c r="BA133" s="34" t="s">
        <v>116</v>
      </c>
      <c r="BC133" s="53">
        <f>AW133+AX133</f>
        <v>0</v>
      </c>
      <c r="BD133" s="53">
        <f>G133/(100-BE133)*100</f>
        <v>0</v>
      </c>
      <c r="BE133" s="53">
        <v>0</v>
      </c>
      <c r="BF133" s="53">
        <f>133</f>
        <v>133</v>
      </c>
      <c r="BH133" s="53">
        <f>F133*AO133</f>
        <v>0</v>
      </c>
      <c r="BI133" s="53">
        <f>F133*AP133</f>
        <v>0</v>
      </c>
      <c r="BJ133" s="53">
        <f>F133*G133</f>
        <v>0</v>
      </c>
      <c r="BK133" s="53"/>
      <c r="BL133" s="53"/>
      <c r="BW133" s="53">
        <v>21</v>
      </c>
      <c r="BX133" s="3" t="s">
        <v>342</v>
      </c>
    </row>
    <row r="134" spans="1:76" x14ac:dyDescent="0.25">
      <c r="A134" s="60"/>
      <c r="B134" s="61"/>
      <c r="C134" s="62" t="s">
        <v>109</v>
      </c>
      <c r="D134" s="62" t="s">
        <v>4</v>
      </c>
      <c r="E134" s="61"/>
      <c r="F134" s="63">
        <v>1</v>
      </c>
      <c r="G134" s="64"/>
      <c r="H134" s="61"/>
      <c r="I134" s="61"/>
      <c r="J134" s="65"/>
    </row>
    <row r="135" spans="1:76" x14ac:dyDescent="0.25">
      <c r="H135" s="66">
        <f>ROUND(H13+H16+H22+H38+H55+H62+H94+H114+H116+H132,2)</f>
        <v>0</v>
      </c>
    </row>
    <row r="136" spans="1:76" x14ac:dyDescent="0.25">
      <c r="A136" s="67" t="s">
        <v>53</v>
      </c>
    </row>
    <row r="137" spans="1:76" ht="12.75" customHeight="1" x14ac:dyDescent="0.25">
      <c r="A137" s="70" t="s">
        <v>4</v>
      </c>
      <c r="B137" s="71"/>
      <c r="C137" s="71"/>
      <c r="D137" s="71"/>
      <c r="E137" s="71"/>
      <c r="F137" s="71"/>
      <c r="G137" s="71"/>
      <c r="H137" s="71"/>
      <c r="I137" s="71"/>
      <c r="J137" s="71"/>
    </row>
  </sheetData>
  <sheetProtection password="E93C" sheet="1"/>
  <mergeCells count="103">
    <mergeCell ref="A1:J1"/>
    <mergeCell ref="A2:B3"/>
    <mergeCell ref="A4:B5"/>
    <mergeCell ref="A6:B7"/>
    <mergeCell ref="A8:B9"/>
    <mergeCell ref="E2:F3"/>
    <mergeCell ref="E4:F5"/>
    <mergeCell ref="E6:F7"/>
    <mergeCell ref="E8:F9"/>
    <mergeCell ref="H2:H3"/>
    <mergeCell ref="H4:H5"/>
    <mergeCell ref="H6:H7"/>
    <mergeCell ref="H8:H9"/>
    <mergeCell ref="C2:D3"/>
    <mergeCell ref="C4:D5"/>
    <mergeCell ref="C6:D7"/>
    <mergeCell ref="C11:D11"/>
    <mergeCell ref="C12:D12"/>
    <mergeCell ref="C13:D13"/>
    <mergeCell ref="C14:D14"/>
    <mergeCell ref="C16:D16"/>
    <mergeCell ref="I2:J3"/>
    <mergeCell ref="I4:J5"/>
    <mergeCell ref="I6:J7"/>
    <mergeCell ref="I8:J9"/>
    <mergeCell ref="C10:D10"/>
    <mergeCell ref="C8:D9"/>
    <mergeCell ref="G2:G3"/>
    <mergeCell ref="G4:G5"/>
    <mergeCell ref="G6:G7"/>
    <mergeCell ref="G8:G9"/>
    <mergeCell ref="C24:J24"/>
    <mergeCell ref="C26:D26"/>
    <mergeCell ref="C27:J27"/>
    <mergeCell ref="C29:D29"/>
    <mergeCell ref="C30:J30"/>
    <mergeCell ref="C17:D17"/>
    <mergeCell ref="C18:J18"/>
    <mergeCell ref="C20:D20"/>
    <mergeCell ref="C22:D22"/>
    <mergeCell ref="C23:D23"/>
    <mergeCell ref="C39:D39"/>
    <mergeCell ref="C42:D42"/>
    <mergeCell ref="C44:D44"/>
    <mergeCell ref="C45:J45"/>
    <mergeCell ref="C47:D47"/>
    <mergeCell ref="C32:D32"/>
    <mergeCell ref="C33:J33"/>
    <mergeCell ref="C35:D35"/>
    <mergeCell ref="C37:D37"/>
    <mergeCell ref="C38:D38"/>
    <mergeCell ref="C56:D56"/>
    <mergeCell ref="C59:D59"/>
    <mergeCell ref="C61:D61"/>
    <mergeCell ref="C62:D62"/>
    <mergeCell ref="C63:D63"/>
    <mergeCell ref="C48:J48"/>
    <mergeCell ref="C50:D50"/>
    <mergeCell ref="C51:J51"/>
    <mergeCell ref="C53:D53"/>
    <mergeCell ref="C55:D55"/>
    <mergeCell ref="C75:D75"/>
    <mergeCell ref="C77:D77"/>
    <mergeCell ref="C79:D79"/>
    <mergeCell ref="C81:D81"/>
    <mergeCell ref="C83:D83"/>
    <mergeCell ref="C65:D65"/>
    <mergeCell ref="C67:D67"/>
    <mergeCell ref="C69:D69"/>
    <mergeCell ref="C71:D71"/>
    <mergeCell ref="C73:D73"/>
    <mergeCell ref="C94:D94"/>
    <mergeCell ref="C95:D95"/>
    <mergeCell ref="C97:D97"/>
    <mergeCell ref="C99:D99"/>
    <mergeCell ref="C101:D101"/>
    <mergeCell ref="C85:D85"/>
    <mergeCell ref="C87:D87"/>
    <mergeCell ref="C88:J88"/>
    <mergeCell ref="C91:D91"/>
    <mergeCell ref="C93:D93"/>
    <mergeCell ref="C112:J112"/>
    <mergeCell ref="C114:D114"/>
    <mergeCell ref="C115:D115"/>
    <mergeCell ref="C116:D116"/>
    <mergeCell ref="C117:D117"/>
    <mergeCell ref="C103:D103"/>
    <mergeCell ref="C105:D105"/>
    <mergeCell ref="C107:D107"/>
    <mergeCell ref="C109:D109"/>
    <mergeCell ref="C111:D111"/>
    <mergeCell ref="C133:D133"/>
    <mergeCell ref="A137:J137"/>
    <mergeCell ref="C127:D127"/>
    <mergeCell ref="C129:D129"/>
    <mergeCell ref="C130:D130"/>
    <mergeCell ref="C131:D131"/>
    <mergeCell ref="C132:D132"/>
    <mergeCell ref="C119:D119"/>
    <mergeCell ref="C121:D121"/>
    <mergeCell ref="C122:J122"/>
    <mergeCell ref="C124:D124"/>
    <mergeCell ref="C125:J125"/>
  </mergeCells>
  <pageMargins left="0.393999993801117" right="0.393999993801117" top="0.59100002050399802" bottom="0.59100002050399802" header="0" footer="0"/>
  <pageSetup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Krycí list rozpočtu</vt:lpstr>
      <vt:lpstr>VORN</vt:lpstr>
      <vt:lpstr>Stavební rozpočet</vt:lpstr>
      <vt:lpstr>vorn_sum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Jiří Bárta</cp:lastModifiedBy>
  <dcterms:created xsi:type="dcterms:W3CDTF">2021-06-10T20:06:38Z</dcterms:created>
  <dcterms:modified xsi:type="dcterms:W3CDTF">2025-05-19T11:09:49Z</dcterms:modified>
</cp:coreProperties>
</file>