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975" activeTab="0"/>
  </bookViews>
  <sheets>
    <sheet name="Krycí list" sheetId="1" r:id="rId1"/>
    <sheet name="Rozpočet" sheetId="2" r:id="rId2"/>
  </sheets>
  <externalReferences>
    <externalReference r:id="rId5"/>
  </externalReferences>
  <definedNames>
    <definedName name="_xlfn.BAHTTEXT" hidden="1">#NAME?</definedName>
    <definedName name="Dodavka">'[1]Rekapitulace'!$G$19</definedName>
    <definedName name="HSV">'[1]Rekapitulace'!$E$19</definedName>
    <definedName name="HZS">'[1]Rekapitulace'!$I$19</definedName>
    <definedName name="Mont">'[1]Rekapitulace'!$H$19</definedName>
    <definedName name="_xlnm.Print_Area" localSheetId="1">'Rozpočet'!$A:$F</definedName>
    <definedName name="PocetMJ">'Krycí list'!$G$6</definedName>
    <definedName name="PSV">'[1]Rekapitulace'!$F$19</definedName>
    <definedName name="VRN">'[1]Rekapitulace'!$H$25</definedName>
  </definedNames>
  <calcPr fullCalcOnLoad="1"/>
</workbook>
</file>

<file path=xl/sharedStrings.xml><?xml version="1.0" encoding="utf-8"?>
<sst xmlns="http://schemas.openxmlformats.org/spreadsheetml/2006/main" count="304" uniqueCount="183">
  <si>
    <t>Č.</t>
  </si>
  <si>
    <t>POPIS</t>
  </si>
  <si>
    <t>OBJEM</t>
  </si>
  <si>
    <t>MJ</t>
  </si>
  <si>
    <t>JC</t>
  </si>
  <si>
    <t>CELKEM</t>
  </si>
  <si>
    <t>m</t>
  </si>
  <si>
    <t>DPH</t>
  </si>
  <si>
    <t>POZNÁMKA</t>
  </si>
  <si>
    <t>t</t>
  </si>
  <si>
    <t>ks</t>
  </si>
  <si>
    <t>Ostatní</t>
  </si>
  <si>
    <t>KRYCÍ LIST ROZPOČTU</t>
  </si>
  <si>
    <t>Objekt :</t>
  </si>
  <si>
    <t>Název objektu :</t>
  </si>
  <si>
    <t>Stavba :</t>
  </si>
  <si>
    <t>Název stavby :</t>
  </si>
  <si>
    <t>Základ pro DPH</t>
  </si>
  <si>
    <t>%  činí :</t>
  </si>
  <si>
    <t>Poznámka :</t>
  </si>
  <si>
    <t>REKAPITULACE</t>
  </si>
  <si>
    <t>Město Česká Lípa</t>
  </si>
  <si>
    <t>Náměstí T. G. Masaryka 1</t>
  </si>
  <si>
    <t>470 36 Česká Lípa</t>
  </si>
  <si>
    <t xml:space="preserve">DIČ: </t>
  </si>
  <si>
    <t xml:space="preserve">IČ: </t>
  </si>
  <si>
    <t>CENA CELKEM</t>
  </si>
  <si>
    <t>Objekt:</t>
  </si>
  <si>
    <t>Stavba:</t>
  </si>
  <si>
    <t>Objednatel:</t>
  </si>
  <si>
    <t>Zhotovitel:</t>
  </si>
  <si>
    <t>IČ:</t>
  </si>
  <si>
    <t>DIČ:</t>
  </si>
  <si>
    <t>CZ00260428</t>
  </si>
  <si>
    <t>Bourací práce</t>
  </si>
  <si>
    <t>Odvoz vybouraných hmot na skládku a k likvidaci</t>
  </si>
  <si>
    <t>Poplatek za skládku - stavební suť</t>
  </si>
  <si>
    <t>Poplatek za skládku - tepelné izolace</t>
  </si>
  <si>
    <t>Přesun hmot pro bourané konstrukce nošením v objektu</t>
  </si>
  <si>
    <t>trubky</t>
  </si>
  <si>
    <t>izolace</t>
  </si>
  <si>
    <t>zeď</t>
  </si>
  <si>
    <t>Přesun hmot v objektech do 4 podlaží nošením</t>
  </si>
  <si>
    <t>Doprava hmot na stavbu</t>
  </si>
  <si>
    <t>kpl</t>
  </si>
  <si>
    <t>m2</t>
  </si>
  <si>
    <t>protipožárním pěna s třídou hořlavosti nejvýše C1</t>
  </si>
  <si>
    <t xml:space="preserve"> - zapravení viditelných prostupů;
 - součástí je návleková izolace tl. min. 9 mm a zapravení prostupu maltou cementovou s povrchovou úpravou štukem.</t>
  </si>
  <si>
    <t>Zednické začištění průrazů (včetně materiálu)</t>
  </si>
  <si>
    <t>VPN</t>
  </si>
  <si>
    <t xml:space="preserve"> - vedlejší a přidružené náklady, vyčíslené procentuálně z ceny díla</t>
  </si>
  <si>
    <t>%</t>
  </si>
  <si>
    <t>Napuštění systému a zkouška těsnosti</t>
  </si>
  <si>
    <t xml:space="preserve"> - napuštění systému, zkouška těsnosti a tlaková zkouška, včetně vypracování protokolů</t>
  </si>
  <si>
    <t>Proplach a vyčištění systému</t>
  </si>
  <si>
    <t>l</t>
  </si>
  <si>
    <r>
      <t xml:space="preserve">Demontáž potrubí ocelového </t>
    </r>
    <r>
      <rPr>
        <sz val="10.5"/>
        <color indexed="8"/>
        <rFont val="Symbol"/>
        <family val="1"/>
      </rPr>
      <t>Æ</t>
    </r>
    <r>
      <rPr>
        <sz val="10.5"/>
        <color indexed="8"/>
        <rFont val="Calibri"/>
        <family val="2"/>
      </rPr>
      <t xml:space="preserve"> do 50 mm včetně izolace</t>
    </r>
  </si>
  <si>
    <t>Projektová dokumentace skutečného provedení</t>
  </si>
  <si>
    <t xml:space="preserve"> - zpracování dokumentace skutečného provedení stavby 1 x papírově, 1 x elektronicky (formát *.pdf a *.dwg), viz SoD</t>
  </si>
  <si>
    <r>
      <t xml:space="preserve">výpustný kohout </t>
    </r>
    <r>
      <rPr>
        <sz val="10.5"/>
        <color indexed="30"/>
        <rFont val="Calibri"/>
        <family val="2"/>
      </rPr>
      <t>DN 15</t>
    </r>
  </si>
  <si>
    <t>m3</t>
  </si>
  <si>
    <t>Montážní práce - vodoinstalace</t>
  </si>
  <si>
    <t>Montáž potrubí vč. materiálu PPR 40</t>
  </si>
  <si>
    <t>termoizolační trubice  návleková pro potrubí 40, tl. 13 mm</t>
  </si>
  <si>
    <t>termoizolační trubice  návleková pro potrubí 32, tl. 13 mm</t>
  </si>
  <si>
    <t>termoizolační trubice  návleková pro potrubí 25, tl. 13 mm</t>
  </si>
  <si>
    <t>potrubí PPR 40 PN 20</t>
  </si>
  <si>
    <t>Dezinfekce systému</t>
  </si>
  <si>
    <t xml:space="preserve"> - provedení dezinfekce vodoinstalace</t>
  </si>
  <si>
    <t>Utěsnění prostupů protipožární montážní pěnou</t>
  </si>
  <si>
    <t xml:space="preserve">obkladačky keramické </t>
  </si>
  <si>
    <t>Malby stěn směsí hlinkovou bílou do výšky 3,8m - 3 vrstvy</t>
  </si>
  <si>
    <t>Dokončovací práce</t>
  </si>
  <si>
    <t>100*1,1</t>
  </si>
  <si>
    <t>10*1,1</t>
  </si>
  <si>
    <t>140*1,1</t>
  </si>
  <si>
    <t>270*1,1</t>
  </si>
  <si>
    <t>110*1,1</t>
  </si>
  <si>
    <t>kulový kohout mosazný DN 32</t>
  </si>
  <si>
    <t>kulový kohout mosazný DN 25</t>
  </si>
  <si>
    <t>kulový kohout mosazný DN 20</t>
  </si>
  <si>
    <t>kulový kohout mosazný DN 15</t>
  </si>
  <si>
    <t>baterie umyvadlová směšovací nástěnná rozteč 150 mm</t>
  </si>
  <si>
    <t>kulový ventil rohový 1/2" x 3/8" s filtrem</t>
  </si>
  <si>
    <t>hadička propojovací 3/8" pro napojení splachovače</t>
  </si>
  <si>
    <t>termoizolační trubice  návleková pro potrubí 20, tl. 13 mm</t>
  </si>
  <si>
    <t xml:space="preserve"> - uchycení je počítáno a' 0,8 m</t>
  </si>
  <si>
    <t>(5+97)/0,8</t>
  </si>
  <si>
    <t>materiál pro napojení umyvadla na kanalizaci</t>
  </si>
  <si>
    <t xml:space="preserve"> - proplach a vyčištění systému od nečistot</t>
  </si>
  <si>
    <t>Montážní práce - elektroinstalace</t>
  </si>
  <si>
    <t>Montáž kabelu vč. montážního materiálu</t>
  </si>
  <si>
    <t>lišta vkládací 10x10 mm</t>
  </si>
  <si>
    <t>Elektrorevize</t>
  </si>
  <si>
    <t xml:space="preserve"> - provedení elektrorevize na novou elekttroinstalaci</t>
  </si>
  <si>
    <t>Zednické zapravení rýhy (včetně materiálu)</t>
  </si>
  <si>
    <t xml:space="preserve"> - zapravení rýh po provedených podomítkových instalacích;
 - součástí je zapravení rýh maltou cementovou s povrchovou úpravou štukem.</t>
  </si>
  <si>
    <t>Keramický obklad stěn montáž včetně dod spárovací hmoty, lišt</t>
  </si>
  <si>
    <t>vyrovnání podkladu pro keramický obklad</t>
  </si>
  <si>
    <t>hydroizolační stěrka pod  keramický obklad vč. bandážní pásky</t>
  </si>
  <si>
    <t>Odstranění obkladu keramického (vč. odříznutí ve spáře)</t>
  </si>
  <si>
    <t>dřevo</t>
  </si>
  <si>
    <t>kov</t>
  </si>
  <si>
    <t>Likvidace kovového odpadu</t>
  </si>
  <si>
    <t>potrubí PPR 32 PN 16</t>
  </si>
  <si>
    <t>Montáž potrubí vč. materiálu PPR 32 (tvarovky, pomocný mat.)</t>
  </si>
  <si>
    <t>potrubí PPR 25 PN 16</t>
  </si>
  <si>
    <t>potrubí PPR 20 PN 16</t>
  </si>
  <si>
    <t>Montáž potrubí vč. materiálu PPR 20 (tvarovky, pomocný mat.)</t>
  </si>
  <si>
    <t>Montáž potrubí vč. materiálu PPR 25 (tvarovky, pomocný mat.)</t>
  </si>
  <si>
    <t>Montáž potrubí vč. materiálu uhlíková ocel DN 50</t>
  </si>
  <si>
    <t>potrubí z uhlíkové oceli DN 50</t>
  </si>
  <si>
    <t>termoizolační trubice  návleková pro potrubí DN 50, tl. 9 mm</t>
  </si>
  <si>
    <t>kulový kohout mosazný DN 40</t>
  </si>
  <si>
    <t>kulový kohout mosazný s vypouštěním DN 40</t>
  </si>
  <si>
    <t>kulový kohout mosazný s vypouštěním DN 32</t>
  </si>
  <si>
    <t>kulový kohout mosazný s vypouštěním DN 25</t>
  </si>
  <si>
    <t>kontrolovatelná zpětná klapka DN 40</t>
  </si>
  <si>
    <t>zpětná klapka DN 40</t>
  </si>
  <si>
    <t>zpětná klapka DN 25</t>
  </si>
  <si>
    <t>pojistný ventil DN 20, 6 bar</t>
  </si>
  <si>
    <t>termostatický směšovací ventil TV - DN 25, 35-65°C</t>
  </si>
  <si>
    <t>Montáž uzavíracích a regulačních armatur závitových vč. dod montážního materiálu a přechodky plast - ocel</t>
  </si>
  <si>
    <t>Montáž vyústních armatur vč. dod montážního materiálu a přechodky plast - ocel</t>
  </si>
  <si>
    <t xml:space="preserve">baterie umyvadlová směšovací nástěnná bezdotyková rozteč 150 mm </t>
  </si>
  <si>
    <t>baterie umyvadlová směšovací nástěnná rozteč 150 mm - ramínko 300 mm</t>
  </si>
  <si>
    <t>baterie vanová směšovací nástěnná rozteč 150 mm - ramínko 300 mm vč. sprchy s hadicí</t>
  </si>
  <si>
    <t>baterie sprchová směšovací nástěnná rozteč 150 mm, vč. sprchové růžice a přívodu k růžici</t>
  </si>
  <si>
    <t>baterie sprchová termostatická nástěnná rozteč 150 mm, vč. sprchové růžice a přívodu k růžici</t>
  </si>
  <si>
    <t xml:space="preserve">kulový ventil zahradní 3/4" </t>
  </si>
  <si>
    <t>baterie umyvadlová směšovací stojánková vč. připoj. hadiček</t>
  </si>
  <si>
    <t>umyvadlo keramické š. 50 cm</t>
  </si>
  <si>
    <t>pračkový ventil rohový 1/2" x 3/4" se zpětnou klapkou</t>
  </si>
  <si>
    <t>33+1</t>
  </si>
  <si>
    <t>Plný plechový žlab lakovaný bílý 400x100</t>
  </si>
  <si>
    <t>Plný plechový žlab lakovaný bílý 500x100</t>
  </si>
  <si>
    <t>Montáž umyvadel a výlevek vč. dodání připojovacího, kotvícího a montážního materiálu</t>
  </si>
  <si>
    <t>Montáž plechových úložných žlabů, vč. dod spojovacího, kotvícího a montážního materiálu</t>
  </si>
  <si>
    <t>Umyvadlo nerezové 470x370x225</t>
  </si>
  <si>
    <t>Výlevka nerezová nástěnná</t>
  </si>
  <si>
    <t>Výlevka</t>
  </si>
  <si>
    <t>sifon pro umyvadlo, výlevku</t>
  </si>
  <si>
    <t>Montáž WC vč. dodání připojovacího, kotvícího a montážního materiálu</t>
  </si>
  <si>
    <t>Dětské WC kombi</t>
  </si>
  <si>
    <t>WC kombi</t>
  </si>
  <si>
    <t>materiál pro napojení WC na kanalizaci</t>
  </si>
  <si>
    <t>Montáž sprchového koutu vč. dodání připojovacího, kotvícího, těsnícího a montážního materiálu</t>
  </si>
  <si>
    <t>Dveře sprchového koutu skleněné otvíravé 90 x 2000</t>
  </si>
  <si>
    <t>Sifon pro sprchovou vaničku</t>
  </si>
  <si>
    <t>Keramická sprchová vanička 80 x 80</t>
  </si>
  <si>
    <t>materiál pro napojení sprchového koutu na kanalizaci</t>
  </si>
  <si>
    <t>0,4+7,5+3,6+9+11,7+5,25+19,5+19,5+1,5+4+6,9+1,26+5,8+1,62+4,35</t>
  </si>
  <si>
    <t>Sekání rýhy pro vodoinstalaci ve zdi cihelné 0,2 x 0,1 m</t>
  </si>
  <si>
    <t>8+2+5+5+6+3+2+2,5+2,5+2,5+5+5</t>
  </si>
  <si>
    <r>
      <t xml:space="preserve">Průraz stěnou tl. do 300 mm do </t>
    </r>
    <r>
      <rPr>
        <sz val="10.5"/>
        <color indexed="8"/>
        <rFont val="Symbol"/>
        <family val="1"/>
      </rPr>
      <t>Æ</t>
    </r>
    <r>
      <rPr>
        <sz val="10.5"/>
        <color indexed="8"/>
        <rFont val="Calibri"/>
        <family val="2"/>
      </rPr>
      <t xml:space="preserve"> 100 mm</t>
    </r>
  </si>
  <si>
    <t>Demontáž el. boileu s odpojením a dmt el. přivodu, vč. likvidace</t>
  </si>
  <si>
    <t>Demontáž umyvadla (výlevky)</t>
  </si>
  <si>
    <t>Demontáž baterie</t>
  </si>
  <si>
    <t>6+4</t>
  </si>
  <si>
    <t>0,0031*42+0,0024*84</t>
  </si>
  <si>
    <t>(0,0031*42+0,0024*84)/0,033</t>
  </si>
  <si>
    <t>0,4*84</t>
  </si>
  <si>
    <t>0,3*48,5</t>
  </si>
  <si>
    <t xml:space="preserve">SDK opláštění tvaru "L" průřez 0,3x0,2 m Dodávka+Montáž </t>
  </si>
  <si>
    <t>opláštěná konstrukce zavěšená pod stropem pro zakrytí potrubí
- jednoduchá SDK deska tl. 12,5mm
- konstrukce ze Zn profilů
- tmelení spojů desek a šroubů</t>
  </si>
  <si>
    <t>0,5*(4+4+5,7+4,7+4+2,3+1,8)</t>
  </si>
  <si>
    <t>14,5+19,5+1,5+6,9+10,13+4,35+9+3,6+10,8+11,7+6,3</t>
  </si>
  <si>
    <t>(14,5+19,5+1,5+6,9+10,13+4,35+9+3,6+10,8+11,7+6,3)*1,15</t>
  </si>
  <si>
    <t>10,13+1,62</t>
  </si>
  <si>
    <t>Keramická dlažba montáž včetně dod spárovací hmoty, lišt</t>
  </si>
  <si>
    <t>4+1,26+1,62</t>
  </si>
  <si>
    <t>dlažba keramická slinutá</t>
  </si>
  <si>
    <t>(4+1,26+1,62)*1,15</t>
  </si>
  <si>
    <t>9,84+19,5+9,84+19,5+4,1+25,5+1,12+6,9+1,62+2,7+4,35+8+14,4+4+9,6+2+7,2+27,84+9</t>
  </si>
  <si>
    <t>Vyrovnání podkladu stěn a stropů před malbou</t>
  </si>
  <si>
    <t>Penetrace stěn a stropů před malbou</t>
  </si>
  <si>
    <t>kabel CYSY 3Cx0,75</t>
  </si>
  <si>
    <t>průchodka kabelová</t>
  </si>
  <si>
    <t>Úprava a zapojení rozvaděče vč. montážního materiálu</t>
  </si>
  <si>
    <t xml:space="preserve">Naprogramování a oživení systému MaR </t>
  </si>
  <si>
    <t xml:space="preserve"> - provedení naprogramování systému MaR kotelny pro ohřev TV v zásobnících a cirkulaci TV ve dvou oddělených okruzích</t>
  </si>
  <si>
    <t>Výměna rozvodů vody - I.etapa</t>
  </si>
  <si>
    <t>MŠ Šikulka, Česká Lípa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</si>
</sst>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\ %"/>
    <numFmt numFmtId="165" formatCode="#,##0\ \%"/>
    <numFmt numFmtId="166" formatCode="#,##0.00\ &quot;Kč&quot;"/>
    <numFmt numFmtId="167" formatCode="00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dd/mm/yy"/>
    <numFmt numFmtId="173" formatCode="#,##0\ &quot;Kč&quot;"/>
    <numFmt numFmtId="174" formatCode="00#\ ##\ \ ##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Symbol"/>
      <family val="1"/>
    </font>
    <font>
      <sz val="10.5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10.5"/>
      <color indexed="8"/>
      <name val="Calibri"/>
      <family val="2"/>
    </font>
    <font>
      <i/>
      <sz val="11"/>
      <color indexed="30"/>
      <name val="Calibri"/>
      <family val="2"/>
    </font>
    <font>
      <i/>
      <sz val="11"/>
      <color indexed="44"/>
      <name val="Calibri"/>
      <family val="2"/>
    </font>
    <font>
      <sz val="10.5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10.5"/>
      <color rgb="FF0070C0"/>
      <name val="Calibri"/>
      <family val="2"/>
    </font>
    <font>
      <i/>
      <sz val="11"/>
      <color rgb="FF0070C0"/>
      <name val="Calibri"/>
      <family val="2"/>
    </font>
    <font>
      <b/>
      <i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1"/>
      <color theme="3" tint="0.5999900102615356"/>
      <name val="Calibri"/>
      <family val="2"/>
    </font>
    <font>
      <i/>
      <sz val="11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167" fontId="0" fillId="0" borderId="12" xfId="0" applyNumberFormat="1" applyFont="1" applyBorder="1" applyAlignment="1">
      <alignment vertical="center" wrapText="1"/>
    </xf>
    <xf numFmtId="166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center" vertical="center" wrapText="1"/>
    </xf>
    <xf numFmtId="0" fontId="55" fillId="0" borderId="20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0" fontId="55" fillId="0" borderId="21" xfId="0" applyFont="1" applyFill="1" applyBorder="1" applyAlignment="1">
      <alignment vertical="center" wrapText="1"/>
    </xf>
    <xf numFmtId="4" fontId="0" fillId="33" borderId="22" xfId="0" applyNumberFormat="1" applyFill="1" applyBorder="1" applyAlignment="1" applyProtection="1">
      <alignment vertical="center" wrapText="1"/>
      <protection locked="0"/>
    </xf>
    <xf numFmtId="4" fontId="56" fillId="33" borderId="22" xfId="0" applyNumberFormat="1" applyFont="1" applyFill="1" applyBorder="1" applyAlignment="1" applyProtection="1">
      <alignment vertical="center" wrapText="1"/>
      <protection locked="0"/>
    </xf>
    <xf numFmtId="4" fontId="25" fillId="33" borderId="22" xfId="0" applyNumberFormat="1" applyFont="1" applyFill="1" applyBorder="1" applyAlignment="1" applyProtection="1">
      <alignment vertical="center" wrapText="1"/>
      <protection locked="0"/>
    </xf>
    <xf numFmtId="4" fontId="0" fillId="33" borderId="23" xfId="0" applyNumberFormat="1" applyFill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/>
    </xf>
    <xf numFmtId="0" fontId="39" fillId="0" borderId="25" xfId="0" applyNumberFormat="1" applyFont="1" applyBorder="1" applyAlignment="1" applyProtection="1">
      <alignment horizontal="left" vertical="center" wrapText="1"/>
      <protection/>
    </xf>
    <xf numFmtId="0" fontId="55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26" xfId="0" applyFont="1" applyBorder="1" applyAlignment="1" applyProtection="1">
      <alignment vertical="center" wrapText="1"/>
      <protection/>
    </xf>
    <xf numFmtId="0" fontId="39" fillId="0" borderId="27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57" fillId="0" borderId="0" xfId="0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vertical="center" wrapText="1"/>
      <protection/>
    </xf>
    <xf numFmtId="0" fontId="39" fillId="0" borderId="11" xfId="0" applyFont="1" applyBorder="1" applyAlignment="1" applyProtection="1">
      <alignment horizontal="left" vertical="center" wrapText="1" indent="1"/>
      <protection/>
    </xf>
    <xf numFmtId="0" fontId="58" fillId="0" borderId="28" xfId="0" applyFont="1" applyBorder="1" applyAlignment="1" applyProtection="1">
      <alignment horizontal="center" vertical="center" wrapText="1"/>
      <protection/>
    </xf>
    <xf numFmtId="4" fontId="39" fillId="0" borderId="28" xfId="0" applyNumberFormat="1" applyFont="1" applyBorder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 wrapText="1" indent="1"/>
      <protection/>
    </xf>
    <xf numFmtId="0" fontId="57" fillId="0" borderId="0" xfId="0" applyFont="1" applyBorder="1" applyAlignment="1" applyProtection="1">
      <alignment vertical="center" wrapText="1"/>
      <protection/>
    </xf>
    <xf numFmtId="4" fontId="0" fillId="0" borderId="0" xfId="0" applyNumberFormat="1" applyBorder="1" applyAlignment="1" applyProtection="1">
      <alignment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4" fontId="0" fillId="0" borderId="29" xfId="0" applyNumberFormat="1" applyBorder="1" applyAlignment="1" applyProtection="1">
      <alignment vertical="center" wrapText="1"/>
      <protection/>
    </xf>
    <xf numFmtId="167" fontId="39" fillId="0" borderId="30" xfId="0" applyNumberFormat="1" applyFont="1" applyBorder="1" applyAlignment="1" applyProtection="1">
      <alignment horizontal="left" vertical="center" wrapText="1"/>
      <protection/>
    </xf>
    <xf numFmtId="4" fontId="39" fillId="0" borderId="29" xfId="0" applyNumberFormat="1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1" xfId="0" applyFill="1" applyBorder="1" applyAlignment="1" applyProtection="1">
      <alignment horizontal="left" vertical="center" wrapText="1" inden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4" fontId="0" fillId="0" borderId="22" xfId="0" applyNumberFormat="1" applyFill="1" applyBorder="1" applyAlignment="1" applyProtection="1">
      <alignment vertical="center" wrapText="1"/>
      <protection/>
    </xf>
    <xf numFmtId="4" fontId="0" fillId="0" borderId="22" xfId="0" applyNumberFormat="1" applyFill="1" applyBorder="1" applyAlignment="1" applyProtection="1">
      <alignment horizontal="center" vertical="center" wrapText="1"/>
      <protection/>
    </xf>
    <xf numFmtId="4" fontId="0" fillId="0" borderId="32" xfId="0" applyNumberFormat="1" applyFill="1" applyBorder="1" applyAlignment="1" applyProtection="1">
      <alignment vertical="center" wrapText="1"/>
      <protection/>
    </xf>
    <xf numFmtId="0" fontId="55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5" fillId="0" borderId="33" xfId="0" applyFont="1" applyFill="1" applyBorder="1" applyAlignment="1" applyProtection="1">
      <alignment horizontal="left" vertical="center" wrapText="1" indent="1"/>
      <protection/>
    </xf>
    <xf numFmtId="0" fontId="57" fillId="0" borderId="22" xfId="0" applyFont="1" applyBorder="1" applyAlignment="1" applyProtection="1">
      <alignment vertical="center" wrapText="1"/>
      <protection/>
    </xf>
    <xf numFmtId="4" fontId="0" fillId="0" borderId="22" xfId="0" applyNumberFormat="1" applyBorder="1" applyAlignment="1" applyProtection="1">
      <alignment vertical="center" wrapText="1"/>
      <protection/>
    </xf>
    <xf numFmtId="4" fontId="0" fillId="0" borderId="22" xfId="0" applyNumberFormat="1" applyBorder="1" applyAlignment="1" applyProtection="1">
      <alignment horizontal="center" vertical="center" wrapText="1"/>
      <protection/>
    </xf>
    <xf numFmtId="4" fontId="0" fillId="0" borderId="32" xfId="0" applyNumberFormat="1" applyBorder="1" applyAlignment="1" applyProtection="1">
      <alignment vertical="center" wrapText="1"/>
      <protection/>
    </xf>
    <xf numFmtId="0" fontId="0" fillId="0" borderId="18" xfId="0" applyFill="1" applyBorder="1" applyAlignment="1" applyProtection="1">
      <alignment horizontal="left" vertical="center" wrapText="1" indent="1"/>
      <protection/>
    </xf>
    <xf numFmtId="167" fontId="39" fillId="0" borderId="30" xfId="0" applyNumberFormat="1" applyFont="1" applyFill="1" applyBorder="1" applyAlignment="1" applyProtection="1">
      <alignment horizontal="left" vertical="center" wrapText="1"/>
      <protection/>
    </xf>
    <xf numFmtId="0" fontId="57" fillId="34" borderId="22" xfId="0" applyFont="1" applyFill="1" applyBorder="1" applyAlignment="1" applyProtection="1">
      <alignment vertical="center" wrapText="1"/>
      <protection/>
    </xf>
    <xf numFmtId="4" fontId="0" fillId="34" borderId="22" xfId="0" applyNumberFormat="1" applyFill="1" applyBorder="1" applyAlignment="1" applyProtection="1">
      <alignment vertical="center" wrapText="1"/>
      <protection/>
    </xf>
    <xf numFmtId="4" fontId="0" fillId="34" borderId="22" xfId="0" applyNumberFormat="1" applyFill="1" applyBorder="1" applyAlignment="1" applyProtection="1">
      <alignment horizontal="center" vertical="center" wrapText="1"/>
      <protection/>
    </xf>
    <xf numFmtId="4" fontId="0" fillId="34" borderId="32" xfId="0" applyNumberFormat="1" applyFill="1" applyBorder="1" applyAlignment="1" applyProtection="1">
      <alignment vertical="center" wrapText="1"/>
      <protection/>
    </xf>
    <xf numFmtId="0" fontId="55" fillId="34" borderId="0" xfId="0" applyFont="1" applyFill="1" applyAlignment="1" applyProtection="1">
      <alignment vertical="center" wrapText="1"/>
      <protection/>
    </xf>
    <xf numFmtId="0" fontId="0" fillId="34" borderId="0" xfId="0" applyFill="1" applyAlignment="1" applyProtection="1">
      <alignment vertical="center" wrapText="1"/>
      <protection/>
    </xf>
    <xf numFmtId="0" fontId="55" fillId="0" borderId="34" xfId="0" applyFont="1" applyFill="1" applyBorder="1" applyAlignment="1" applyProtection="1">
      <alignment horizontal="left" vertical="center" wrapText="1" indent="1"/>
      <protection/>
    </xf>
    <xf numFmtId="0" fontId="56" fillId="0" borderId="31" xfId="0" applyFont="1" applyFill="1" applyBorder="1" applyAlignment="1" applyProtection="1">
      <alignment horizontal="left" vertical="center" wrapText="1" indent="1"/>
      <protection/>
    </xf>
    <xf numFmtId="0" fontId="59" fillId="34" borderId="22" xfId="0" applyFont="1" applyFill="1" applyBorder="1" applyAlignment="1" applyProtection="1">
      <alignment vertical="center" wrapText="1"/>
      <protection/>
    </xf>
    <xf numFmtId="4" fontId="56" fillId="34" borderId="22" xfId="0" applyNumberFormat="1" applyFont="1" applyFill="1" applyBorder="1" applyAlignment="1" applyProtection="1">
      <alignment vertical="center" wrapText="1"/>
      <protection/>
    </xf>
    <xf numFmtId="4" fontId="56" fillId="34" borderId="22" xfId="0" applyNumberFormat="1" applyFont="1" applyFill="1" applyBorder="1" applyAlignment="1" applyProtection="1">
      <alignment horizontal="center" vertical="center" wrapText="1"/>
      <protection/>
    </xf>
    <xf numFmtId="4" fontId="56" fillId="34" borderId="32" xfId="0" applyNumberFormat="1" applyFont="1" applyFill="1" applyBorder="1" applyAlignment="1" applyProtection="1">
      <alignment vertical="center" wrapText="1"/>
      <protection/>
    </xf>
    <xf numFmtId="0" fontId="60" fillId="34" borderId="0" xfId="0" applyFont="1" applyFill="1" applyAlignment="1" applyProtection="1">
      <alignment vertical="center" wrapText="1"/>
      <protection/>
    </xf>
    <xf numFmtId="0" fontId="56" fillId="34" borderId="0" xfId="0" applyFont="1" applyFill="1" applyAlignment="1" applyProtection="1">
      <alignment vertical="center" wrapText="1"/>
      <protection/>
    </xf>
    <xf numFmtId="0" fontId="60" fillId="0" borderId="34" xfId="0" applyFont="1" applyFill="1" applyBorder="1" applyAlignment="1" applyProtection="1">
      <alignment horizontal="left" vertical="center" wrapText="1" indent="1"/>
      <protection/>
    </xf>
    <xf numFmtId="0" fontId="59" fillId="0" borderId="22" xfId="0" applyFont="1" applyBorder="1" applyAlignment="1" applyProtection="1">
      <alignment vertical="center" wrapText="1"/>
      <protection/>
    </xf>
    <xf numFmtId="4" fontId="56" fillId="0" borderId="22" xfId="0" applyNumberFormat="1" applyFont="1" applyBorder="1" applyAlignment="1" applyProtection="1">
      <alignment vertical="center" wrapText="1"/>
      <protection/>
    </xf>
    <xf numFmtId="4" fontId="56" fillId="0" borderId="22" xfId="0" applyNumberFormat="1" applyFont="1" applyBorder="1" applyAlignment="1" applyProtection="1">
      <alignment horizontal="center" vertical="center" wrapText="1"/>
      <protection/>
    </xf>
    <xf numFmtId="4" fontId="56" fillId="0" borderId="32" xfId="0" applyNumberFormat="1" applyFont="1" applyBorder="1" applyAlignment="1" applyProtection="1">
      <alignment vertical="center" wrapText="1"/>
      <protection/>
    </xf>
    <xf numFmtId="0" fontId="60" fillId="0" borderId="0" xfId="0" applyFont="1" applyAlignment="1" applyProtection="1">
      <alignment vertical="center" wrapText="1"/>
      <protection/>
    </xf>
    <xf numFmtId="0" fontId="56" fillId="0" borderId="0" xfId="0" applyFont="1" applyAlignment="1" applyProtection="1">
      <alignment vertical="center" wrapText="1"/>
      <protection/>
    </xf>
    <xf numFmtId="16" fontId="56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31" xfId="0" applyFont="1" applyFill="1" applyBorder="1" applyAlignment="1" applyProtection="1">
      <alignment horizontal="left" vertical="center" wrapText="1" indent="1"/>
      <protection/>
    </xf>
    <xf numFmtId="0" fontId="36" fillId="0" borderId="22" xfId="0" applyFont="1" applyBorder="1" applyAlignment="1" applyProtection="1">
      <alignment vertical="center" wrapText="1"/>
      <protection/>
    </xf>
    <xf numFmtId="4" fontId="25" fillId="0" borderId="22" xfId="0" applyNumberFormat="1" applyFont="1" applyBorder="1" applyAlignment="1" applyProtection="1">
      <alignment horizontal="center" vertical="center" wrapText="1"/>
      <protection/>
    </xf>
    <xf numFmtId="4" fontId="25" fillId="0" borderId="32" xfId="0" applyNumberFormat="1" applyFont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37" fillId="0" borderId="34" xfId="0" applyFont="1" applyFill="1" applyBorder="1" applyAlignment="1" applyProtection="1">
      <alignment horizontal="left" vertical="center" wrapText="1" indent="1"/>
      <protection/>
    </xf>
    <xf numFmtId="4" fontId="25" fillId="0" borderId="22" xfId="0" applyNumberFormat="1" applyFont="1" applyBorder="1" applyAlignment="1" applyProtection="1">
      <alignment vertical="center" wrapText="1"/>
      <protection/>
    </xf>
    <xf numFmtId="0" fontId="0" fillId="0" borderId="35" xfId="0" applyFill="1" applyBorder="1" applyAlignment="1" applyProtection="1">
      <alignment horizontal="left" vertical="center" wrapText="1" indent="1"/>
      <protection/>
    </xf>
    <xf numFmtId="0" fontId="55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12" xfId="0" applyFill="1" applyBorder="1" applyAlignment="1" applyProtection="1">
      <alignment horizontal="left" vertical="center" wrapText="1" indent="1"/>
      <protection/>
    </xf>
    <xf numFmtId="0" fontId="57" fillId="0" borderId="23" xfId="0" applyFont="1" applyBorder="1" applyAlignment="1" applyProtection="1">
      <alignment vertical="center" wrapText="1"/>
      <protection/>
    </xf>
    <xf numFmtId="4" fontId="0" fillId="0" borderId="23" xfId="0" applyNumberFormat="1" applyBorder="1" applyAlignment="1" applyProtection="1">
      <alignment vertical="center" wrapText="1"/>
      <protection/>
    </xf>
    <xf numFmtId="4" fontId="0" fillId="0" borderId="23" xfId="0" applyNumberFormat="1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vertical="center" wrapText="1"/>
      <protection/>
    </xf>
    <xf numFmtId="166" fontId="39" fillId="0" borderId="13" xfId="0" applyNumberFormat="1" applyFont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 indent="1"/>
      <protection/>
    </xf>
    <xf numFmtId="0" fontId="32" fillId="0" borderId="0" xfId="0" applyFont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2" fillId="0" borderId="36" xfId="0" applyFont="1" applyBorder="1" applyAlignment="1">
      <alignment horizontal="left" vertical="top" wrapText="1"/>
    </xf>
    <xf numFmtId="0" fontId="32" fillId="0" borderId="3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166" fontId="0" fillId="0" borderId="45" xfId="0" applyNumberFormat="1" applyFont="1" applyBorder="1" applyAlignment="1">
      <alignment horizontal="right" vertical="center" wrapText="1"/>
    </xf>
    <xf numFmtId="166" fontId="0" fillId="0" borderId="40" xfId="0" applyNumberFormat="1" applyFont="1" applyBorder="1" applyAlignment="1">
      <alignment horizontal="right" vertical="center" wrapText="1"/>
    </xf>
    <xf numFmtId="166" fontId="0" fillId="0" borderId="46" xfId="0" applyNumberFormat="1" applyFont="1" applyBorder="1" applyAlignment="1">
      <alignment horizontal="right" vertical="center" wrapText="1"/>
    </xf>
    <xf numFmtId="0" fontId="31" fillId="0" borderId="36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55" fillId="0" borderId="47" xfId="0" applyNumberFormat="1" applyFont="1" applyBorder="1" applyAlignment="1">
      <alignment horizontal="left" vertical="center" wrapText="1"/>
    </xf>
    <xf numFmtId="0" fontId="55" fillId="0" borderId="27" xfId="0" applyNumberFormat="1" applyFont="1" applyBorder="1" applyAlignment="1">
      <alignment horizontal="left" vertical="center" wrapText="1"/>
    </xf>
    <xf numFmtId="0" fontId="55" fillId="33" borderId="47" xfId="0" applyFont="1" applyFill="1" applyBorder="1" applyAlignment="1" applyProtection="1">
      <alignment horizontal="left" vertical="center" wrapText="1"/>
      <protection locked="0"/>
    </xf>
    <xf numFmtId="0" fontId="55" fillId="33" borderId="27" xfId="0" applyFont="1" applyFill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33" borderId="12" xfId="0" applyFont="1" applyFill="1" applyBorder="1" applyAlignment="1" applyProtection="1">
      <alignment horizontal="left" vertical="center" wrapText="1"/>
      <protection locked="0"/>
    </xf>
    <xf numFmtId="0" fontId="55" fillId="33" borderId="23" xfId="0" applyFont="1" applyFill="1" applyBorder="1" applyAlignment="1" applyProtection="1">
      <alignment horizontal="left" vertical="center" wrapText="1"/>
      <protection locked="0"/>
    </xf>
    <xf numFmtId="0" fontId="55" fillId="33" borderId="13" xfId="0" applyFont="1" applyFill="1" applyBorder="1" applyAlignment="1" applyProtection="1">
      <alignment horizontal="left" vertical="center" wrapText="1"/>
      <protection locked="0"/>
    </xf>
    <xf numFmtId="174" fontId="55" fillId="0" borderId="40" xfId="0" applyNumberFormat="1" applyFont="1" applyBorder="1" applyAlignment="1">
      <alignment horizontal="left" vertical="center" wrapText="1"/>
    </xf>
    <xf numFmtId="174" fontId="55" fillId="0" borderId="46" xfId="0" applyNumberFormat="1" applyFont="1" applyBorder="1" applyAlignment="1">
      <alignment horizontal="left" vertical="center" wrapText="1"/>
    </xf>
    <xf numFmtId="174" fontId="55" fillId="33" borderId="40" xfId="0" applyNumberFormat="1" applyFont="1" applyFill="1" applyBorder="1" applyAlignment="1" applyProtection="1">
      <alignment horizontal="left" vertical="center" wrapText="1"/>
      <protection locked="0"/>
    </xf>
    <xf numFmtId="174" fontId="55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9" fontId="27" fillId="35" borderId="19" xfId="0" applyNumberFormat="1" applyFont="1" applyFill="1" applyBorder="1" applyAlignment="1">
      <alignment horizontal="left" vertical="center" wrapText="1"/>
    </xf>
    <xf numFmtId="49" fontId="27" fillId="35" borderId="52" xfId="0" applyNumberFormat="1" applyFont="1" applyFill="1" applyBorder="1" applyAlignment="1">
      <alignment horizontal="left" vertical="center" wrapText="1"/>
    </xf>
    <xf numFmtId="49" fontId="27" fillId="35" borderId="30" xfId="0" applyNumberFormat="1" applyFont="1" applyFill="1" applyBorder="1" applyAlignment="1">
      <alignment horizontal="left" vertical="center" wrapText="1"/>
    </xf>
    <xf numFmtId="49" fontId="27" fillId="35" borderId="53" xfId="0" applyNumberFormat="1" applyFont="1" applyFill="1" applyBorder="1" applyAlignment="1">
      <alignment horizontal="left" vertical="center" wrapText="1"/>
    </xf>
    <xf numFmtId="0" fontId="61" fillId="33" borderId="12" xfId="0" applyFont="1" applyFill="1" applyBorder="1" applyAlignment="1" applyProtection="1">
      <alignment horizontal="left" vertical="center" wrapText="1"/>
      <protection locked="0"/>
    </xf>
    <xf numFmtId="0" fontId="61" fillId="33" borderId="23" xfId="0" applyFont="1" applyFill="1" applyBorder="1" applyAlignment="1" applyProtection="1">
      <alignment horizontal="left" vertical="center" wrapText="1"/>
      <protection locked="0"/>
    </xf>
    <xf numFmtId="0" fontId="61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9" fillId="35" borderId="55" xfId="0" applyFont="1" applyFill="1" applyBorder="1" applyAlignment="1">
      <alignment horizontal="left" vertical="center" wrapText="1"/>
    </xf>
    <xf numFmtId="0" fontId="29" fillId="35" borderId="56" xfId="0" applyFont="1" applyFill="1" applyBorder="1" applyAlignment="1">
      <alignment horizontal="left" vertical="center" wrapText="1"/>
    </xf>
    <xf numFmtId="0" fontId="29" fillId="35" borderId="57" xfId="0" applyFont="1" applyFill="1" applyBorder="1" applyAlignment="1">
      <alignment horizontal="left" vertical="center" wrapText="1"/>
    </xf>
    <xf numFmtId="0" fontId="29" fillId="35" borderId="36" xfId="0" applyFont="1" applyFill="1" applyBorder="1" applyAlignment="1">
      <alignment horizontal="left" vertical="center" wrapText="1"/>
    </xf>
    <xf numFmtId="0" fontId="29" fillId="35" borderId="37" xfId="0" applyFont="1" applyFill="1" applyBorder="1" applyAlignment="1">
      <alignment horizontal="left" vertical="center" wrapText="1"/>
    </xf>
    <xf numFmtId="166" fontId="26" fillId="0" borderId="58" xfId="0" applyNumberFormat="1" applyFont="1" applyFill="1" applyBorder="1" applyAlignment="1">
      <alignment horizontal="right" vertical="center" wrapText="1"/>
    </xf>
    <xf numFmtId="166" fontId="26" fillId="0" borderId="47" xfId="0" applyNumberFormat="1" applyFont="1" applyFill="1" applyBorder="1" applyAlignment="1">
      <alignment horizontal="right" vertical="center" wrapText="1"/>
    </xf>
    <xf numFmtId="166" fontId="26" fillId="0" borderId="27" xfId="0" applyNumberFormat="1" applyFont="1" applyFill="1" applyBorder="1" applyAlignment="1">
      <alignment horizontal="right" vertical="center" wrapText="1"/>
    </xf>
    <xf numFmtId="0" fontId="62" fillId="0" borderId="59" xfId="0" applyFont="1" applyBorder="1" applyAlignment="1" applyProtection="1">
      <alignment horizontal="left" vertical="center" wrapText="1"/>
      <protection/>
    </xf>
    <xf numFmtId="0" fontId="62" fillId="0" borderId="60" xfId="0" applyFont="1" applyBorder="1" applyAlignment="1" applyProtection="1">
      <alignment horizontal="left" vertical="center" wrapText="1"/>
      <protection/>
    </xf>
    <xf numFmtId="0" fontId="62" fillId="0" borderId="61" xfId="0" applyFont="1" applyBorder="1" applyAlignment="1" applyProtection="1">
      <alignment horizontal="left" vertical="center" wrapText="1"/>
      <protection/>
    </xf>
    <xf numFmtId="0" fontId="63" fillId="0" borderId="59" xfId="0" applyFont="1" applyBorder="1" applyAlignment="1" applyProtection="1">
      <alignment horizontal="left" vertical="center" wrapText="1"/>
      <protection/>
    </xf>
    <xf numFmtId="0" fontId="63" fillId="0" borderId="60" xfId="0" applyFont="1" applyBorder="1" applyAlignment="1" applyProtection="1">
      <alignment horizontal="left" vertical="center" wrapText="1"/>
      <protection/>
    </xf>
    <xf numFmtId="0" fontId="63" fillId="0" borderId="61" xfId="0" applyFont="1" applyBorder="1" applyAlignment="1" applyProtection="1">
      <alignment horizontal="left" vertical="center" wrapText="1"/>
      <protection/>
    </xf>
    <xf numFmtId="0" fontId="64" fillId="34" borderId="59" xfId="0" applyFont="1" applyFill="1" applyBorder="1" applyAlignment="1" applyProtection="1">
      <alignment horizontal="left" vertical="center" wrapText="1"/>
      <protection/>
    </xf>
    <xf numFmtId="0" fontId="64" fillId="34" borderId="60" xfId="0" applyFont="1" applyFill="1" applyBorder="1" applyAlignment="1" applyProtection="1">
      <alignment horizontal="left" vertical="center" wrapText="1"/>
      <protection/>
    </xf>
    <xf numFmtId="0" fontId="64" fillId="34" borderId="61" xfId="0" applyFont="1" applyFill="1" applyBorder="1" applyAlignment="1" applyProtection="1">
      <alignment horizontal="left" vertical="center" wrapText="1"/>
      <protection/>
    </xf>
    <xf numFmtId="0" fontId="64" fillId="0" borderId="62" xfId="0" applyFont="1" applyBorder="1" applyAlignment="1" applyProtection="1">
      <alignment horizontal="left" vertical="center" wrapText="1"/>
      <protection/>
    </xf>
    <xf numFmtId="0" fontId="64" fillId="0" borderId="63" xfId="0" applyFont="1" applyBorder="1" applyAlignment="1" applyProtection="1">
      <alignment horizontal="left" vertical="center" wrapText="1"/>
      <protection/>
    </xf>
    <xf numFmtId="0" fontId="64" fillId="0" borderId="64" xfId="0" applyFont="1" applyBorder="1" applyAlignment="1" applyProtection="1">
      <alignment horizontal="left" vertical="center" wrapText="1"/>
      <protection/>
    </xf>
    <xf numFmtId="0" fontId="64" fillId="0" borderId="59" xfId="0" applyFont="1" applyBorder="1" applyAlignment="1" applyProtection="1">
      <alignment horizontal="left" vertical="center" wrapText="1"/>
      <protection/>
    </xf>
    <xf numFmtId="0" fontId="64" fillId="0" borderId="60" xfId="0" applyFont="1" applyBorder="1" applyAlignment="1" applyProtection="1">
      <alignment horizontal="left" vertical="center" wrapText="1"/>
      <protection/>
    </xf>
    <xf numFmtId="0" fontId="64" fillId="0" borderId="61" xfId="0" applyFont="1" applyBorder="1" applyAlignment="1" applyProtection="1">
      <alignment horizontal="left" vertical="center" wrapText="1"/>
      <protection/>
    </xf>
    <xf numFmtId="0" fontId="62" fillId="0" borderId="62" xfId="0" applyFont="1" applyBorder="1" applyAlignment="1" applyProtection="1">
      <alignment horizontal="left" vertical="center" wrapText="1"/>
      <protection/>
    </xf>
    <xf numFmtId="0" fontId="62" fillId="0" borderId="63" xfId="0" applyFont="1" applyBorder="1" applyAlignment="1" applyProtection="1">
      <alignment horizontal="left" vertical="center" wrapText="1"/>
      <protection/>
    </xf>
    <xf numFmtId="0" fontId="62" fillId="0" borderId="64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63" fillId="34" borderId="59" xfId="0" applyFont="1" applyFill="1" applyBorder="1" applyAlignment="1" applyProtection="1">
      <alignment horizontal="left" vertical="center" wrapText="1"/>
      <protection/>
    </xf>
    <xf numFmtId="0" fontId="63" fillId="34" borderId="60" xfId="0" applyFont="1" applyFill="1" applyBorder="1" applyAlignment="1" applyProtection="1">
      <alignment horizontal="left" vertical="center" wrapText="1"/>
      <protection/>
    </xf>
    <xf numFmtId="0" fontId="63" fillId="34" borderId="61" xfId="0" applyFont="1" applyFill="1" applyBorder="1" applyAlignment="1" applyProtection="1">
      <alignment horizontal="left" vertical="center" wrapText="1"/>
      <protection/>
    </xf>
    <xf numFmtId="0" fontId="63" fillId="34" borderId="62" xfId="0" applyFont="1" applyFill="1" applyBorder="1" applyAlignment="1" applyProtection="1">
      <alignment horizontal="left" vertical="center" wrapText="1"/>
      <protection/>
    </xf>
    <xf numFmtId="0" fontId="63" fillId="34" borderId="63" xfId="0" applyFont="1" applyFill="1" applyBorder="1" applyAlignment="1" applyProtection="1">
      <alignment horizontal="left" vertical="center" wrapText="1"/>
      <protection/>
    </xf>
    <xf numFmtId="0" fontId="63" fillId="34" borderId="64" xfId="0" applyFont="1" applyFill="1" applyBorder="1" applyAlignment="1" applyProtection="1">
      <alignment horizontal="left" vertical="center" wrapText="1"/>
      <protection/>
    </xf>
    <xf numFmtId="0" fontId="64" fillId="0" borderId="59" xfId="0" applyFont="1" applyBorder="1" applyAlignment="1" applyProtection="1">
      <alignment horizontal="left" vertical="top" wrapText="1"/>
      <protection/>
    </xf>
    <xf numFmtId="0" fontId="64" fillId="0" borderId="60" xfId="0" applyFont="1" applyBorder="1" applyAlignment="1" applyProtection="1">
      <alignment horizontal="left" vertical="top" wrapText="1"/>
      <protection/>
    </xf>
    <xf numFmtId="0" fontId="64" fillId="0" borderId="61" xfId="0" applyFont="1" applyBorder="1" applyAlignment="1" applyProtection="1">
      <alignment horizontal="left" vertical="top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64" fillId="0" borderId="59" xfId="0" applyFont="1" applyFill="1" applyBorder="1" applyAlignment="1" applyProtection="1">
      <alignment horizontal="left" vertical="center" wrapText="1"/>
      <protection/>
    </xf>
    <xf numFmtId="0" fontId="64" fillId="0" borderId="60" xfId="0" applyFont="1" applyFill="1" applyBorder="1" applyAlignment="1" applyProtection="1">
      <alignment horizontal="left" vertical="center" wrapText="1"/>
      <protection/>
    </xf>
    <xf numFmtId="0" fontId="64" fillId="0" borderId="61" xfId="0" applyFont="1" applyFill="1" applyBorder="1" applyAlignment="1" applyProtection="1">
      <alignment horizontal="left" vertical="center" wrapText="1"/>
      <protection/>
    </xf>
    <xf numFmtId="0" fontId="39" fillId="0" borderId="21" xfId="0" applyFont="1" applyBorder="1" applyAlignment="1" applyProtection="1">
      <alignment horizontal="left" vertical="center" wrapText="1"/>
      <protection/>
    </xf>
    <xf numFmtId="0" fontId="39" fillId="0" borderId="47" xfId="0" applyFont="1" applyBorder="1" applyAlignment="1" applyProtection="1">
      <alignment horizontal="left" vertical="center" wrapText="1"/>
      <protection/>
    </xf>
    <xf numFmtId="0" fontId="39" fillId="0" borderId="65" xfId="0" applyFont="1" applyBorder="1" applyAlignment="1" applyProtection="1">
      <alignment horizontal="left" vertical="center" wrapText="1"/>
      <protection/>
    </xf>
    <xf numFmtId="0" fontId="39" fillId="0" borderId="66" xfId="0" applyNumberFormat="1" applyFont="1" applyBorder="1" applyAlignment="1" applyProtection="1">
      <alignment horizontal="left" vertical="center" wrapText="1"/>
      <protection/>
    </xf>
    <xf numFmtId="0" fontId="39" fillId="0" borderId="48" xfId="0" applyNumberFormat="1" applyFont="1" applyBorder="1" applyAlignment="1" applyProtection="1">
      <alignment horizontal="left" vertical="center" wrapText="1"/>
      <protection/>
    </xf>
    <xf numFmtId="0" fontId="39" fillId="0" borderId="49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rotka\Documents\2012\017_Roz&#353;&#237;&#345;en&#237;%20kancel&#225;&#345;sk&#253;ch%20prostor%20-%20Richter&#367;v%20dv&#367;r\PD\FINALN&#205;\ROZPO&#268;ET\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9">
          <cell r="E19">
            <v>32590.228000000003</v>
          </cell>
          <cell r="F19">
            <v>114438.70999999999</v>
          </cell>
          <cell r="G19">
            <v>0</v>
          </cell>
          <cell r="H19">
            <v>0</v>
          </cell>
          <cell r="I19">
            <v>0</v>
          </cell>
        </row>
        <row r="25"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selection activeCell="E7" sqref="E7:G7"/>
    </sheetView>
  </sheetViews>
  <sheetFormatPr defaultColWidth="9.140625" defaultRowHeight="15" customHeight="1"/>
  <cols>
    <col min="1" max="1" width="5.7109375" style="2" customWidth="1"/>
    <col min="2" max="2" width="15.57421875" style="2" bestFit="1" customWidth="1"/>
    <col min="3" max="3" width="16.00390625" style="16" bestFit="1" customWidth="1"/>
    <col min="4" max="4" width="8.7109375" style="17" customWidth="1"/>
    <col min="5" max="5" width="13.57421875" style="16" customWidth="1"/>
    <col min="6" max="6" width="16.57421875" style="16" customWidth="1"/>
    <col min="7" max="7" width="20.7109375" style="1" customWidth="1"/>
    <col min="8" max="16384" width="9.140625" style="2" customWidth="1"/>
  </cols>
  <sheetData>
    <row r="1" spans="1:7" ht="30" customHeight="1" thickBot="1">
      <c r="A1" s="120" t="s">
        <v>12</v>
      </c>
      <c r="B1" s="120"/>
      <c r="C1" s="120"/>
      <c r="D1" s="120"/>
      <c r="E1" s="120"/>
      <c r="F1" s="120"/>
      <c r="G1" s="120"/>
    </row>
    <row r="2" spans="1:7" ht="15" customHeight="1">
      <c r="A2" s="114" t="s">
        <v>13</v>
      </c>
      <c r="B2" s="148"/>
      <c r="C2" s="115" t="s">
        <v>14</v>
      </c>
      <c r="D2" s="115"/>
      <c r="E2" s="115"/>
      <c r="F2" s="115"/>
      <c r="G2" s="116"/>
    </row>
    <row r="3" spans="1:7" ht="15" customHeight="1">
      <c r="A3" s="153"/>
      <c r="B3" s="154"/>
      <c r="C3" s="161" t="s">
        <v>182</v>
      </c>
      <c r="D3" s="161"/>
      <c r="E3" s="161"/>
      <c r="F3" s="161"/>
      <c r="G3" s="162"/>
    </row>
    <row r="4" spans="1:7" ht="15" customHeight="1">
      <c r="A4" s="149" t="s">
        <v>15</v>
      </c>
      <c r="B4" s="150"/>
      <c r="C4" s="158" t="s">
        <v>16</v>
      </c>
      <c r="D4" s="159"/>
      <c r="E4" s="159"/>
      <c r="F4" s="159"/>
      <c r="G4" s="160"/>
    </row>
    <row r="5" spans="1:7" ht="15" customHeight="1" thickBot="1">
      <c r="A5" s="151"/>
      <c r="B5" s="152"/>
      <c r="C5" s="163" t="s">
        <v>181</v>
      </c>
      <c r="D5" s="164"/>
      <c r="E5" s="164"/>
      <c r="F5" s="164"/>
      <c r="G5" s="165"/>
    </row>
    <row r="6" spans="1:7" ht="15" customHeight="1">
      <c r="A6" s="130" t="s">
        <v>29</v>
      </c>
      <c r="B6" s="131"/>
      <c r="C6" s="131"/>
      <c r="D6" s="132"/>
      <c r="E6" s="133" t="s">
        <v>30</v>
      </c>
      <c r="F6" s="131"/>
      <c r="G6" s="132"/>
    </row>
    <row r="7" spans="1:7" ht="15" customHeight="1">
      <c r="A7" s="135" t="s">
        <v>21</v>
      </c>
      <c r="B7" s="136"/>
      <c r="C7" s="136"/>
      <c r="D7" s="137"/>
      <c r="E7" s="155"/>
      <c r="F7" s="156"/>
      <c r="G7" s="157"/>
    </row>
    <row r="8" spans="1:7" ht="15" customHeight="1">
      <c r="A8" s="138" t="s">
        <v>22</v>
      </c>
      <c r="B8" s="139"/>
      <c r="C8" s="139"/>
      <c r="D8" s="140"/>
      <c r="E8" s="141"/>
      <c r="F8" s="142"/>
      <c r="G8" s="143"/>
    </row>
    <row r="9" spans="1:7" ht="15" customHeight="1">
      <c r="A9" s="138" t="s">
        <v>23</v>
      </c>
      <c r="B9" s="139"/>
      <c r="C9" s="139"/>
      <c r="D9" s="140"/>
      <c r="E9" s="141"/>
      <c r="F9" s="142"/>
      <c r="G9" s="143"/>
    </row>
    <row r="10" spans="1:7" ht="15" customHeight="1">
      <c r="A10" s="18" t="s">
        <v>31</v>
      </c>
      <c r="B10" s="144">
        <v>260428</v>
      </c>
      <c r="C10" s="144"/>
      <c r="D10" s="145"/>
      <c r="E10" s="20" t="s">
        <v>25</v>
      </c>
      <c r="F10" s="146"/>
      <c r="G10" s="147"/>
    </row>
    <row r="11" spans="1:7" ht="15" customHeight="1" thickBot="1">
      <c r="A11" s="19" t="s">
        <v>32</v>
      </c>
      <c r="B11" s="123" t="s">
        <v>33</v>
      </c>
      <c r="C11" s="123"/>
      <c r="D11" s="124"/>
      <c r="E11" s="21" t="s">
        <v>24</v>
      </c>
      <c r="F11" s="125"/>
      <c r="G11" s="126"/>
    </row>
    <row r="12" spans="1:7" ht="15" customHeight="1">
      <c r="A12" s="6"/>
      <c r="B12" s="6"/>
      <c r="C12" s="6"/>
      <c r="D12" s="6"/>
      <c r="E12" s="6"/>
      <c r="F12" s="6"/>
      <c r="G12" s="6"/>
    </row>
    <row r="13" spans="1:7" ht="30" customHeight="1" thickBot="1">
      <c r="A13" s="134" t="s">
        <v>20</v>
      </c>
      <c r="B13" s="134"/>
      <c r="C13" s="134"/>
      <c r="D13" s="134"/>
      <c r="E13" s="134"/>
      <c r="F13" s="134"/>
      <c r="G13" s="134"/>
    </row>
    <row r="14" spans="1:7" s="3" customFormat="1" ht="15" customHeight="1">
      <c r="A14" s="5" t="s">
        <v>0</v>
      </c>
      <c r="B14" s="127" t="s">
        <v>1</v>
      </c>
      <c r="C14" s="128"/>
      <c r="D14" s="128"/>
      <c r="E14" s="128"/>
      <c r="F14" s="129"/>
      <c r="G14" s="4" t="s">
        <v>5</v>
      </c>
    </row>
    <row r="15" spans="1:7" ht="15" customHeight="1">
      <c r="A15" s="7">
        <f>Rozpočet!A6</f>
        <v>1</v>
      </c>
      <c r="B15" s="111" t="str">
        <f>Rozpočet!B6</f>
        <v>Bourací práce</v>
      </c>
      <c r="C15" s="112"/>
      <c r="D15" s="112"/>
      <c r="E15" s="112"/>
      <c r="F15" s="113"/>
      <c r="G15" s="8">
        <f>Rozpočet!F6</f>
        <v>0</v>
      </c>
    </row>
    <row r="16" spans="1:7" ht="15" customHeight="1">
      <c r="A16" s="7">
        <f>Rozpočet!A23</f>
        <v>2</v>
      </c>
      <c r="B16" s="111" t="str">
        <f>Rozpočet!B23</f>
        <v>Montážní práce - vodoinstalace</v>
      </c>
      <c r="C16" s="112"/>
      <c r="D16" s="112"/>
      <c r="E16" s="112"/>
      <c r="F16" s="113"/>
      <c r="G16" s="8">
        <f>Rozpočet!F23</f>
        <v>0</v>
      </c>
    </row>
    <row r="17" spans="1:7" ht="15" customHeight="1">
      <c r="A17" s="7">
        <f>Rozpočet!A155</f>
        <v>3</v>
      </c>
      <c r="B17" s="111" t="str">
        <f>Rozpočet!B155</f>
        <v>Montážní práce - elektroinstalace</v>
      </c>
      <c r="C17" s="112"/>
      <c r="D17" s="112"/>
      <c r="E17" s="112"/>
      <c r="F17" s="113"/>
      <c r="G17" s="8">
        <f>Rozpočet!F155</f>
        <v>0</v>
      </c>
    </row>
    <row r="18" spans="1:7" ht="15" customHeight="1">
      <c r="A18" s="7">
        <f>Rozpočet!A173</f>
        <v>4</v>
      </c>
      <c r="B18" s="111" t="str">
        <f>Rozpočet!B173</f>
        <v>Dokončovací práce</v>
      </c>
      <c r="C18" s="112"/>
      <c r="D18" s="112"/>
      <c r="E18" s="112"/>
      <c r="F18" s="113"/>
      <c r="G18" s="8">
        <f>Rozpočet!F173</f>
        <v>0</v>
      </c>
    </row>
    <row r="19" spans="1:7" ht="15" customHeight="1">
      <c r="A19" s="7">
        <f>Rozpočet!A210</f>
        <v>5</v>
      </c>
      <c r="B19" s="111" t="str">
        <f>Rozpočet!B210</f>
        <v>Ostatní</v>
      </c>
      <c r="C19" s="112"/>
      <c r="D19" s="112"/>
      <c r="E19" s="112"/>
      <c r="F19" s="113"/>
      <c r="G19" s="8">
        <f>Rozpočet!F210</f>
        <v>0</v>
      </c>
    </row>
    <row r="20" spans="1:7" ht="15" customHeight="1">
      <c r="A20" s="7"/>
      <c r="B20" s="111"/>
      <c r="C20" s="112"/>
      <c r="D20" s="112"/>
      <c r="E20" s="112"/>
      <c r="F20" s="113"/>
      <c r="G20" s="8"/>
    </row>
    <row r="21" spans="1:7" ht="15" customHeight="1">
      <c r="A21" s="7"/>
      <c r="B21" s="111"/>
      <c r="C21" s="112"/>
      <c r="D21" s="112"/>
      <c r="E21" s="112"/>
      <c r="F21" s="113"/>
      <c r="G21" s="8"/>
    </row>
    <row r="22" spans="1:7" ht="15" customHeight="1">
      <c r="A22" s="7"/>
      <c r="B22" s="111"/>
      <c r="C22" s="112"/>
      <c r="D22" s="112"/>
      <c r="E22" s="112"/>
      <c r="F22" s="113"/>
      <c r="G22" s="8"/>
    </row>
    <row r="23" spans="1:7" ht="15" customHeight="1">
      <c r="A23" s="7"/>
      <c r="B23" s="111"/>
      <c r="C23" s="112"/>
      <c r="D23" s="112"/>
      <c r="E23" s="112"/>
      <c r="F23" s="113"/>
      <c r="G23" s="8"/>
    </row>
    <row r="24" spans="1:7" ht="15" customHeight="1">
      <c r="A24" s="7"/>
      <c r="B24" s="111"/>
      <c r="C24" s="112"/>
      <c r="D24" s="112"/>
      <c r="E24" s="112"/>
      <c r="F24" s="113"/>
      <c r="G24" s="8"/>
    </row>
    <row r="25" spans="1:7" ht="99.75" customHeight="1">
      <c r="A25" s="9"/>
      <c r="B25" s="10"/>
      <c r="C25" s="11"/>
      <c r="D25" s="10"/>
      <c r="E25" s="11"/>
      <c r="F25" s="10"/>
      <c r="G25" s="12"/>
    </row>
    <row r="26" spans="1:7" ht="15" customHeight="1">
      <c r="A26" s="109" t="s">
        <v>17</v>
      </c>
      <c r="B26" s="110"/>
      <c r="C26" s="13">
        <v>0</v>
      </c>
      <c r="D26" s="10" t="s">
        <v>18</v>
      </c>
      <c r="E26" s="117">
        <v>0</v>
      </c>
      <c r="F26" s="118"/>
      <c r="G26" s="119"/>
    </row>
    <row r="27" spans="1:7" ht="15" customHeight="1">
      <c r="A27" s="109" t="s">
        <v>17</v>
      </c>
      <c r="B27" s="110"/>
      <c r="C27" s="13">
        <v>15</v>
      </c>
      <c r="D27" s="10" t="s">
        <v>18</v>
      </c>
      <c r="E27" s="117">
        <v>0</v>
      </c>
      <c r="F27" s="118"/>
      <c r="G27" s="119"/>
    </row>
    <row r="28" spans="1:7" ht="15" customHeight="1">
      <c r="A28" s="109" t="s">
        <v>7</v>
      </c>
      <c r="B28" s="110"/>
      <c r="C28" s="13">
        <v>15</v>
      </c>
      <c r="D28" s="10" t="s">
        <v>18</v>
      </c>
      <c r="E28" s="117">
        <f>ROUND(PRODUCT(E27,C28/100),1)</f>
        <v>0</v>
      </c>
      <c r="F28" s="118"/>
      <c r="G28" s="119"/>
    </row>
    <row r="29" spans="1:7" ht="15" customHeight="1">
      <c r="A29" s="109" t="s">
        <v>17</v>
      </c>
      <c r="B29" s="110"/>
      <c r="C29" s="13">
        <v>21</v>
      </c>
      <c r="D29" s="10" t="s">
        <v>18</v>
      </c>
      <c r="E29" s="117">
        <f>CEILING(SUM(G15:G24),1)</f>
        <v>0</v>
      </c>
      <c r="F29" s="118"/>
      <c r="G29" s="119"/>
    </row>
    <row r="30" spans="1:7" ht="15" customHeight="1">
      <c r="A30" s="109" t="s">
        <v>7</v>
      </c>
      <c r="B30" s="110"/>
      <c r="C30" s="13">
        <v>21</v>
      </c>
      <c r="D30" s="10" t="s">
        <v>18</v>
      </c>
      <c r="E30" s="117">
        <f>CEILING(PRODUCT(E29,C30/100),1)</f>
        <v>0</v>
      </c>
      <c r="F30" s="118"/>
      <c r="G30" s="119"/>
    </row>
    <row r="31" spans="1:7" ht="19.5" customHeight="1" thickBot="1">
      <c r="A31" s="121" t="s">
        <v>26</v>
      </c>
      <c r="B31" s="122"/>
      <c r="C31" s="122"/>
      <c r="D31" s="122"/>
      <c r="E31" s="166">
        <f>SUM(E26:E30)</f>
        <v>0</v>
      </c>
      <c r="F31" s="167"/>
      <c r="G31" s="168"/>
    </row>
    <row r="32" spans="3:7" ht="15" customHeight="1" thickBot="1">
      <c r="C32" s="2"/>
      <c r="D32" s="2"/>
      <c r="E32" s="2"/>
      <c r="F32" s="2"/>
      <c r="G32" s="2"/>
    </row>
    <row r="33" spans="1:7" ht="15" customHeight="1">
      <c r="A33" s="114" t="s">
        <v>19</v>
      </c>
      <c r="B33" s="115"/>
      <c r="C33" s="115"/>
      <c r="D33" s="115"/>
      <c r="E33" s="115"/>
      <c r="F33" s="115"/>
      <c r="G33" s="116"/>
    </row>
    <row r="34" spans="1:7" ht="15" customHeight="1">
      <c r="A34" s="14"/>
      <c r="B34" s="105"/>
      <c r="C34" s="105"/>
      <c r="D34" s="105"/>
      <c r="E34" s="105"/>
      <c r="F34" s="105"/>
      <c r="G34" s="106"/>
    </row>
    <row r="35" spans="1:7" ht="15" customHeight="1">
      <c r="A35" s="14"/>
      <c r="B35" s="105"/>
      <c r="C35" s="105"/>
      <c r="D35" s="105"/>
      <c r="E35" s="105"/>
      <c r="F35" s="105"/>
      <c r="G35" s="106"/>
    </row>
    <row r="36" spans="1:7" ht="15" customHeight="1">
      <c r="A36" s="14"/>
      <c r="B36" s="105"/>
      <c r="C36" s="105"/>
      <c r="D36" s="105"/>
      <c r="E36" s="105"/>
      <c r="F36" s="105"/>
      <c r="G36" s="106"/>
    </row>
    <row r="37" spans="1:7" ht="15" customHeight="1">
      <c r="A37" s="14"/>
      <c r="B37" s="105"/>
      <c r="C37" s="105"/>
      <c r="D37" s="105"/>
      <c r="E37" s="105"/>
      <c r="F37" s="105"/>
      <c r="G37" s="106"/>
    </row>
    <row r="38" spans="1:7" ht="15" customHeight="1">
      <c r="A38" s="14"/>
      <c r="B38" s="105"/>
      <c r="C38" s="105"/>
      <c r="D38" s="105"/>
      <c r="E38" s="105"/>
      <c r="F38" s="105"/>
      <c r="G38" s="106"/>
    </row>
    <row r="39" spans="1:7" ht="15" customHeight="1">
      <c r="A39" s="14"/>
      <c r="B39" s="105"/>
      <c r="C39" s="105"/>
      <c r="D39" s="105"/>
      <c r="E39" s="105"/>
      <c r="F39" s="105"/>
      <c r="G39" s="106"/>
    </row>
    <row r="40" spans="1:7" ht="15" customHeight="1">
      <c r="A40" s="14"/>
      <c r="B40" s="105"/>
      <c r="C40" s="105"/>
      <c r="D40" s="105"/>
      <c r="E40" s="105"/>
      <c r="F40" s="105"/>
      <c r="G40" s="106"/>
    </row>
    <row r="41" spans="1:7" ht="15" customHeight="1">
      <c r="A41" s="14"/>
      <c r="B41" s="105"/>
      <c r="C41" s="105"/>
      <c r="D41" s="105"/>
      <c r="E41" s="105"/>
      <c r="F41" s="105"/>
      <c r="G41" s="106"/>
    </row>
    <row r="42" spans="1:7" ht="15" customHeight="1" thickBot="1">
      <c r="A42" s="15"/>
      <c r="B42" s="107"/>
      <c r="C42" s="107"/>
      <c r="D42" s="107"/>
      <c r="E42" s="107"/>
      <c r="F42" s="107"/>
      <c r="G42" s="108"/>
    </row>
  </sheetData>
  <sheetProtection password="CAA1" sheet="1"/>
  <mergeCells count="47">
    <mergeCell ref="E31:G31"/>
    <mergeCell ref="B16:F16"/>
    <mergeCell ref="B18:F18"/>
    <mergeCell ref="B21:F21"/>
    <mergeCell ref="B19:F19"/>
    <mergeCell ref="B20:F20"/>
    <mergeCell ref="E26:G26"/>
    <mergeCell ref="B17:F17"/>
    <mergeCell ref="A2:B2"/>
    <mergeCell ref="A4:B4"/>
    <mergeCell ref="A5:B5"/>
    <mergeCell ref="A3:B3"/>
    <mergeCell ref="E7:G7"/>
    <mergeCell ref="E8:G8"/>
    <mergeCell ref="C2:G2"/>
    <mergeCell ref="C4:G4"/>
    <mergeCell ref="C3:G3"/>
    <mergeCell ref="C5:G5"/>
    <mergeCell ref="A13:G13"/>
    <mergeCell ref="A7:D7"/>
    <mergeCell ref="A8:D8"/>
    <mergeCell ref="B22:F22"/>
    <mergeCell ref="E9:G9"/>
    <mergeCell ref="A9:D9"/>
    <mergeCell ref="B10:D10"/>
    <mergeCell ref="F10:G10"/>
    <mergeCell ref="B15:F15"/>
    <mergeCell ref="A1:G1"/>
    <mergeCell ref="A30:B30"/>
    <mergeCell ref="A31:D31"/>
    <mergeCell ref="A26:B26"/>
    <mergeCell ref="A27:B27"/>
    <mergeCell ref="B11:D11"/>
    <mergeCell ref="F11:G11"/>
    <mergeCell ref="B14:F14"/>
    <mergeCell ref="A6:D6"/>
    <mergeCell ref="E6:G6"/>
    <mergeCell ref="B34:G42"/>
    <mergeCell ref="A28:B28"/>
    <mergeCell ref="A29:B29"/>
    <mergeCell ref="B23:F23"/>
    <mergeCell ref="B24:F24"/>
    <mergeCell ref="A33:G33"/>
    <mergeCell ref="E27:G27"/>
    <mergeCell ref="E28:G28"/>
    <mergeCell ref="E29:G29"/>
    <mergeCell ref="E30:G30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6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7.7109375" style="32" customWidth="1"/>
    <col min="2" max="2" width="53.421875" style="33" customWidth="1"/>
    <col min="3" max="3" width="10.7109375" style="34" customWidth="1"/>
    <col min="4" max="4" width="10.7109375" style="35" customWidth="1"/>
    <col min="5" max="6" width="15.7109375" style="34" customWidth="1"/>
    <col min="7" max="7" width="30.7109375" style="36" hidden="1" customWidth="1"/>
    <col min="8" max="8" width="11.57421875" style="29" hidden="1" customWidth="1"/>
    <col min="9" max="9" width="10.7109375" style="29" hidden="1" customWidth="1"/>
    <col min="10" max="11" width="9.140625" style="29" hidden="1" customWidth="1"/>
    <col min="12" max="12" width="11.57421875" style="29" hidden="1" customWidth="1"/>
    <col min="13" max="16384" width="9.140625" style="29" customWidth="1"/>
  </cols>
  <sheetData>
    <row r="1" spans="1:7" ht="15">
      <c r="A1" s="204" t="str">
        <f>IF(('Krycí list'!C3)=0,"",'Krycí list'!C3)</f>
        <v>MŠ Šikulka, Česká Lípa</v>
      </c>
      <c r="B1" s="205"/>
      <c r="C1" s="205"/>
      <c r="D1" s="206"/>
      <c r="E1" s="26" t="s">
        <v>27</v>
      </c>
      <c r="F1" s="27">
        <f>IF(('Krycí list'!A3)=0,"",'Krycí list'!A3)</f>
      </c>
      <c r="G1" s="28"/>
    </row>
    <row r="2" spans="1:7" ht="15.75" thickBot="1">
      <c r="A2" s="201" t="str">
        <f>IF(('Krycí list'!C5)=0,"",'Krycí list'!C5)</f>
        <v>Výměna rozvodů vody - I.etapa</v>
      </c>
      <c r="B2" s="202"/>
      <c r="C2" s="202"/>
      <c r="D2" s="203"/>
      <c r="E2" s="30" t="s">
        <v>28</v>
      </c>
      <c r="F2" s="31">
        <f>IF(('Krycí list'!A5)=0,"",'Krycí list'!A5)</f>
      </c>
      <c r="G2" s="28"/>
    </row>
    <row r="3" ht="15.75" thickBot="1"/>
    <row r="4" spans="1:7" s="42" customFormat="1" ht="15">
      <c r="A4" s="37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40" t="s">
        <v>5</v>
      </c>
      <c r="G4" s="41" t="s">
        <v>8</v>
      </c>
    </row>
    <row r="5" spans="1:6" ht="15">
      <c r="A5" s="43"/>
      <c r="B5" s="44"/>
      <c r="C5" s="45"/>
      <c r="D5" s="46"/>
      <c r="E5" s="45"/>
      <c r="F5" s="47"/>
    </row>
    <row r="6" spans="1:7" s="51" customFormat="1" ht="15">
      <c r="A6" s="48">
        <v>1</v>
      </c>
      <c r="B6" s="187" t="s">
        <v>34</v>
      </c>
      <c r="C6" s="187"/>
      <c r="D6" s="187"/>
      <c r="E6" s="187"/>
      <c r="F6" s="49">
        <f>SUM(F7:F21)</f>
        <v>0</v>
      </c>
      <c r="G6" s="50"/>
    </row>
    <row r="7" spans="1:9" s="58" customFormat="1" ht="15" customHeight="1">
      <c r="A7" s="52">
        <v>1</v>
      </c>
      <c r="B7" s="53" t="s">
        <v>56</v>
      </c>
      <c r="C7" s="54">
        <v>180</v>
      </c>
      <c r="D7" s="55" t="s">
        <v>6</v>
      </c>
      <c r="E7" s="22"/>
      <c r="F7" s="56">
        <f>C7*E7</f>
        <v>0</v>
      </c>
      <c r="G7" s="57"/>
      <c r="H7" s="58">
        <f>ROUND(C7*3.1/1000,3)</f>
        <v>0.558</v>
      </c>
      <c r="I7" s="58" t="s">
        <v>39</v>
      </c>
    </row>
    <row r="8" spans="1:9" s="57" customFormat="1" ht="15">
      <c r="A8" s="59"/>
      <c r="B8" s="198">
        <v>180</v>
      </c>
      <c r="C8" s="199"/>
      <c r="D8" s="199"/>
      <c r="E8" s="199"/>
      <c r="F8" s="200"/>
      <c r="H8" s="57">
        <f>ROUND(C7*0.35/1000,3)</f>
        <v>0.063</v>
      </c>
      <c r="I8" s="57" t="s">
        <v>40</v>
      </c>
    </row>
    <row r="9" spans="1:9" ht="15" customHeight="1">
      <c r="A9" s="52">
        <f>A7+1</f>
        <v>2</v>
      </c>
      <c r="B9" s="60" t="s">
        <v>154</v>
      </c>
      <c r="C9" s="61">
        <v>84</v>
      </c>
      <c r="D9" s="62" t="s">
        <v>10</v>
      </c>
      <c r="E9" s="22"/>
      <c r="F9" s="63">
        <f>C9*E9</f>
        <v>0</v>
      </c>
      <c r="H9" s="29">
        <f>ROUND(PI()*0.1^2/4*0.3*C9*1.8,3)</f>
        <v>0.356</v>
      </c>
      <c r="I9" s="29" t="s">
        <v>41</v>
      </c>
    </row>
    <row r="10" spans="1:6" s="36" customFormat="1" ht="15">
      <c r="A10" s="59"/>
      <c r="B10" s="181">
        <v>84</v>
      </c>
      <c r="C10" s="182"/>
      <c r="D10" s="182"/>
      <c r="E10" s="182"/>
      <c r="F10" s="183"/>
    </row>
    <row r="11" spans="1:9" ht="15">
      <c r="A11" s="52">
        <f>A9+1</f>
        <v>3</v>
      </c>
      <c r="B11" s="60" t="s">
        <v>100</v>
      </c>
      <c r="C11" s="61">
        <f>0.4+7.5+3.6+9+11.7+5.25+19.5+19.5+1.5+4+6.9+1.26+5.8+1.62+4.35</f>
        <v>101.88000000000001</v>
      </c>
      <c r="D11" s="62" t="s">
        <v>45</v>
      </c>
      <c r="E11" s="22"/>
      <c r="F11" s="63">
        <f>C11*E11</f>
        <v>0</v>
      </c>
      <c r="H11" s="29">
        <f>ROUND(C11*0.01*1.8,3)</f>
        <v>1.834</v>
      </c>
      <c r="I11" s="29" t="s">
        <v>41</v>
      </c>
    </row>
    <row r="12" spans="1:6" s="36" customFormat="1" ht="15">
      <c r="A12" s="59"/>
      <c r="B12" s="181" t="s">
        <v>151</v>
      </c>
      <c r="C12" s="182"/>
      <c r="D12" s="182"/>
      <c r="E12" s="182"/>
      <c r="F12" s="183"/>
    </row>
    <row r="13" spans="1:9" ht="15" customHeight="1">
      <c r="A13" s="52">
        <f>A11+1</f>
        <v>4</v>
      </c>
      <c r="B13" s="60" t="s">
        <v>152</v>
      </c>
      <c r="C13" s="61">
        <f>8+2+5+5+6+3+2+2.5+2.5+2.5+5+5</f>
        <v>48.5</v>
      </c>
      <c r="D13" s="62" t="s">
        <v>6</v>
      </c>
      <c r="E13" s="22"/>
      <c r="F13" s="63">
        <f>C13*E13</f>
        <v>0</v>
      </c>
      <c r="H13" s="29">
        <f>ROUND(C13*0.2*0.1*1.8,3)</f>
        <v>1.746</v>
      </c>
      <c r="I13" s="29" t="s">
        <v>41</v>
      </c>
    </row>
    <row r="14" spans="1:6" s="36" customFormat="1" ht="15">
      <c r="A14" s="59"/>
      <c r="B14" s="181" t="s">
        <v>153</v>
      </c>
      <c r="C14" s="182"/>
      <c r="D14" s="182"/>
      <c r="E14" s="182"/>
      <c r="F14" s="183"/>
    </row>
    <row r="15" spans="1:9" ht="15">
      <c r="A15" s="52">
        <f>A13+1</f>
        <v>5</v>
      </c>
      <c r="B15" s="60" t="s">
        <v>155</v>
      </c>
      <c r="C15" s="61">
        <v>4</v>
      </c>
      <c r="D15" s="62" t="s">
        <v>44</v>
      </c>
      <c r="E15" s="22"/>
      <c r="F15" s="63">
        <f>C15*E15</f>
        <v>0</v>
      </c>
      <c r="H15" s="29">
        <f>ROUND(C15*0.01*1.8,3)</f>
        <v>0.072</v>
      </c>
      <c r="I15" s="29" t="s">
        <v>101</v>
      </c>
    </row>
    <row r="16" spans="1:6" s="36" customFormat="1" ht="15">
      <c r="A16" s="59"/>
      <c r="B16" s="181">
        <v>4</v>
      </c>
      <c r="C16" s="182"/>
      <c r="D16" s="182"/>
      <c r="E16" s="182"/>
      <c r="F16" s="183"/>
    </row>
    <row r="17" spans="1:9" ht="15">
      <c r="A17" s="52">
        <f>A15+1</f>
        <v>6</v>
      </c>
      <c r="B17" s="60" t="s">
        <v>156</v>
      </c>
      <c r="C17" s="61">
        <v>10</v>
      </c>
      <c r="D17" s="62" t="s">
        <v>44</v>
      </c>
      <c r="E17" s="22"/>
      <c r="F17" s="63">
        <f>C17*E17</f>
        <v>0</v>
      </c>
      <c r="H17" s="29">
        <f>ROUND(C17*0.001*4,3)</f>
        <v>0.04</v>
      </c>
      <c r="I17" s="29" t="s">
        <v>102</v>
      </c>
    </row>
    <row r="18" spans="1:6" s="36" customFormat="1" ht="15">
      <c r="A18" s="59"/>
      <c r="B18" s="181" t="s">
        <v>158</v>
      </c>
      <c r="C18" s="182"/>
      <c r="D18" s="182"/>
      <c r="E18" s="182"/>
      <c r="F18" s="183"/>
    </row>
    <row r="19" spans="1:9" ht="15" customHeight="1">
      <c r="A19" s="52">
        <f>A17+1</f>
        <v>7</v>
      </c>
      <c r="B19" s="60" t="s">
        <v>157</v>
      </c>
      <c r="C19" s="61">
        <v>20</v>
      </c>
      <c r="D19" s="62" t="s">
        <v>10</v>
      </c>
      <c r="E19" s="22"/>
      <c r="F19" s="63">
        <f>C19*E19</f>
        <v>0</v>
      </c>
      <c r="H19" s="29">
        <f>ROUND(C19*0.001,3)</f>
        <v>0.02</v>
      </c>
      <c r="I19" s="29" t="s">
        <v>41</v>
      </c>
    </row>
    <row r="20" spans="1:6" s="36" customFormat="1" ht="15">
      <c r="A20" s="59"/>
      <c r="B20" s="181">
        <v>20</v>
      </c>
      <c r="C20" s="182"/>
      <c r="D20" s="182"/>
      <c r="E20" s="182"/>
      <c r="F20" s="183"/>
    </row>
    <row r="21" spans="1:6" ht="15" customHeight="1">
      <c r="A21" s="52">
        <f>A19+1</f>
        <v>8</v>
      </c>
      <c r="B21" s="60" t="s">
        <v>38</v>
      </c>
      <c r="C21" s="61">
        <f>CEILING(SUM(H7:H19),0.01)</f>
        <v>4.69</v>
      </c>
      <c r="D21" s="62" t="s">
        <v>9</v>
      </c>
      <c r="E21" s="22"/>
      <c r="F21" s="63">
        <f>C21*E21</f>
        <v>0</v>
      </c>
    </row>
    <row r="22" spans="1:7" s="51" customFormat="1" ht="15">
      <c r="A22" s="64"/>
      <c r="B22" s="44"/>
      <c r="C22" s="45"/>
      <c r="D22" s="46"/>
      <c r="E22" s="45"/>
      <c r="F22" s="47"/>
      <c r="G22" s="50"/>
    </row>
    <row r="23" spans="1:7" s="51" customFormat="1" ht="15">
      <c r="A23" s="65">
        <f>A6+1</f>
        <v>2</v>
      </c>
      <c r="B23" s="187" t="s">
        <v>61</v>
      </c>
      <c r="C23" s="187"/>
      <c r="D23" s="187"/>
      <c r="E23" s="187"/>
      <c r="F23" s="49">
        <f>SUM(F24:F152)</f>
        <v>0</v>
      </c>
      <c r="G23" s="50"/>
    </row>
    <row r="24" spans="1:7" s="71" customFormat="1" ht="15">
      <c r="A24" s="52">
        <f>A21+1</f>
        <v>9</v>
      </c>
      <c r="B24" s="66" t="s">
        <v>105</v>
      </c>
      <c r="C24" s="67">
        <v>180</v>
      </c>
      <c r="D24" s="68" t="s">
        <v>6</v>
      </c>
      <c r="E24" s="22"/>
      <c r="F24" s="69">
        <f>C24*E24</f>
        <v>0</v>
      </c>
      <c r="G24" s="70"/>
    </row>
    <row r="25" spans="1:6" s="70" customFormat="1" ht="15">
      <c r="A25" s="72"/>
      <c r="B25" s="175">
        <v>10</v>
      </c>
      <c r="C25" s="176"/>
      <c r="D25" s="176"/>
      <c r="E25" s="176"/>
      <c r="F25" s="177"/>
    </row>
    <row r="26" spans="1:8" s="79" customFormat="1" ht="15">
      <c r="A26" s="73" t="str">
        <f>CONCATENATE(A24,".1")</f>
        <v>9.1</v>
      </c>
      <c r="B26" s="74" t="s">
        <v>104</v>
      </c>
      <c r="C26" s="75">
        <f>ROUNDUP(C24*1.1,0)</f>
        <v>198</v>
      </c>
      <c r="D26" s="76" t="s">
        <v>6</v>
      </c>
      <c r="E26" s="23"/>
      <c r="F26" s="77">
        <f>C26*E26</f>
        <v>0</v>
      </c>
      <c r="G26" s="78"/>
      <c r="H26" s="79">
        <f>C26*0.434/1000</f>
        <v>0.08593200000000001</v>
      </c>
    </row>
    <row r="27" spans="1:6" s="78" customFormat="1" ht="15">
      <c r="A27" s="80"/>
      <c r="B27" s="188" t="s">
        <v>74</v>
      </c>
      <c r="C27" s="189"/>
      <c r="D27" s="189"/>
      <c r="E27" s="189"/>
      <c r="F27" s="190"/>
    </row>
    <row r="28" spans="1:8" s="79" customFormat="1" ht="15" customHeight="1">
      <c r="A28" s="73" t="str">
        <f>CONCATENATE(A24,".2")</f>
        <v>9.2</v>
      </c>
      <c r="B28" s="74" t="s">
        <v>64</v>
      </c>
      <c r="C28" s="75">
        <f>C24*1.1</f>
        <v>198.00000000000003</v>
      </c>
      <c r="D28" s="76" t="s">
        <v>6</v>
      </c>
      <c r="E28" s="23"/>
      <c r="F28" s="77">
        <f>C28*E28</f>
        <v>0</v>
      </c>
      <c r="G28" s="78"/>
      <c r="H28" s="79">
        <f>C28*0.07/1000</f>
        <v>0.013860000000000003</v>
      </c>
    </row>
    <row r="29" spans="1:6" s="78" customFormat="1" ht="15">
      <c r="A29" s="80"/>
      <c r="B29" s="191" t="str">
        <f>B27</f>
        <v>10*1,1</v>
      </c>
      <c r="C29" s="192"/>
      <c r="D29" s="192"/>
      <c r="E29" s="192"/>
      <c r="F29" s="193"/>
    </row>
    <row r="30" spans="1:7" s="71" customFormat="1" ht="15">
      <c r="A30" s="52">
        <f>A24+1</f>
        <v>10</v>
      </c>
      <c r="B30" s="66" t="s">
        <v>109</v>
      </c>
      <c r="C30" s="67">
        <v>130</v>
      </c>
      <c r="D30" s="68" t="s">
        <v>6</v>
      </c>
      <c r="E30" s="22"/>
      <c r="F30" s="69">
        <f>C30*E30</f>
        <v>0</v>
      </c>
      <c r="G30" s="70"/>
    </row>
    <row r="31" spans="1:6" s="70" customFormat="1" ht="15">
      <c r="A31" s="72"/>
      <c r="B31" s="175">
        <v>140</v>
      </c>
      <c r="C31" s="176"/>
      <c r="D31" s="176"/>
      <c r="E31" s="176"/>
      <c r="F31" s="177"/>
    </row>
    <row r="32" spans="1:8" s="79" customFormat="1" ht="15">
      <c r="A32" s="73" t="str">
        <f>CONCATENATE(A30,".1")</f>
        <v>10.1</v>
      </c>
      <c r="B32" s="74" t="s">
        <v>106</v>
      </c>
      <c r="C32" s="75">
        <f>ROUNDUP(C30*1.1,0)</f>
        <v>143</v>
      </c>
      <c r="D32" s="76" t="s">
        <v>6</v>
      </c>
      <c r="E32" s="23"/>
      <c r="F32" s="77">
        <f>C32*E32</f>
        <v>0</v>
      </c>
      <c r="G32" s="78"/>
      <c r="H32" s="79">
        <f>C32*0.266/1000</f>
        <v>0.038038</v>
      </c>
    </row>
    <row r="33" spans="1:6" s="78" customFormat="1" ht="15">
      <c r="A33" s="80"/>
      <c r="B33" s="188" t="s">
        <v>75</v>
      </c>
      <c r="C33" s="189"/>
      <c r="D33" s="189"/>
      <c r="E33" s="189"/>
      <c r="F33" s="190"/>
    </row>
    <row r="34" spans="1:8" s="79" customFormat="1" ht="15" customHeight="1">
      <c r="A34" s="73" t="str">
        <f>CONCATENATE(A30,".2")</f>
        <v>10.2</v>
      </c>
      <c r="B34" s="74" t="s">
        <v>65</v>
      </c>
      <c r="C34" s="75">
        <f>C30*1.1</f>
        <v>143</v>
      </c>
      <c r="D34" s="76" t="s">
        <v>6</v>
      </c>
      <c r="E34" s="23"/>
      <c r="F34" s="77">
        <f>C34*E34</f>
        <v>0</v>
      </c>
      <c r="G34" s="78"/>
      <c r="H34" s="79">
        <f>C34*0.07/1000</f>
        <v>0.010010000000000002</v>
      </c>
    </row>
    <row r="35" spans="1:6" s="78" customFormat="1" ht="15">
      <c r="A35" s="80"/>
      <c r="B35" s="191" t="str">
        <f>B33</f>
        <v>140*1,1</v>
      </c>
      <c r="C35" s="192"/>
      <c r="D35" s="192"/>
      <c r="E35" s="192"/>
      <c r="F35" s="193"/>
    </row>
    <row r="36" spans="1:7" s="71" customFormat="1" ht="15">
      <c r="A36" s="52">
        <f>A30+1</f>
        <v>11</v>
      </c>
      <c r="B36" s="66" t="s">
        <v>108</v>
      </c>
      <c r="C36" s="67">
        <v>210</v>
      </c>
      <c r="D36" s="68" t="s">
        <v>6</v>
      </c>
      <c r="E36" s="22"/>
      <c r="F36" s="69">
        <f>C36*E36</f>
        <v>0</v>
      </c>
      <c r="G36" s="70"/>
    </row>
    <row r="37" spans="1:6" s="70" customFormat="1" ht="15">
      <c r="A37" s="72"/>
      <c r="B37" s="175">
        <v>270</v>
      </c>
      <c r="C37" s="176"/>
      <c r="D37" s="176"/>
      <c r="E37" s="176"/>
      <c r="F37" s="177"/>
    </row>
    <row r="38" spans="1:8" s="79" customFormat="1" ht="15">
      <c r="A38" s="73" t="str">
        <f>CONCATENATE(A36,".1")</f>
        <v>11.1</v>
      </c>
      <c r="B38" s="74" t="s">
        <v>107</v>
      </c>
      <c r="C38" s="75">
        <f>ROUNDUP(C36*1.1,0)</f>
        <v>231</v>
      </c>
      <c r="D38" s="76" t="s">
        <v>6</v>
      </c>
      <c r="E38" s="23"/>
      <c r="F38" s="77">
        <f>C38*E38</f>
        <v>0</v>
      </c>
      <c r="G38" s="78"/>
      <c r="H38" s="79">
        <f>C38*0.172/1000</f>
        <v>0.039731999999999996</v>
      </c>
    </row>
    <row r="39" spans="1:6" s="78" customFormat="1" ht="15">
      <c r="A39" s="80"/>
      <c r="B39" s="188" t="s">
        <v>76</v>
      </c>
      <c r="C39" s="189"/>
      <c r="D39" s="189"/>
      <c r="E39" s="189"/>
      <c r="F39" s="190"/>
    </row>
    <row r="40" spans="1:8" s="79" customFormat="1" ht="15" customHeight="1">
      <c r="A40" s="73" t="str">
        <f>CONCATENATE(A36,".2")</f>
        <v>11.2</v>
      </c>
      <c r="B40" s="74" t="s">
        <v>85</v>
      </c>
      <c r="C40" s="75">
        <f>C38</f>
        <v>231</v>
      </c>
      <c r="D40" s="76" t="s">
        <v>6</v>
      </c>
      <c r="E40" s="23"/>
      <c r="F40" s="77">
        <f>C40*E40</f>
        <v>0</v>
      </c>
      <c r="G40" s="78"/>
      <c r="H40" s="79">
        <f>C40*0.07/1000</f>
        <v>0.01617</v>
      </c>
    </row>
    <row r="41" spans="1:6" s="78" customFormat="1" ht="15">
      <c r="A41" s="80"/>
      <c r="B41" s="191" t="str">
        <f>B39</f>
        <v>270*1,1</v>
      </c>
      <c r="C41" s="192"/>
      <c r="D41" s="192"/>
      <c r="E41" s="192"/>
      <c r="F41" s="193"/>
    </row>
    <row r="42" spans="1:7" s="71" customFormat="1" ht="15">
      <c r="A42" s="52">
        <f>A36+1</f>
        <v>12</v>
      </c>
      <c r="B42" s="66" t="s">
        <v>62</v>
      </c>
      <c r="C42" s="67">
        <v>30</v>
      </c>
      <c r="D42" s="68" t="s">
        <v>6</v>
      </c>
      <c r="E42" s="22"/>
      <c r="F42" s="69">
        <f>C42*E42</f>
        <v>0</v>
      </c>
      <c r="G42" s="70"/>
    </row>
    <row r="43" spans="1:6" s="70" customFormat="1" ht="15">
      <c r="A43" s="72"/>
      <c r="B43" s="175">
        <v>100</v>
      </c>
      <c r="C43" s="176"/>
      <c r="D43" s="176"/>
      <c r="E43" s="176"/>
      <c r="F43" s="177"/>
    </row>
    <row r="44" spans="1:8" s="79" customFormat="1" ht="15">
      <c r="A44" s="73" t="str">
        <f>CONCATENATE(A42,".1")</f>
        <v>12.1</v>
      </c>
      <c r="B44" s="74" t="s">
        <v>66</v>
      </c>
      <c r="C44" s="75">
        <f>ROUNDUP(C42*1.1,0)</f>
        <v>33</v>
      </c>
      <c r="D44" s="76" t="s">
        <v>6</v>
      </c>
      <c r="E44" s="23"/>
      <c r="F44" s="77">
        <f>C44*E44</f>
        <v>0</v>
      </c>
      <c r="G44" s="78"/>
      <c r="H44" s="79">
        <f>C44*0.671/1000</f>
        <v>0.022143</v>
      </c>
    </row>
    <row r="45" spans="1:6" s="78" customFormat="1" ht="15">
      <c r="A45" s="80"/>
      <c r="B45" s="188" t="s">
        <v>73</v>
      </c>
      <c r="C45" s="189"/>
      <c r="D45" s="189"/>
      <c r="E45" s="189"/>
      <c r="F45" s="190"/>
    </row>
    <row r="46" spans="1:8" s="79" customFormat="1" ht="15" customHeight="1">
      <c r="A46" s="73" t="str">
        <f>CONCATENATE(A42,".3")</f>
        <v>12.3</v>
      </c>
      <c r="B46" s="74" t="s">
        <v>63</v>
      </c>
      <c r="C46" s="75">
        <f>C44</f>
        <v>33</v>
      </c>
      <c r="D46" s="76" t="s">
        <v>6</v>
      </c>
      <c r="E46" s="23"/>
      <c r="F46" s="77">
        <f>C46*E46</f>
        <v>0</v>
      </c>
      <c r="G46" s="78"/>
      <c r="H46" s="79">
        <f>C46*0.07/1000</f>
        <v>0.00231</v>
      </c>
    </row>
    <row r="47" spans="1:8" s="78" customFormat="1" ht="15">
      <c r="A47" s="80"/>
      <c r="B47" s="191" t="str">
        <f>B45</f>
        <v>100*1,1</v>
      </c>
      <c r="C47" s="192"/>
      <c r="D47" s="192"/>
      <c r="E47" s="192"/>
      <c r="F47" s="193"/>
      <c r="H47" s="70"/>
    </row>
    <row r="48" spans="1:8" s="71" customFormat="1" ht="15">
      <c r="A48" s="52">
        <f>A42+1</f>
        <v>13</v>
      </c>
      <c r="B48" s="66" t="s">
        <v>110</v>
      </c>
      <c r="C48" s="67">
        <v>40</v>
      </c>
      <c r="D48" s="68" t="s">
        <v>6</v>
      </c>
      <c r="E48" s="22"/>
      <c r="F48" s="69">
        <f>C48*E48</f>
        <v>0</v>
      </c>
      <c r="G48" s="70"/>
      <c r="H48" s="79"/>
    </row>
    <row r="49" spans="1:8" s="70" customFormat="1" ht="15">
      <c r="A49" s="72"/>
      <c r="B49" s="175">
        <v>110</v>
      </c>
      <c r="C49" s="176"/>
      <c r="D49" s="176"/>
      <c r="E49" s="176"/>
      <c r="F49" s="177"/>
      <c r="H49" s="78"/>
    </row>
    <row r="50" spans="1:8" s="79" customFormat="1" ht="15">
      <c r="A50" s="73" t="str">
        <f>CONCATENATE(A48,".1")</f>
        <v>13.1</v>
      </c>
      <c r="B50" s="74" t="s">
        <v>111</v>
      </c>
      <c r="C50" s="75">
        <f>ROUNDUP(C48*1.1,0)</f>
        <v>44</v>
      </c>
      <c r="D50" s="76" t="s">
        <v>6</v>
      </c>
      <c r="E50" s="23"/>
      <c r="F50" s="77">
        <f>C50*E50</f>
        <v>0</v>
      </c>
      <c r="G50" s="78"/>
      <c r="H50" s="79">
        <f>C50*0.434/1000</f>
        <v>0.019096</v>
      </c>
    </row>
    <row r="51" spans="1:6" s="78" customFormat="1" ht="15">
      <c r="A51" s="80"/>
      <c r="B51" s="188" t="s">
        <v>77</v>
      </c>
      <c r="C51" s="189"/>
      <c r="D51" s="189"/>
      <c r="E51" s="189"/>
      <c r="F51" s="190"/>
    </row>
    <row r="52" spans="1:8" s="79" customFormat="1" ht="15" customHeight="1">
      <c r="A52" s="73" t="str">
        <f>CONCATENATE(A48,".3")</f>
        <v>13.3</v>
      </c>
      <c r="B52" s="74" t="s">
        <v>112</v>
      </c>
      <c r="C52" s="75">
        <f>C50</f>
        <v>44</v>
      </c>
      <c r="D52" s="76" t="s">
        <v>6</v>
      </c>
      <c r="E52" s="23"/>
      <c r="F52" s="77">
        <f>C52*E52</f>
        <v>0</v>
      </c>
      <c r="G52" s="78"/>
      <c r="H52" s="79">
        <f>C52*0.07/1000</f>
        <v>0.0030800000000000003</v>
      </c>
    </row>
    <row r="53" spans="1:6" s="78" customFormat="1" ht="15">
      <c r="A53" s="80"/>
      <c r="B53" s="191" t="str">
        <f>B51</f>
        <v>110*1,1</v>
      </c>
      <c r="C53" s="192"/>
      <c r="D53" s="192"/>
      <c r="E53" s="192"/>
      <c r="F53" s="193"/>
    </row>
    <row r="54" spans="1:6" ht="28.5">
      <c r="A54" s="52">
        <f>A48+1</f>
        <v>14</v>
      </c>
      <c r="B54" s="60" t="s">
        <v>122</v>
      </c>
      <c r="C54" s="61">
        <f>SUM(C56:C83)</f>
        <v>89</v>
      </c>
      <c r="D54" s="62" t="s">
        <v>10</v>
      </c>
      <c r="E54" s="22"/>
      <c r="F54" s="63">
        <f>C54*E54</f>
        <v>0</v>
      </c>
    </row>
    <row r="55" spans="1:6" s="36" customFormat="1" ht="15">
      <c r="A55" s="59"/>
      <c r="B55" s="181">
        <v>89</v>
      </c>
      <c r="C55" s="182"/>
      <c r="D55" s="182"/>
      <c r="E55" s="182"/>
      <c r="F55" s="183"/>
    </row>
    <row r="56" spans="1:8" s="86" customFormat="1" ht="15">
      <c r="A56" s="73" t="str">
        <f>CONCATENATE(A$54,".1")</f>
        <v>14.1</v>
      </c>
      <c r="B56" s="81" t="s">
        <v>59</v>
      </c>
      <c r="C56" s="82">
        <v>34</v>
      </c>
      <c r="D56" s="83" t="s">
        <v>10</v>
      </c>
      <c r="E56" s="23"/>
      <c r="F56" s="84">
        <f>C56*E56</f>
        <v>0</v>
      </c>
      <c r="G56" s="85"/>
      <c r="H56" s="86">
        <f>C56*0.5/1000</f>
        <v>0.017</v>
      </c>
    </row>
    <row r="57" spans="1:6" s="85" customFormat="1" ht="15">
      <c r="A57" s="80"/>
      <c r="B57" s="172">
        <v>34</v>
      </c>
      <c r="C57" s="173"/>
      <c r="D57" s="173"/>
      <c r="E57" s="173"/>
      <c r="F57" s="174"/>
    </row>
    <row r="58" spans="1:8" s="86" customFormat="1" ht="15">
      <c r="A58" s="73" t="str">
        <f>CONCATENATE(A$54,".2")</f>
        <v>14.2</v>
      </c>
      <c r="B58" s="81" t="s">
        <v>113</v>
      </c>
      <c r="C58" s="82">
        <v>1</v>
      </c>
      <c r="D58" s="83" t="s">
        <v>10</v>
      </c>
      <c r="E58" s="23"/>
      <c r="F58" s="84">
        <f>C58*E58</f>
        <v>0</v>
      </c>
      <c r="G58" s="85"/>
      <c r="H58" s="86">
        <f>C58*0.5/1000</f>
        <v>0.0005</v>
      </c>
    </row>
    <row r="59" spans="1:6" s="85" customFormat="1" ht="15">
      <c r="A59" s="80"/>
      <c r="B59" s="172">
        <v>1</v>
      </c>
      <c r="C59" s="173"/>
      <c r="D59" s="173"/>
      <c r="E59" s="173"/>
      <c r="F59" s="174"/>
    </row>
    <row r="60" spans="1:8" s="86" customFormat="1" ht="15">
      <c r="A60" s="73" t="str">
        <f>CONCATENATE(A$54,".2")</f>
        <v>14.2</v>
      </c>
      <c r="B60" s="81" t="s">
        <v>78</v>
      </c>
      <c r="C60" s="82">
        <v>3</v>
      </c>
      <c r="D60" s="83" t="s">
        <v>10</v>
      </c>
      <c r="E60" s="23"/>
      <c r="F60" s="84">
        <f>C60*E60</f>
        <v>0</v>
      </c>
      <c r="G60" s="85"/>
      <c r="H60" s="86">
        <f>C60*0.5/1000</f>
        <v>0.0015</v>
      </c>
    </row>
    <row r="61" spans="1:6" s="85" customFormat="1" ht="15">
      <c r="A61" s="80"/>
      <c r="B61" s="172">
        <v>3</v>
      </c>
      <c r="C61" s="173"/>
      <c r="D61" s="173"/>
      <c r="E61" s="173"/>
      <c r="F61" s="174"/>
    </row>
    <row r="62" spans="1:8" s="86" customFormat="1" ht="15">
      <c r="A62" s="73" t="str">
        <f>CONCATENATE(A$54,".3")</f>
        <v>14.3</v>
      </c>
      <c r="B62" s="81" t="s">
        <v>79</v>
      </c>
      <c r="C62" s="82">
        <v>3</v>
      </c>
      <c r="D62" s="83" t="s">
        <v>10</v>
      </c>
      <c r="E62" s="23"/>
      <c r="F62" s="84">
        <f>C62*E62</f>
        <v>0</v>
      </c>
      <c r="G62" s="85"/>
      <c r="H62" s="86">
        <f>C62*0.5/1000</f>
        <v>0.0015</v>
      </c>
    </row>
    <row r="63" spans="1:6" s="85" customFormat="1" ht="15">
      <c r="A63" s="80"/>
      <c r="B63" s="172">
        <v>3</v>
      </c>
      <c r="C63" s="173"/>
      <c r="D63" s="173"/>
      <c r="E63" s="173"/>
      <c r="F63" s="174"/>
    </row>
    <row r="64" spans="1:8" s="86" customFormat="1" ht="15">
      <c r="A64" s="73" t="str">
        <f>CONCATENATE(A$54,".4")</f>
        <v>14.4</v>
      </c>
      <c r="B64" s="81" t="s">
        <v>80</v>
      </c>
      <c r="C64" s="82">
        <v>14</v>
      </c>
      <c r="D64" s="83" t="s">
        <v>10</v>
      </c>
      <c r="E64" s="23"/>
      <c r="F64" s="84">
        <f>C64*E64</f>
        <v>0</v>
      </c>
      <c r="G64" s="85"/>
      <c r="H64" s="86">
        <f>C64*0.5/1000</f>
        <v>0.007</v>
      </c>
    </row>
    <row r="65" spans="1:6" s="85" customFormat="1" ht="15">
      <c r="A65" s="80"/>
      <c r="B65" s="172">
        <v>14</v>
      </c>
      <c r="C65" s="173"/>
      <c r="D65" s="173"/>
      <c r="E65" s="173"/>
      <c r="F65" s="174"/>
    </row>
    <row r="66" spans="1:8" s="86" customFormat="1" ht="15">
      <c r="A66" s="73" t="str">
        <f>CONCATENATE(A$54,".5")</f>
        <v>14.5</v>
      </c>
      <c r="B66" s="81" t="s">
        <v>81</v>
      </c>
      <c r="C66" s="82">
        <v>13</v>
      </c>
      <c r="D66" s="83" t="s">
        <v>10</v>
      </c>
      <c r="E66" s="23"/>
      <c r="F66" s="84">
        <f>C66*E66</f>
        <v>0</v>
      </c>
      <c r="G66" s="85"/>
      <c r="H66" s="86">
        <f>C66*0.5/1000</f>
        <v>0.0065</v>
      </c>
    </row>
    <row r="67" spans="1:6" s="85" customFormat="1" ht="15">
      <c r="A67" s="80"/>
      <c r="B67" s="172">
        <v>13</v>
      </c>
      <c r="C67" s="173"/>
      <c r="D67" s="173"/>
      <c r="E67" s="173"/>
      <c r="F67" s="174"/>
    </row>
    <row r="68" spans="1:8" s="86" customFormat="1" ht="15">
      <c r="A68" s="73" t="str">
        <f>CONCATENATE(A$54,".6")</f>
        <v>14.6</v>
      </c>
      <c r="B68" s="81" t="s">
        <v>114</v>
      </c>
      <c r="C68" s="82">
        <v>3</v>
      </c>
      <c r="D68" s="83" t="s">
        <v>10</v>
      </c>
      <c r="E68" s="23"/>
      <c r="F68" s="84">
        <f>C68*E68</f>
        <v>0</v>
      </c>
      <c r="G68" s="85"/>
      <c r="H68" s="86">
        <f>C68*0.5/1000</f>
        <v>0.0015</v>
      </c>
    </row>
    <row r="69" spans="1:6" s="85" customFormat="1" ht="15">
      <c r="A69" s="80"/>
      <c r="B69" s="172">
        <v>3</v>
      </c>
      <c r="C69" s="173"/>
      <c r="D69" s="173"/>
      <c r="E69" s="173"/>
      <c r="F69" s="174"/>
    </row>
    <row r="70" spans="1:8" s="86" customFormat="1" ht="15">
      <c r="A70" s="73" t="str">
        <f>CONCATENATE(A$54,".7")</f>
        <v>14.7</v>
      </c>
      <c r="B70" s="81" t="s">
        <v>115</v>
      </c>
      <c r="C70" s="82">
        <v>5</v>
      </c>
      <c r="D70" s="83" t="s">
        <v>10</v>
      </c>
      <c r="E70" s="23"/>
      <c r="F70" s="84">
        <f>C70*E70</f>
        <v>0</v>
      </c>
      <c r="G70" s="85"/>
      <c r="H70" s="86">
        <f>C70*0.5/1000</f>
        <v>0.0025</v>
      </c>
    </row>
    <row r="71" spans="1:6" s="85" customFormat="1" ht="15">
      <c r="A71" s="80"/>
      <c r="B71" s="172">
        <v>5</v>
      </c>
      <c r="C71" s="173"/>
      <c r="D71" s="173"/>
      <c r="E71" s="173"/>
      <c r="F71" s="174"/>
    </row>
    <row r="72" spans="1:8" s="86" customFormat="1" ht="15">
      <c r="A72" s="73" t="str">
        <f>CONCATENATE(A$54,".8")</f>
        <v>14.8</v>
      </c>
      <c r="B72" s="81" t="s">
        <v>116</v>
      </c>
      <c r="C72" s="82">
        <v>6</v>
      </c>
      <c r="D72" s="83" t="s">
        <v>10</v>
      </c>
      <c r="E72" s="23"/>
      <c r="F72" s="84">
        <f>C72*E72</f>
        <v>0</v>
      </c>
      <c r="G72" s="85"/>
      <c r="H72" s="86">
        <f>C72*0.5/1000</f>
        <v>0.003</v>
      </c>
    </row>
    <row r="73" spans="1:6" s="85" customFormat="1" ht="15">
      <c r="A73" s="80"/>
      <c r="B73" s="172">
        <v>6</v>
      </c>
      <c r="C73" s="173"/>
      <c r="D73" s="173"/>
      <c r="E73" s="173"/>
      <c r="F73" s="174"/>
    </row>
    <row r="74" spans="1:8" s="86" customFormat="1" ht="15">
      <c r="A74" s="73" t="str">
        <f>CONCATENATE(A$54,".9")</f>
        <v>14.9</v>
      </c>
      <c r="B74" s="81" t="s">
        <v>117</v>
      </c>
      <c r="C74" s="82">
        <v>1</v>
      </c>
      <c r="D74" s="83" t="s">
        <v>10</v>
      </c>
      <c r="E74" s="23"/>
      <c r="F74" s="84">
        <f>C74*E74</f>
        <v>0</v>
      </c>
      <c r="G74" s="85"/>
      <c r="H74" s="86">
        <f>C74*0.5/1000</f>
        <v>0.0005</v>
      </c>
    </row>
    <row r="75" spans="1:6" s="85" customFormat="1" ht="15">
      <c r="A75" s="80"/>
      <c r="B75" s="172">
        <v>1</v>
      </c>
      <c r="C75" s="173"/>
      <c r="D75" s="173"/>
      <c r="E75" s="173"/>
      <c r="F75" s="174"/>
    </row>
    <row r="76" spans="1:8" s="86" customFormat="1" ht="15">
      <c r="A76" s="73" t="str">
        <f>CONCATENATE(A$54,".10")</f>
        <v>14.10</v>
      </c>
      <c r="B76" s="81" t="s">
        <v>118</v>
      </c>
      <c r="C76" s="82">
        <v>1</v>
      </c>
      <c r="D76" s="83" t="s">
        <v>10</v>
      </c>
      <c r="E76" s="23"/>
      <c r="F76" s="84">
        <f>C76*E76</f>
        <v>0</v>
      </c>
      <c r="G76" s="85"/>
      <c r="H76" s="86">
        <f>C76*0.5/1000</f>
        <v>0.0005</v>
      </c>
    </row>
    <row r="77" spans="1:6" s="85" customFormat="1" ht="15">
      <c r="A77" s="80"/>
      <c r="B77" s="172">
        <v>1</v>
      </c>
      <c r="C77" s="173"/>
      <c r="D77" s="173"/>
      <c r="E77" s="173"/>
      <c r="F77" s="174"/>
    </row>
    <row r="78" spans="1:8" s="86" customFormat="1" ht="15">
      <c r="A78" s="73" t="str">
        <f>CONCATENATE(A$54,".11")</f>
        <v>14.11</v>
      </c>
      <c r="B78" s="81" t="s">
        <v>119</v>
      </c>
      <c r="C78" s="82">
        <v>2</v>
      </c>
      <c r="D78" s="83" t="s">
        <v>10</v>
      </c>
      <c r="E78" s="23"/>
      <c r="F78" s="84">
        <f>C78*E78</f>
        <v>0</v>
      </c>
      <c r="G78" s="85"/>
      <c r="H78" s="86">
        <f>C78*0.5/1000</f>
        <v>0.001</v>
      </c>
    </row>
    <row r="79" spans="1:6" s="85" customFormat="1" ht="15">
      <c r="A79" s="80"/>
      <c r="B79" s="172">
        <v>2</v>
      </c>
      <c r="C79" s="173"/>
      <c r="D79" s="173"/>
      <c r="E79" s="173"/>
      <c r="F79" s="174"/>
    </row>
    <row r="80" spans="1:8" s="86" customFormat="1" ht="15">
      <c r="A80" s="73" t="str">
        <f>CONCATENATE(A$54,".12")</f>
        <v>14.12</v>
      </c>
      <c r="B80" s="81" t="s">
        <v>120</v>
      </c>
      <c r="C80" s="82">
        <v>2</v>
      </c>
      <c r="D80" s="83" t="s">
        <v>10</v>
      </c>
      <c r="E80" s="23"/>
      <c r="F80" s="84">
        <f>C80*E80</f>
        <v>0</v>
      </c>
      <c r="G80" s="85"/>
      <c r="H80" s="86">
        <f>C80*0.5/1000</f>
        <v>0.001</v>
      </c>
    </row>
    <row r="81" spans="1:6" s="85" customFormat="1" ht="15">
      <c r="A81" s="80"/>
      <c r="B81" s="172">
        <v>2</v>
      </c>
      <c r="C81" s="173"/>
      <c r="D81" s="173"/>
      <c r="E81" s="173"/>
      <c r="F81" s="174"/>
    </row>
    <row r="82" spans="1:8" s="86" customFormat="1" ht="15">
      <c r="A82" s="73" t="str">
        <f>CONCATENATE(A$54,".13")</f>
        <v>14.13</v>
      </c>
      <c r="B82" s="81" t="s">
        <v>121</v>
      </c>
      <c r="C82" s="82">
        <v>1</v>
      </c>
      <c r="D82" s="83" t="s">
        <v>10</v>
      </c>
      <c r="E82" s="23"/>
      <c r="F82" s="84">
        <f>C82*E82</f>
        <v>0</v>
      </c>
      <c r="G82" s="85"/>
      <c r="H82" s="86">
        <f>C82*0.5/1000</f>
        <v>0.0005</v>
      </c>
    </row>
    <row r="83" spans="1:6" s="85" customFormat="1" ht="15">
      <c r="A83" s="80"/>
      <c r="B83" s="172">
        <v>1</v>
      </c>
      <c r="C83" s="173"/>
      <c r="D83" s="173"/>
      <c r="E83" s="173"/>
      <c r="F83" s="174"/>
    </row>
    <row r="84" spans="1:6" ht="28.5">
      <c r="A84" s="52">
        <f>A54+1</f>
        <v>15</v>
      </c>
      <c r="B84" s="60" t="s">
        <v>123</v>
      </c>
      <c r="C84" s="61">
        <f>SUM(C86:C105)+1</f>
        <v>34</v>
      </c>
      <c r="D84" s="62" t="s">
        <v>10</v>
      </c>
      <c r="E84" s="22"/>
      <c r="F84" s="63">
        <f>C84*E84</f>
        <v>0</v>
      </c>
    </row>
    <row r="85" spans="1:6" s="36" customFormat="1" ht="15">
      <c r="A85" s="59"/>
      <c r="B85" s="181" t="s">
        <v>133</v>
      </c>
      <c r="C85" s="182"/>
      <c r="D85" s="182"/>
      <c r="E85" s="182"/>
      <c r="F85" s="183"/>
    </row>
    <row r="86" spans="1:8" s="86" customFormat="1" ht="15">
      <c r="A86" s="73" t="str">
        <f>CONCATENATE(A84,".1")</f>
        <v>15.1</v>
      </c>
      <c r="B86" s="81" t="s">
        <v>82</v>
      </c>
      <c r="C86" s="82">
        <v>2</v>
      </c>
      <c r="D86" s="83" t="s">
        <v>10</v>
      </c>
      <c r="E86" s="23"/>
      <c r="F86" s="84">
        <f>C86*E86</f>
        <v>0</v>
      </c>
      <c r="G86" s="85"/>
      <c r="H86" s="86">
        <f>C86*0.5/1000</f>
        <v>0.001</v>
      </c>
    </row>
    <row r="87" spans="1:6" s="85" customFormat="1" ht="15">
      <c r="A87" s="80"/>
      <c r="B87" s="172">
        <v>2</v>
      </c>
      <c r="C87" s="173"/>
      <c r="D87" s="173"/>
      <c r="E87" s="173"/>
      <c r="F87" s="174"/>
    </row>
    <row r="88" spans="1:8" s="86" customFormat="1" ht="15">
      <c r="A88" s="73" t="str">
        <f>CONCATENATE(A84,".2")</f>
        <v>15.2</v>
      </c>
      <c r="B88" s="81" t="s">
        <v>130</v>
      </c>
      <c r="C88" s="82">
        <v>1</v>
      </c>
      <c r="D88" s="83" t="s">
        <v>10</v>
      </c>
      <c r="E88" s="23"/>
      <c r="F88" s="84">
        <f>C88*E88</f>
        <v>0</v>
      </c>
      <c r="G88" s="85"/>
      <c r="H88" s="86">
        <f>C88*0.5/1000</f>
        <v>0.0005</v>
      </c>
    </row>
    <row r="89" spans="1:6" s="85" customFormat="1" ht="15">
      <c r="A89" s="80"/>
      <c r="B89" s="172">
        <v>1</v>
      </c>
      <c r="C89" s="173"/>
      <c r="D89" s="173"/>
      <c r="E89" s="173"/>
      <c r="F89" s="174"/>
    </row>
    <row r="90" spans="1:8" s="86" customFormat="1" ht="28.5">
      <c r="A90" s="87">
        <v>42809</v>
      </c>
      <c r="B90" s="81" t="s">
        <v>124</v>
      </c>
      <c r="C90" s="82">
        <v>2</v>
      </c>
      <c r="D90" s="83" t="s">
        <v>10</v>
      </c>
      <c r="E90" s="23"/>
      <c r="F90" s="84">
        <f>C90*E90</f>
        <v>0</v>
      </c>
      <c r="G90" s="85"/>
      <c r="H90" s="86">
        <f>C90*0.5/1000</f>
        <v>0.001</v>
      </c>
    </row>
    <row r="91" spans="1:6" s="85" customFormat="1" ht="15">
      <c r="A91" s="80"/>
      <c r="B91" s="172">
        <v>2</v>
      </c>
      <c r="C91" s="173"/>
      <c r="D91" s="173"/>
      <c r="E91" s="173"/>
      <c r="F91" s="174"/>
    </row>
    <row r="92" spans="1:8" s="86" customFormat="1" ht="28.5">
      <c r="A92" s="87">
        <v>42840</v>
      </c>
      <c r="B92" s="81" t="s">
        <v>125</v>
      </c>
      <c r="C92" s="82">
        <v>6</v>
      </c>
      <c r="D92" s="83" t="s">
        <v>10</v>
      </c>
      <c r="E92" s="23"/>
      <c r="F92" s="84">
        <f>C92*E92</f>
        <v>0</v>
      </c>
      <c r="G92" s="85"/>
      <c r="H92" s="86">
        <f>C92*0.5/1000</f>
        <v>0.003</v>
      </c>
    </row>
    <row r="93" spans="1:6" s="85" customFormat="1" ht="15">
      <c r="A93" s="80"/>
      <c r="B93" s="172">
        <v>6</v>
      </c>
      <c r="C93" s="173"/>
      <c r="D93" s="173"/>
      <c r="E93" s="173"/>
      <c r="F93" s="174"/>
    </row>
    <row r="94" spans="1:8" s="86" customFormat="1" ht="28.5">
      <c r="A94" s="87">
        <v>42870</v>
      </c>
      <c r="B94" s="81" t="s">
        <v>126</v>
      </c>
      <c r="C94" s="82">
        <v>1</v>
      </c>
      <c r="D94" s="83" t="s">
        <v>10</v>
      </c>
      <c r="E94" s="23"/>
      <c r="F94" s="84">
        <f>C94*E94</f>
        <v>0</v>
      </c>
      <c r="G94" s="85"/>
      <c r="H94" s="86">
        <f>C94*0.5/1000</f>
        <v>0.0005</v>
      </c>
    </row>
    <row r="95" spans="1:6" s="85" customFormat="1" ht="15">
      <c r="A95" s="80"/>
      <c r="B95" s="172">
        <v>1</v>
      </c>
      <c r="C95" s="173"/>
      <c r="D95" s="173"/>
      <c r="E95" s="173"/>
      <c r="F95" s="174"/>
    </row>
    <row r="96" spans="1:8" s="86" customFormat="1" ht="28.5">
      <c r="A96" s="87">
        <v>42901</v>
      </c>
      <c r="B96" s="81" t="s">
        <v>127</v>
      </c>
      <c r="C96" s="82">
        <v>3</v>
      </c>
      <c r="D96" s="83" t="s">
        <v>44</v>
      </c>
      <c r="E96" s="23"/>
      <c r="F96" s="84">
        <f>C96*E96</f>
        <v>0</v>
      </c>
      <c r="G96" s="85"/>
      <c r="H96" s="86">
        <f>C96*0.5/1000</f>
        <v>0.0015</v>
      </c>
    </row>
    <row r="97" spans="1:6" s="85" customFormat="1" ht="15">
      <c r="A97" s="80"/>
      <c r="B97" s="172">
        <v>3</v>
      </c>
      <c r="C97" s="173"/>
      <c r="D97" s="173"/>
      <c r="E97" s="173"/>
      <c r="F97" s="174"/>
    </row>
    <row r="98" spans="1:8" s="86" customFormat="1" ht="28.5">
      <c r="A98" s="87">
        <v>42931</v>
      </c>
      <c r="B98" s="81" t="s">
        <v>128</v>
      </c>
      <c r="C98" s="82">
        <v>1</v>
      </c>
      <c r="D98" s="83" t="s">
        <v>44</v>
      </c>
      <c r="E98" s="23"/>
      <c r="F98" s="84">
        <f>C98*E98</f>
        <v>0</v>
      </c>
      <c r="G98" s="85"/>
      <c r="H98" s="86">
        <f>C98*0.5/1000</f>
        <v>0.0005</v>
      </c>
    </row>
    <row r="99" spans="1:6" s="85" customFormat="1" ht="15">
      <c r="A99" s="80"/>
      <c r="B99" s="172">
        <v>1</v>
      </c>
      <c r="C99" s="173"/>
      <c r="D99" s="173"/>
      <c r="E99" s="173"/>
      <c r="F99" s="174"/>
    </row>
    <row r="100" spans="1:8" s="86" customFormat="1" ht="15">
      <c r="A100" s="87">
        <v>42962</v>
      </c>
      <c r="B100" s="81" t="s">
        <v>83</v>
      </c>
      <c r="C100" s="82">
        <v>8</v>
      </c>
      <c r="D100" s="83" t="s">
        <v>10</v>
      </c>
      <c r="E100" s="23"/>
      <c r="F100" s="84">
        <f>C100*E100</f>
        <v>0</v>
      </c>
      <c r="G100" s="85"/>
      <c r="H100" s="86">
        <f>C100*0.5/1000</f>
        <v>0.004</v>
      </c>
    </row>
    <row r="101" spans="1:6" s="85" customFormat="1" ht="15">
      <c r="A101" s="80"/>
      <c r="B101" s="172">
        <v>8</v>
      </c>
      <c r="C101" s="173"/>
      <c r="D101" s="173"/>
      <c r="E101" s="173"/>
      <c r="F101" s="174"/>
    </row>
    <row r="102" spans="1:8" s="86" customFormat="1" ht="15">
      <c r="A102" s="87">
        <v>42993</v>
      </c>
      <c r="B102" s="81" t="s">
        <v>132</v>
      </c>
      <c r="C102" s="82">
        <v>5</v>
      </c>
      <c r="D102" s="83" t="s">
        <v>10</v>
      </c>
      <c r="E102" s="23"/>
      <c r="F102" s="84">
        <f>C102*E102</f>
        <v>0</v>
      </c>
      <c r="G102" s="85"/>
      <c r="H102" s="86">
        <f>C102*0.5/1000</f>
        <v>0.0025</v>
      </c>
    </row>
    <row r="103" spans="1:6" s="85" customFormat="1" ht="15">
      <c r="A103" s="80"/>
      <c r="B103" s="172">
        <v>5</v>
      </c>
      <c r="C103" s="173"/>
      <c r="D103" s="173"/>
      <c r="E103" s="173"/>
      <c r="F103" s="174"/>
    </row>
    <row r="104" spans="1:8" s="86" customFormat="1" ht="15">
      <c r="A104" s="87">
        <v>43023</v>
      </c>
      <c r="B104" s="81" t="s">
        <v>129</v>
      </c>
      <c r="C104" s="82">
        <v>4</v>
      </c>
      <c r="D104" s="83" t="s">
        <v>10</v>
      </c>
      <c r="E104" s="23"/>
      <c r="F104" s="84">
        <f>C104*E104</f>
        <v>0</v>
      </c>
      <c r="G104" s="85"/>
      <c r="H104" s="86">
        <f>C104*0.5/1000</f>
        <v>0.002</v>
      </c>
    </row>
    <row r="105" spans="1:6" s="85" customFormat="1" ht="15">
      <c r="A105" s="80"/>
      <c r="B105" s="172">
        <v>4</v>
      </c>
      <c r="C105" s="173"/>
      <c r="D105" s="173"/>
      <c r="E105" s="173"/>
      <c r="F105" s="174"/>
    </row>
    <row r="106" spans="1:8" s="86" customFormat="1" ht="15">
      <c r="A106" s="87">
        <v>43054</v>
      </c>
      <c r="B106" s="81" t="s">
        <v>84</v>
      </c>
      <c r="C106" s="82">
        <v>6</v>
      </c>
      <c r="D106" s="83" t="s">
        <v>10</v>
      </c>
      <c r="E106" s="23"/>
      <c r="F106" s="84">
        <f>C106*E106</f>
        <v>0</v>
      </c>
      <c r="G106" s="85"/>
      <c r="H106" s="86">
        <f>C106*0.5/1000</f>
        <v>0.003</v>
      </c>
    </row>
    <row r="107" spans="1:6" s="85" customFormat="1" ht="15">
      <c r="A107" s="80"/>
      <c r="B107" s="172">
        <v>6</v>
      </c>
      <c r="C107" s="173"/>
      <c r="D107" s="173"/>
      <c r="E107" s="173"/>
      <c r="F107" s="174"/>
    </row>
    <row r="108" spans="1:6" ht="28.5">
      <c r="A108" s="52">
        <f>A84+1</f>
        <v>16</v>
      </c>
      <c r="B108" s="60" t="s">
        <v>137</v>
      </c>
      <c r="C108" s="61">
        <v>110</v>
      </c>
      <c r="D108" s="62" t="s">
        <v>6</v>
      </c>
      <c r="E108" s="22"/>
      <c r="F108" s="63">
        <f>C108*E108</f>
        <v>0</v>
      </c>
    </row>
    <row r="109" spans="1:6" s="36" customFormat="1" ht="15">
      <c r="A109" s="59"/>
      <c r="B109" s="181" t="s">
        <v>86</v>
      </c>
      <c r="C109" s="182"/>
      <c r="D109" s="182"/>
      <c r="E109" s="182"/>
      <c r="F109" s="183"/>
    </row>
    <row r="110" spans="1:8" s="86" customFormat="1" ht="15">
      <c r="A110" s="73" t="str">
        <f>CONCATENATE(A$108,".1")</f>
        <v>16.1</v>
      </c>
      <c r="B110" s="81" t="s">
        <v>134</v>
      </c>
      <c r="C110" s="82">
        <v>100</v>
      </c>
      <c r="D110" s="83" t="s">
        <v>6</v>
      </c>
      <c r="E110" s="23"/>
      <c r="F110" s="84">
        <f>C110*E110</f>
        <v>0</v>
      </c>
      <c r="G110" s="85"/>
      <c r="H110" s="86">
        <f>C110*0.125/1000</f>
        <v>0.0125</v>
      </c>
    </row>
    <row r="111" spans="1:6" s="85" customFormat="1" ht="15">
      <c r="A111" s="80"/>
      <c r="B111" s="172">
        <v>100</v>
      </c>
      <c r="C111" s="173"/>
      <c r="D111" s="173"/>
      <c r="E111" s="173"/>
      <c r="F111" s="174"/>
    </row>
    <row r="112" spans="1:8" s="86" customFormat="1" ht="15">
      <c r="A112" s="73" t="str">
        <f>CONCATENATE(A$108,".2")</f>
        <v>16.2</v>
      </c>
      <c r="B112" s="81" t="s">
        <v>135</v>
      </c>
      <c r="C112" s="82">
        <v>10</v>
      </c>
      <c r="D112" s="83" t="s">
        <v>6</v>
      </c>
      <c r="E112" s="23"/>
      <c r="F112" s="84">
        <f>C112*E112</f>
        <v>0</v>
      </c>
      <c r="G112" s="85"/>
      <c r="H112" s="86">
        <f>C112*0.125/1000</f>
        <v>0.00125</v>
      </c>
    </row>
    <row r="113" spans="1:6" s="85" customFormat="1" ht="15">
      <c r="A113" s="80"/>
      <c r="B113" s="172" t="s">
        <v>87</v>
      </c>
      <c r="C113" s="173"/>
      <c r="D113" s="173"/>
      <c r="E113" s="173"/>
      <c r="F113" s="174"/>
    </row>
    <row r="114" spans="1:6" ht="28.5">
      <c r="A114" s="52">
        <f>A108+1</f>
        <v>17</v>
      </c>
      <c r="B114" s="60" t="s">
        <v>136</v>
      </c>
      <c r="C114" s="61">
        <v>10</v>
      </c>
      <c r="D114" s="62" t="s">
        <v>44</v>
      </c>
      <c r="E114" s="22"/>
      <c r="F114" s="63">
        <f>C114*E114</f>
        <v>0</v>
      </c>
    </row>
    <row r="115" spans="1:6" s="36" customFormat="1" ht="15">
      <c r="A115" s="59"/>
      <c r="B115" s="181">
        <v>10</v>
      </c>
      <c r="C115" s="182"/>
      <c r="D115" s="182"/>
      <c r="E115" s="182"/>
      <c r="F115" s="183"/>
    </row>
    <row r="116" spans="1:8" s="86" customFormat="1" ht="15">
      <c r="A116" s="73" t="str">
        <f>CONCATENATE(A114,".1")</f>
        <v>17.1</v>
      </c>
      <c r="B116" s="81" t="s">
        <v>131</v>
      </c>
      <c r="C116" s="82">
        <v>3</v>
      </c>
      <c r="D116" s="83" t="s">
        <v>10</v>
      </c>
      <c r="E116" s="23"/>
      <c r="F116" s="84">
        <f>C116*E116</f>
        <v>0</v>
      </c>
      <c r="G116" s="85"/>
      <c r="H116" s="86">
        <f>C116*14/1000</f>
        <v>0.042</v>
      </c>
    </row>
    <row r="117" spans="1:6" s="85" customFormat="1" ht="15">
      <c r="A117" s="80"/>
      <c r="B117" s="172">
        <v>3</v>
      </c>
      <c r="C117" s="173"/>
      <c r="D117" s="173"/>
      <c r="E117" s="173"/>
      <c r="F117" s="174"/>
    </row>
    <row r="118" spans="1:8" s="86" customFormat="1" ht="15">
      <c r="A118" s="73" t="str">
        <f>CONCATENATE(A114,".2")</f>
        <v>17.2</v>
      </c>
      <c r="B118" s="81" t="s">
        <v>138</v>
      </c>
      <c r="C118" s="82">
        <v>2</v>
      </c>
      <c r="D118" s="83" t="s">
        <v>10</v>
      </c>
      <c r="E118" s="23"/>
      <c r="F118" s="84">
        <f>C118*E118</f>
        <v>0</v>
      </c>
      <c r="G118" s="85"/>
      <c r="H118" s="86">
        <f>C118*10/1000</f>
        <v>0.02</v>
      </c>
    </row>
    <row r="119" spans="1:6" s="85" customFormat="1" ht="15">
      <c r="A119" s="80"/>
      <c r="B119" s="172">
        <v>2</v>
      </c>
      <c r="C119" s="173"/>
      <c r="D119" s="173"/>
      <c r="E119" s="173"/>
      <c r="F119" s="174"/>
    </row>
    <row r="120" spans="1:8" s="86" customFormat="1" ht="15">
      <c r="A120" s="87">
        <v>42811</v>
      </c>
      <c r="B120" s="81" t="s">
        <v>139</v>
      </c>
      <c r="C120" s="82">
        <v>4</v>
      </c>
      <c r="D120" s="83" t="s">
        <v>10</v>
      </c>
      <c r="E120" s="23"/>
      <c r="F120" s="84">
        <f>C120*E120</f>
        <v>0</v>
      </c>
      <c r="G120" s="85"/>
      <c r="H120" s="86">
        <f>C120*10/1000</f>
        <v>0.04</v>
      </c>
    </row>
    <row r="121" spans="1:6" s="85" customFormat="1" ht="15">
      <c r="A121" s="80"/>
      <c r="B121" s="172">
        <v>4</v>
      </c>
      <c r="C121" s="173"/>
      <c r="D121" s="173"/>
      <c r="E121" s="173"/>
      <c r="F121" s="174"/>
    </row>
    <row r="122" spans="1:8" s="86" customFormat="1" ht="15">
      <c r="A122" s="87">
        <v>42842</v>
      </c>
      <c r="B122" s="81" t="s">
        <v>140</v>
      </c>
      <c r="C122" s="82">
        <v>1</v>
      </c>
      <c r="D122" s="83" t="s">
        <v>10</v>
      </c>
      <c r="E122" s="23"/>
      <c r="F122" s="84">
        <f>C122*E122</f>
        <v>0</v>
      </c>
      <c r="G122" s="85"/>
      <c r="H122" s="86">
        <f>C122*10/1000</f>
        <v>0.01</v>
      </c>
    </row>
    <row r="123" spans="1:6" s="85" customFormat="1" ht="15">
      <c r="A123" s="80"/>
      <c r="B123" s="172">
        <v>1</v>
      </c>
      <c r="C123" s="173"/>
      <c r="D123" s="173"/>
      <c r="E123" s="173"/>
      <c r="F123" s="174"/>
    </row>
    <row r="124" spans="1:8" s="86" customFormat="1" ht="15">
      <c r="A124" s="87">
        <v>42872</v>
      </c>
      <c r="B124" s="81" t="s">
        <v>141</v>
      </c>
      <c r="C124" s="82">
        <v>10</v>
      </c>
      <c r="D124" s="83" t="s">
        <v>10</v>
      </c>
      <c r="E124" s="23"/>
      <c r="F124" s="84">
        <f>C124*E124</f>
        <v>0</v>
      </c>
      <c r="G124" s="85"/>
      <c r="H124" s="86">
        <f>C124*0.125/1000</f>
        <v>0.00125</v>
      </c>
    </row>
    <row r="125" spans="1:6" s="85" customFormat="1" ht="15">
      <c r="A125" s="80"/>
      <c r="B125" s="172">
        <v>10</v>
      </c>
      <c r="C125" s="173"/>
      <c r="D125" s="173"/>
      <c r="E125" s="173"/>
      <c r="F125" s="174"/>
    </row>
    <row r="126" spans="1:8" s="86" customFormat="1" ht="15">
      <c r="A126" s="87">
        <v>42903</v>
      </c>
      <c r="B126" s="81" t="s">
        <v>88</v>
      </c>
      <c r="C126" s="82">
        <v>10</v>
      </c>
      <c r="D126" s="83" t="s">
        <v>44</v>
      </c>
      <c r="E126" s="23"/>
      <c r="F126" s="84">
        <f>C126*E126</f>
        <v>0</v>
      </c>
      <c r="G126" s="85"/>
      <c r="H126" s="86">
        <f>C126*0.125/1000</f>
        <v>0.00125</v>
      </c>
    </row>
    <row r="127" spans="1:6" s="85" customFormat="1" ht="15">
      <c r="A127" s="80"/>
      <c r="B127" s="172">
        <v>10</v>
      </c>
      <c r="C127" s="173"/>
      <c r="D127" s="173"/>
      <c r="E127" s="173"/>
      <c r="F127" s="174"/>
    </row>
    <row r="128" spans="1:6" ht="28.5">
      <c r="A128" s="52">
        <f>A114+1</f>
        <v>18</v>
      </c>
      <c r="B128" s="60" t="s">
        <v>142</v>
      </c>
      <c r="C128" s="61">
        <v>6</v>
      </c>
      <c r="D128" s="62" t="s">
        <v>44</v>
      </c>
      <c r="E128" s="22"/>
      <c r="F128" s="63">
        <f>C128*E128</f>
        <v>0</v>
      </c>
    </row>
    <row r="129" spans="1:6" s="36" customFormat="1" ht="15">
      <c r="A129" s="59"/>
      <c r="B129" s="181">
        <v>6</v>
      </c>
      <c r="C129" s="182"/>
      <c r="D129" s="182"/>
      <c r="E129" s="182"/>
      <c r="F129" s="183"/>
    </row>
    <row r="130" spans="1:8" s="86" customFormat="1" ht="15">
      <c r="A130" s="73" t="str">
        <f>CONCATENATE(A128,".1")</f>
        <v>18.1</v>
      </c>
      <c r="B130" s="81" t="s">
        <v>143</v>
      </c>
      <c r="C130" s="82">
        <v>4</v>
      </c>
      <c r="D130" s="83" t="s">
        <v>10</v>
      </c>
      <c r="E130" s="23"/>
      <c r="F130" s="84">
        <f>C130*E130</f>
        <v>0</v>
      </c>
      <c r="G130" s="85"/>
      <c r="H130" s="86">
        <f>C130*14/1000</f>
        <v>0.056</v>
      </c>
    </row>
    <row r="131" spans="1:6" s="85" customFormat="1" ht="15">
      <c r="A131" s="80"/>
      <c r="B131" s="172">
        <v>4</v>
      </c>
      <c r="C131" s="173"/>
      <c r="D131" s="173"/>
      <c r="E131" s="173"/>
      <c r="F131" s="174"/>
    </row>
    <row r="132" spans="1:8" s="86" customFormat="1" ht="15">
      <c r="A132" s="73" t="str">
        <f>CONCATENATE(A128,".2")</f>
        <v>18.2</v>
      </c>
      <c r="B132" s="81" t="s">
        <v>144</v>
      </c>
      <c r="C132" s="82">
        <v>2</v>
      </c>
      <c r="D132" s="83" t="s">
        <v>10</v>
      </c>
      <c r="E132" s="23"/>
      <c r="F132" s="84">
        <f>C132*E132</f>
        <v>0</v>
      </c>
      <c r="G132" s="85"/>
      <c r="H132" s="86">
        <f>C132*10/1000</f>
        <v>0.02</v>
      </c>
    </row>
    <row r="133" spans="1:6" s="85" customFormat="1" ht="15">
      <c r="A133" s="80"/>
      <c r="B133" s="172">
        <v>2</v>
      </c>
      <c r="C133" s="173"/>
      <c r="D133" s="173"/>
      <c r="E133" s="173"/>
      <c r="F133" s="174"/>
    </row>
    <row r="134" spans="1:8" s="86" customFormat="1" ht="15">
      <c r="A134" s="73" t="str">
        <f>CONCATENATE(A128,".3")</f>
        <v>18.3</v>
      </c>
      <c r="B134" s="81" t="s">
        <v>145</v>
      </c>
      <c r="C134" s="82">
        <v>6</v>
      </c>
      <c r="D134" s="83" t="s">
        <v>44</v>
      </c>
      <c r="E134" s="23"/>
      <c r="F134" s="84">
        <f>C134*E134</f>
        <v>0</v>
      </c>
      <c r="G134" s="85"/>
      <c r="H134" s="86">
        <f>C134*0.125/1000</f>
        <v>0.00075</v>
      </c>
    </row>
    <row r="135" spans="1:6" s="85" customFormat="1" ht="15">
      <c r="A135" s="80"/>
      <c r="B135" s="172">
        <v>6</v>
      </c>
      <c r="C135" s="173"/>
      <c r="D135" s="173"/>
      <c r="E135" s="173"/>
      <c r="F135" s="174"/>
    </row>
    <row r="136" spans="1:6" ht="28.5">
      <c r="A136" s="52">
        <f>A128+1</f>
        <v>19</v>
      </c>
      <c r="B136" s="60" t="s">
        <v>146</v>
      </c>
      <c r="C136" s="61">
        <v>1</v>
      </c>
      <c r="D136" s="62" t="s">
        <v>44</v>
      </c>
      <c r="E136" s="22"/>
      <c r="F136" s="63">
        <f>C136*E136</f>
        <v>0</v>
      </c>
    </row>
    <row r="137" spans="1:6" s="36" customFormat="1" ht="15">
      <c r="A137" s="59"/>
      <c r="B137" s="181">
        <v>1</v>
      </c>
      <c r="C137" s="182"/>
      <c r="D137" s="182"/>
      <c r="E137" s="182"/>
      <c r="F137" s="183"/>
    </row>
    <row r="138" spans="1:8" s="86" customFormat="1" ht="15">
      <c r="A138" s="73" t="str">
        <f>CONCATENATE(A136,".1")</f>
        <v>19.1</v>
      </c>
      <c r="B138" s="81" t="s">
        <v>149</v>
      </c>
      <c r="C138" s="82">
        <v>1</v>
      </c>
      <c r="D138" s="83" t="s">
        <v>10</v>
      </c>
      <c r="E138" s="23"/>
      <c r="F138" s="84">
        <f>C138*E138</f>
        <v>0</v>
      </c>
      <c r="G138" s="85"/>
      <c r="H138" s="86">
        <f>C138*14/1000</f>
        <v>0.014</v>
      </c>
    </row>
    <row r="139" spans="1:6" s="85" customFormat="1" ht="15">
      <c r="A139" s="80"/>
      <c r="B139" s="172">
        <v>1</v>
      </c>
      <c r="C139" s="173"/>
      <c r="D139" s="173"/>
      <c r="E139" s="173"/>
      <c r="F139" s="174"/>
    </row>
    <row r="140" spans="1:8" s="86" customFormat="1" ht="15">
      <c r="A140" s="73" t="str">
        <f>CONCATENATE(A136,".2")</f>
        <v>19.2</v>
      </c>
      <c r="B140" s="81" t="s">
        <v>147</v>
      </c>
      <c r="C140" s="82">
        <v>1</v>
      </c>
      <c r="D140" s="83" t="s">
        <v>10</v>
      </c>
      <c r="E140" s="23"/>
      <c r="F140" s="84">
        <f>C140*E140</f>
        <v>0</v>
      </c>
      <c r="G140" s="85"/>
      <c r="H140" s="86">
        <f>C140*10/1000</f>
        <v>0.01</v>
      </c>
    </row>
    <row r="141" spans="1:6" s="85" customFormat="1" ht="15">
      <c r="A141" s="80"/>
      <c r="B141" s="172">
        <v>1</v>
      </c>
      <c r="C141" s="173"/>
      <c r="D141" s="173"/>
      <c r="E141" s="173"/>
      <c r="F141" s="174"/>
    </row>
    <row r="142" spans="1:8" s="86" customFormat="1" ht="15">
      <c r="A142" s="87">
        <v>42813</v>
      </c>
      <c r="B142" s="81" t="s">
        <v>148</v>
      </c>
      <c r="C142" s="82">
        <v>1</v>
      </c>
      <c r="D142" s="83" t="s">
        <v>10</v>
      </c>
      <c r="E142" s="23"/>
      <c r="F142" s="84">
        <f>C142*E142</f>
        <v>0</v>
      </c>
      <c r="G142" s="85"/>
      <c r="H142" s="86">
        <f>C142*10/1000</f>
        <v>0.01</v>
      </c>
    </row>
    <row r="143" spans="1:6" s="85" customFormat="1" ht="15">
      <c r="A143" s="80"/>
      <c r="B143" s="172">
        <v>1</v>
      </c>
      <c r="C143" s="173"/>
      <c r="D143" s="173"/>
      <c r="E143" s="173"/>
      <c r="F143" s="174"/>
    </row>
    <row r="144" spans="1:8" s="86" customFormat="1" ht="15">
      <c r="A144" s="73" t="str">
        <f>CONCATENATE(A136,".4")</f>
        <v>19.4</v>
      </c>
      <c r="B144" s="81" t="s">
        <v>150</v>
      </c>
      <c r="C144" s="82">
        <v>1</v>
      </c>
      <c r="D144" s="83" t="s">
        <v>44</v>
      </c>
      <c r="E144" s="23"/>
      <c r="F144" s="84">
        <f>C144*E144</f>
        <v>0</v>
      </c>
      <c r="G144" s="85"/>
      <c r="H144" s="86">
        <f>C144*0.125/1000</f>
        <v>0.000125</v>
      </c>
    </row>
    <row r="145" spans="1:6" s="85" customFormat="1" ht="15">
      <c r="A145" s="80"/>
      <c r="B145" s="172">
        <v>1</v>
      </c>
      <c r="C145" s="173"/>
      <c r="D145" s="173"/>
      <c r="E145" s="173"/>
      <c r="F145" s="174"/>
    </row>
    <row r="146" spans="1:6" ht="15">
      <c r="A146" s="52">
        <f>A136+1</f>
        <v>20</v>
      </c>
      <c r="B146" s="60" t="s">
        <v>43</v>
      </c>
      <c r="C146" s="61">
        <f>CEILING(SUM(H24:H127),0.01)</f>
        <v>0.45</v>
      </c>
      <c r="D146" s="62" t="s">
        <v>9</v>
      </c>
      <c r="E146" s="22"/>
      <c r="F146" s="63">
        <f>C146*E146</f>
        <v>0</v>
      </c>
    </row>
    <row r="147" spans="1:6" ht="15">
      <c r="A147" s="52">
        <f>A146+1</f>
        <v>21</v>
      </c>
      <c r="B147" s="60" t="s">
        <v>42</v>
      </c>
      <c r="C147" s="61">
        <f>CEILING(SUM(H24:H127),0.01)</f>
        <v>0.45</v>
      </c>
      <c r="D147" s="62" t="s">
        <v>9</v>
      </c>
      <c r="E147" s="22"/>
      <c r="F147" s="63">
        <f>C147*E147</f>
        <v>0</v>
      </c>
    </row>
    <row r="148" spans="1:6" ht="15">
      <c r="A148" s="52">
        <f>A147+1</f>
        <v>22</v>
      </c>
      <c r="B148" s="60" t="s">
        <v>54</v>
      </c>
      <c r="C148" s="61">
        <v>1</v>
      </c>
      <c r="D148" s="62" t="s">
        <v>44</v>
      </c>
      <c r="E148" s="22"/>
      <c r="F148" s="63">
        <f>C148*E148</f>
        <v>0</v>
      </c>
    </row>
    <row r="149" spans="1:6" s="36" customFormat="1" ht="15">
      <c r="A149" s="59"/>
      <c r="B149" s="181" t="s">
        <v>89</v>
      </c>
      <c r="C149" s="182"/>
      <c r="D149" s="182"/>
      <c r="E149" s="182"/>
      <c r="F149" s="183"/>
    </row>
    <row r="150" spans="1:6" ht="15">
      <c r="A150" s="52">
        <f>A148+1</f>
        <v>23</v>
      </c>
      <c r="B150" s="60" t="s">
        <v>52</v>
      </c>
      <c r="C150" s="61">
        <v>1</v>
      </c>
      <c r="D150" s="62" t="s">
        <v>44</v>
      </c>
      <c r="E150" s="22"/>
      <c r="F150" s="63">
        <f>C150*E150</f>
        <v>0</v>
      </c>
    </row>
    <row r="151" spans="1:6" s="36" customFormat="1" ht="15">
      <c r="A151" s="59"/>
      <c r="B151" s="181" t="s">
        <v>53</v>
      </c>
      <c r="C151" s="182"/>
      <c r="D151" s="182"/>
      <c r="E151" s="182"/>
      <c r="F151" s="183"/>
    </row>
    <row r="152" spans="1:6" ht="15">
      <c r="A152" s="52">
        <f>A150+1</f>
        <v>24</v>
      </c>
      <c r="B152" s="60" t="s">
        <v>67</v>
      </c>
      <c r="C152" s="61">
        <v>1</v>
      </c>
      <c r="D152" s="62" t="s">
        <v>44</v>
      </c>
      <c r="E152" s="22"/>
      <c r="F152" s="63">
        <f>C152*E152</f>
        <v>0</v>
      </c>
    </row>
    <row r="153" spans="1:6" s="36" customFormat="1" ht="15">
      <c r="A153" s="59"/>
      <c r="B153" s="181" t="s">
        <v>68</v>
      </c>
      <c r="C153" s="182"/>
      <c r="D153" s="182"/>
      <c r="E153" s="182"/>
      <c r="F153" s="183"/>
    </row>
    <row r="154" spans="1:7" s="51" customFormat="1" ht="15">
      <c r="A154" s="64"/>
      <c r="B154" s="44"/>
      <c r="C154" s="45"/>
      <c r="D154" s="46"/>
      <c r="E154" s="45"/>
      <c r="F154" s="47"/>
      <c r="G154" s="50"/>
    </row>
    <row r="155" spans="1:7" s="51" customFormat="1" ht="15">
      <c r="A155" s="65">
        <v>3</v>
      </c>
      <c r="B155" s="187" t="s">
        <v>90</v>
      </c>
      <c r="C155" s="187"/>
      <c r="D155" s="187"/>
      <c r="E155" s="187"/>
      <c r="F155" s="49">
        <f>SUM(F156:F170)</f>
        <v>0</v>
      </c>
      <c r="G155" s="50"/>
    </row>
    <row r="156" spans="1:7" s="71" customFormat="1" ht="15">
      <c r="A156" s="52">
        <f>A152+1</f>
        <v>25</v>
      </c>
      <c r="B156" s="66" t="s">
        <v>91</v>
      </c>
      <c r="C156" s="67">
        <v>35</v>
      </c>
      <c r="D156" s="68" t="s">
        <v>6</v>
      </c>
      <c r="E156" s="22"/>
      <c r="F156" s="69">
        <f>C156*E156</f>
        <v>0</v>
      </c>
      <c r="G156" s="70"/>
    </row>
    <row r="157" spans="1:6" s="70" customFormat="1" ht="15">
      <c r="A157" s="72"/>
      <c r="B157" s="175">
        <v>35</v>
      </c>
      <c r="C157" s="176"/>
      <c r="D157" s="176"/>
      <c r="E157" s="176"/>
      <c r="F157" s="177"/>
    </row>
    <row r="158" spans="1:8" s="79" customFormat="1" ht="15">
      <c r="A158" s="73" t="str">
        <f>CONCATENATE(A156,".1")</f>
        <v>25.1</v>
      </c>
      <c r="B158" s="74" t="s">
        <v>176</v>
      </c>
      <c r="C158" s="75">
        <v>35</v>
      </c>
      <c r="D158" s="76" t="s">
        <v>6</v>
      </c>
      <c r="E158" s="23"/>
      <c r="F158" s="77">
        <f>C158*E158</f>
        <v>0</v>
      </c>
      <c r="G158" s="78"/>
      <c r="H158" s="79">
        <f>C158*0.12/1000</f>
        <v>0.004200000000000001</v>
      </c>
    </row>
    <row r="159" spans="1:6" s="78" customFormat="1" ht="15">
      <c r="A159" s="80"/>
      <c r="B159" s="188">
        <v>35</v>
      </c>
      <c r="C159" s="189"/>
      <c r="D159" s="189"/>
      <c r="E159" s="189"/>
      <c r="F159" s="190"/>
    </row>
    <row r="160" spans="1:7" s="79" customFormat="1" ht="15" customHeight="1">
      <c r="A160" s="73" t="str">
        <f>CONCATENATE(A156,".2")</f>
        <v>25.2</v>
      </c>
      <c r="B160" s="74" t="s">
        <v>92</v>
      </c>
      <c r="C160" s="75">
        <v>30</v>
      </c>
      <c r="D160" s="76" t="s">
        <v>6</v>
      </c>
      <c r="E160" s="23"/>
      <c r="F160" s="77">
        <f>C160*E160</f>
        <v>0</v>
      </c>
      <c r="G160" s="78"/>
    </row>
    <row r="161" spans="1:6" s="78" customFormat="1" ht="15">
      <c r="A161" s="80"/>
      <c r="B161" s="191">
        <v>30</v>
      </c>
      <c r="C161" s="192"/>
      <c r="D161" s="192"/>
      <c r="E161" s="192"/>
      <c r="F161" s="193"/>
    </row>
    <row r="162" spans="1:7" s="71" customFormat="1" ht="15">
      <c r="A162" s="52">
        <f>A156+1</f>
        <v>26</v>
      </c>
      <c r="B162" s="66" t="s">
        <v>178</v>
      </c>
      <c r="C162" s="67">
        <v>1</v>
      </c>
      <c r="D162" s="68" t="s">
        <v>44</v>
      </c>
      <c r="E162" s="22"/>
      <c r="F162" s="69">
        <f>C162*E162</f>
        <v>0</v>
      </c>
      <c r="G162" s="70"/>
    </row>
    <row r="163" spans="1:6" s="70" customFormat="1" ht="15">
      <c r="A163" s="72"/>
      <c r="B163" s="175">
        <v>1</v>
      </c>
      <c r="C163" s="176"/>
      <c r="D163" s="176"/>
      <c r="E163" s="176"/>
      <c r="F163" s="177"/>
    </row>
    <row r="164" spans="1:7" s="79" customFormat="1" ht="15">
      <c r="A164" s="73" t="str">
        <f>CONCATENATE(A162,".1")</f>
        <v>26.1</v>
      </c>
      <c r="B164" s="74" t="s">
        <v>177</v>
      </c>
      <c r="C164" s="75">
        <v>3</v>
      </c>
      <c r="D164" s="76" t="s">
        <v>10</v>
      </c>
      <c r="E164" s="23"/>
      <c r="F164" s="77">
        <f>C164*E164</f>
        <v>0</v>
      </c>
      <c r="G164" s="78"/>
    </row>
    <row r="165" spans="1:6" s="78" customFormat="1" ht="15">
      <c r="A165" s="80"/>
      <c r="B165" s="188">
        <v>3</v>
      </c>
      <c r="C165" s="189"/>
      <c r="D165" s="189"/>
      <c r="E165" s="189"/>
      <c r="F165" s="190"/>
    </row>
    <row r="166" spans="1:6" ht="15">
      <c r="A166" s="52">
        <f>A162+1</f>
        <v>27</v>
      </c>
      <c r="B166" s="60" t="s">
        <v>43</v>
      </c>
      <c r="C166" s="61">
        <f>CEILING(SUM(H156:H167),0.01)</f>
        <v>0.01</v>
      </c>
      <c r="D166" s="62" t="s">
        <v>9</v>
      </c>
      <c r="E166" s="22"/>
      <c r="F166" s="63">
        <f>C166*E166</f>
        <v>0</v>
      </c>
    </row>
    <row r="167" spans="1:6" ht="15">
      <c r="A167" s="52">
        <f>A166+1</f>
        <v>28</v>
      </c>
      <c r="B167" s="60" t="s">
        <v>42</v>
      </c>
      <c r="C167" s="61">
        <f>CEILING(SUM(H156:H167),0.01)</f>
        <v>0.01</v>
      </c>
      <c r="D167" s="62" t="s">
        <v>9</v>
      </c>
      <c r="E167" s="22"/>
      <c r="F167" s="63">
        <f>C167*E167</f>
        <v>0</v>
      </c>
    </row>
    <row r="168" spans="1:6" ht="15">
      <c r="A168" s="52">
        <f>A167+1</f>
        <v>29</v>
      </c>
      <c r="B168" s="60" t="s">
        <v>179</v>
      </c>
      <c r="C168" s="61">
        <v>1</v>
      </c>
      <c r="D168" s="62" t="s">
        <v>44</v>
      </c>
      <c r="E168" s="22"/>
      <c r="F168" s="63">
        <f>C168*E168</f>
        <v>0</v>
      </c>
    </row>
    <row r="169" spans="1:6" s="36" customFormat="1" ht="15">
      <c r="A169" s="59"/>
      <c r="B169" s="181" t="s">
        <v>180</v>
      </c>
      <c r="C169" s="182"/>
      <c r="D169" s="182"/>
      <c r="E169" s="182"/>
      <c r="F169" s="183"/>
    </row>
    <row r="170" spans="1:6" ht="15">
      <c r="A170" s="52">
        <f>A168+1</f>
        <v>30</v>
      </c>
      <c r="B170" s="60" t="s">
        <v>93</v>
      </c>
      <c r="C170" s="61">
        <v>1</v>
      </c>
      <c r="D170" s="62" t="s">
        <v>44</v>
      </c>
      <c r="E170" s="22"/>
      <c r="F170" s="63">
        <f>C170*E170</f>
        <v>0</v>
      </c>
    </row>
    <row r="171" spans="1:6" s="36" customFormat="1" ht="15">
      <c r="A171" s="59"/>
      <c r="B171" s="181" t="s">
        <v>94</v>
      </c>
      <c r="C171" s="182"/>
      <c r="D171" s="182"/>
      <c r="E171" s="182"/>
      <c r="F171" s="183"/>
    </row>
    <row r="172" spans="1:7" s="51" customFormat="1" ht="15">
      <c r="A172" s="64"/>
      <c r="B172" s="44"/>
      <c r="C172" s="45"/>
      <c r="D172" s="46"/>
      <c r="E172" s="45"/>
      <c r="F172" s="47"/>
      <c r="G172" s="50"/>
    </row>
    <row r="173" spans="1:7" s="51" customFormat="1" ht="15">
      <c r="A173" s="65">
        <v>4</v>
      </c>
      <c r="B173" s="187" t="s">
        <v>72</v>
      </c>
      <c r="C173" s="187"/>
      <c r="D173" s="187"/>
      <c r="E173" s="187"/>
      <c r="F173" s="49">
        <f>SUM(F174:F208)</f>
        <v>0</v>
      </c>
      <c r="G173" s="50"/>
    </row>
    <row r="174" spans="1:6" ht="15">
      <c r="A174" s="52">
        <f>A170+1</f>
        <v>31</v>
      </c>
      <c r="B174" s="60" t="s">
        <v>69</v>
      </c>
      <c r="C174" s="61">
        <f>0.0031*42+0.0024*84</f>
        <v>0.3318</v>
      </c>
      <c r="D174" s="62" t="s">
        <v>60</v>
      </c>
      <c r="E174" s="22"/>
      <c r="F174" s="63">
        <f>C174*E174</f>
        <v>0</v>
      </c>
    </row>
    <row r="175" spans="1:6" s="36" customFormat="1" ht="15">
      <c r="A175" s="72"/>
      <c r="B175" s="178" t="s">
        <v>159</v>
      </c>
      <c r="C175" s="179"/>
      <c r="D175" s="179"/>
      <c r="E175" s="179"/>
      <c r="F175" s="180"/>
    </row>
    <row r="176" spans="1:6" ht="15">
      <c r="A176" s="73" t="str">
        <f>CONCATENATE(A174,".1")</f>
        <v>31.1</v>
      </c>
      <c r="B176" s="81" t="s">
        <v>46</v>
      </c>
      <c r="C176" s="82">
        <f>ROUNDUP((0.0031*42+0.0024*84)/0.033,0)</f>
        <v>11</v>
      </c>
      <c r="D176" s="83" t="s">
        <v>55</v>
      </c>
      <c r="E176" s="23"/>
      <c r="F176" s="84">
        <f>C176*E176</f>
        <v>0</v>
      </c>
    </row>
    <row r="177" spans="1:6" ht="15">
      <c r="A177" s="80"/>
      <c r="B177" s="172" t="s">
        <v>160</v>
      </c>
      <c r="C177" s="173"/>
      <c r="D177" s="173"/>
      <c r="E177" s="173"/>
      <c r="F177" s="174"/>
    </row>
    <row r="178" spans="1:8" ht="15">
      <c r="A178" s="52">
        <f>A174+1</f>
        <v>32</v>
      </c>
      <c r="B178" s="60" t="s">
        <v>48</v>
      </c>
      <c r="C178" s="61">
        <f>0.4*84</f>
        <v>33.6</v>
      </c>
      <c r="D178" s="62" t="s">
        <v>45</v>
      </c>
      <c r="E178" s="22"/>
      <c r="F178" s="63">
        <f>C178*E178</f>
        <v>0</v>
      </c>
      <c r="H178" s="29">
        <f>C178*0.1*1.8/1000</f>
        <v>0.006048000000000001</v>
      </c>
    </row>
    <row r="179" spans="1:6" s="36" customFormat="1" ht="15">
      <c r="A179" s="72"/>
      <c r="B179" s="178" t="s">
        <v>161</v>
      </c>
      <c r="C179" s="179"/>
      <c r="D179" s="179"/>
      <c r="E179" s="179"/>
      <c r="F179" s="180"/>
    </row>
    <row r="180" spans="1:6" s="36" customFormat="1" ht="31.5" customHeight="1">
      <c r="A180" s="59"/>
      <c r="B180" s="181" t="s">
        <v>47</v>
      </c>
      <c r="C180" s="182"/>
      <c r="D180" s="182"/>
      <c r="E180" s="182"/>
      <c r="F180" s="183"/>
    </row>
    <row r="181" spans="1:8" ht="15">
      <c r="A181" s="52">
        <f>A178+1</f>
        <v>33</v>
      </c>
      <c r="B181" s="60" t="s">
        <v>95</v>
      </c>
      <c r="C181" s="61">
        <f>0.3*48.5</f>
        <v>14.549999999999999</v>
      </c>
      <c r="D181" s="62" t="s">
        <v>45</v>
      </c>
      <c r="E181" s="22"/>
      <c r="F181" s="63">
        <f>C181*E181</f>
        <v>0</v>
      </c>
      <c r="H181" s="29">
        <f>C181*0.1*1.8/1000</f>
        <v>0.0026190000000000002</v>
      </c>
    </row>
    <row r="182" spans="1:6" s="36" customFormat="1" ht="15">
      <c r="A182" s="72"/>
      <c r="B182" s="178" t="s">
        <v>162</v>
      </c>
      <c r="C182" s="179"/>
      <c r="D182" s="179"/>
      <c r="E182" s="179"/>
      <c r="F182" s="180"/>
    </row>
    <row r="183" spans="1:6" s="36" customFormat="1" ht="31.5" customHeight="1">
      <c r="A183" s="59"/>
      <c r="B183" s="181" t="s">
        <v>96</v>
      </c>
      <c r="C183" s="182"/>
      <c r="D183" s="182"/>
      <c r="E183" s="182"/>
      <c r="F183" s="183"/>
    </row>
    <row r="184" spans="1:6" ht="15">
      <c r="A184" s="52">
        <f>A181+1</f>
        <v>34</v>
      </c>
      <c r="B184" s="60" t="s">
        <v>163</v>
      </c>
      <c r="C184" s="61">
        <f>0.5*(4+4+5.7+4.7+4+2.3+1.8)</f>
        <v>13.25</v>
      </c>
      <c r="D184" s="62" t="s">
        <v>45</v>
      </c>
      <c r="E184" s="22"/>
      <c r="F184" s="63">
        <f>C184*E184</f>
        <v>0</v>
      </c>
    </row>
    <row r="185" spans="1:6" s="36" customFormat="1" ht="15">
      <c r="A185" s="72"/>
      <c r="B185" s="178" t="s">
        <v>165</v>
      </c>
      <c r="C185" s="179"/>
      <c r="D185" s="179"/>
      <c r="E185" s="179"/>
      <c r="F185" s="180"/>
    </row>
    <row r="186" spans="1:6" ht="66" customHeight="1">
      <c r="A186" s="59"/>
      <c r="B186" s="194" t="s">
        <v>164</v>
      </c>
      <c r="C186" s="195"/>
      <c r="D186" s="195"/>
      <c r="E186" s="195"/>
      <c r="F186" s="196"/>
    </row>
    <row r="187" spans="1:6" ht="15">
      <c r="A187" s="52">
        <f>A184+1</f>
        <v>35</v>
      </c>
      <c r="B187" s="60" t="s">
        <v>97</v>
      </c>
      <c r="C187" s="61">
        <f>14.5+19.5+1.5+6.9+10.13+4.35+9+3.6+10.8+11.7+6.3</f>
        <v>98.27999999999999</v>
      </c>
      <c r="D187" s="62" t="s">
        <v>45</v>
      </c>
      <c r="E187" s="22"/>
      <c r="F187" s="63">
        <f>C187*E187</f>
        <v>0</v>
      </c>
    </row>
    <row r="188" spans="1:6" s="36" customFormat="1" ht="15">
      <c r="A188" s="72"/>
      <c r="B188" s="184" t="s">
        <v>166</v>
      </c>
      <c r="C188" s="185"/>
      <c r="D188" s="185"/>
      <c r="E188" s="185"/>
      <c r="F188" s="186"/>
    </row>
    <row r="189" spans="1:8" ht="15">
      <c r="A189" s="73" t="str">
        <f>CONCATENATE(A187,".1")</f>
        <v>35.1</v>
      </c>
      <c r="B189" s="81" t="s">
        <v>70</v>
      </c>
      <c r="C189" s="82">
        <f>ROUNDUP((14.5+19.5+1.5+6.9+10.13+4.35+9+3.6+10.8+11.7+6.3)*1.15,0)</f>
        <v>114</v>
      </c>
      <c r="D189" s="83" t="s">
        <v>45</v>
      </c>
      <c r="E189" s="23"/>
      <c r="F189" s="84">
        <f>C189*E189</f>
        <v>0</v>
      </c>
      <c r="H189" s="29">
        <f>C189*1.8*0.01/1000</f>
        <v>0.002052</v>
      </c>
    </row>
    <row r="190" spans="1:6" ht="15">
      <c r="A190" s="80"/>
      <c r="B190" s="172" t="s">
        <v>167</v>
      </c>
      <c r="C190" s="173"/>
      <c r="D190" s="173"/>
      <c r="E190" s="173"/>
      <c r="F190" s="174"/>
    </row>
    <row r="191" spans="1:7" s="93" customFormat="1" ht="15">
      <c r="A191" s="88">
        <f>A187+1</f>
        <v>36</v>
      </c>
      <c r="B191" s="89" t="s">
        <v>98</v>
      </c>
      <c r="C191" s="61">
        <f>14.5+19.5+1.5+6.9+10.13+4.35+9+3.6+10.8+11.7+6.3</f>
        <v>98.27999999999999</v>
      </c>
      <c r="D191" s="90" t="s">
        <v>45</v>
      </c>
      <c r="E191" s="24"/>
      <c r="F191" s="91">
        <f>C191*E191</f>
        <v>0</v>
      </c>
      <c r="G191" s="92"/>
    </row>
    <row r="192" spans="1:7" s="93" customFormat="1" ht="15">
      <c r="A192" s="94"/>
      <c r="B192" s="169" t="s">
        <v>166</v>
      </c>
      <c r="C192" s="170"/>
      <c r="D192" s="170"/>
      <c r="E192" s="170"/>
      <c r="F192" s="171"/>
      <c r="G192" s="92"/>
    </row>
    <row r="193" spans="1:6" ht="15">
      <c r="A193" s="52">
        <f>A191+1</f>
        <v>37</v>
      </c>
      <c r="B193" s="60" t="s">
        <v>169</v>
      </c>
      <c r="C193" s="61">
        <f>4+1.26+1.62</f>
        <v>6.88</v>
      </c>
      <c r="D193" s="62" t="s">
        <v>45</v>
      </c>
      <c r="E193" s="22"/>
      <c r="F193" s="63">
        <f>C193*E193</f>
        <v>0</v>
      </c>
    </row>
    <row r="194" spans="1:6" s="36" customFormat="1" ht="15">
      <c r="A194" s="72"/>
      <c r="B194" s="184" t="s">
        <v>170</v>
      </c>
      <c r="C194" s="185"/>
      <c r="D194" s="185"/>
      <c r="E194" s="185"/>
      <c r="F194" s="186"/>
    </row>
    <row r="195" spans="1:8" ht="15">
      <c r="A195" s="73" t="str">
        <f>CONCATENATE(A193,".1")</f>
        <v>37.1</v>
      </c>
      <c r="B195" s="81" t="s">
        <v>171</v>
      </c>
      <c r="C195" s="82">
        <f>ROUNDUP((4+1.26+1.62)*1.15,0)</f>
        <v>8</v>
      </c>
      <c r="D195" s="83" t="s">
        <v>45</v>
      </c>
      <c r="E195" s="23"/>
      <c r="F195" s="84">
        <f>C195*E195</f>
        <v>0</v>
      </c>
      <c r="H195" s="29">
        <f>C195*1.8*0.01/1000</f>
        <v>0.000144</v>
      </c>
    </row>
    <row r="196" spans="1:6" ht="15">
      <c r="A196" s="80"/>
      <c r="B196" s="172" t="s">
        <v>172</v>
      </c>
      <c r="C196" s="173"/>
      <c r="D196" s="173"/>
      <c r="E196" s="173"/>
      <c r="F196" s="174"/>
    </row>
    <row r="197" spans="1:7" s="93" customFormat="1" ht="15">
      <c r="A197" s="88">
        <f>A193+1</f>
        <v>38</v>
      </c>
      <c r="B197" s="89" t="s">
        <v>98</v>
      </c>
      <c r="C197" s="61">
        <f>4+1.26+1.62</f>
        <v>6.88</v>
      </c>
      <c r="D197" s="90" t="s">
        <v>45</v>
      </c>
      <c r="E197" s="24"/>
      <c r="F197" s="91">
        <f>C197*E197</f>
        <v>0</v>
      </c>
      <c r="G197" s="92"/>
    </row>
    <row r="198" spans="1:7" s="93" customFormat="1" ht="15">
      <c r="A198" s="94"/>
      <c r="B198" s="169" t="s">
        <v>170</v>
      </c>
      <c r="C198" s="170"/>
      <c r="D198" s="170"/>
      <c r="E198" s="170"/>
      <c r="F198" s="171"/>
      <c r="G198" s="92"/>
    </row>
    <row r="199" spans="1:7" s="93" customFormat="1" ht="15">
      <c r="A199" s="88">
        <f>A197+1</f>
        <v>39</v>
      </c>
      <c r="B199" s="89" t="s">
        <v>99</v>
      </c>
      <c r="C199" s="95">
        <f>10.13+1.62</f>
        <v>11.75</v>
      </c>
      <c r="D199" s="90" t="s">
        <v>45</v>
      </c>
      <c r="E199" s="24"/>
      <c r="F199" s="91">
        <f>C199*E199</f>
        <v>0</v>
      </c>
      <c r="G199" s="92"/>
    </row>
    <row r="200" spans="1:7" s="93" customFormat="1" ht="15">
      <c r="A200" s="94"/>
      <c r="B200" s="169" t="s">
        <v>168</v>
      </c>
      <c r="C200" s="170"/>
      <c r="D200" s="170"/>
      <c r="E200" s="170"/>
      <c r="F200" s="171"/>
      <c r="G200" s="92"/>
    </row>
    <row r="201" spans="1:8" ht="15">
      <c r="A201" s="96">
        <f>A199+1</f>
        <v>40</v>
      </c>
      <c r="B201" s="60" t="s">
        <v>71</v>
      </c>
      <c r="C201" s="61">
        <f>9.84+19.5+9.84+19.5+4.1+25.5+1.12+6.9+1.62+2.7+4.35+8+14.4+4+9.6+2+7.2+27.84+9</f>
        <v>187.01</v>
      </c>
      <c r="D201" s="62" t="s">
        <v>45</v>
      </c>
      <c r="E201" s="22"/>
      <c r="F201" s="63">
        <f>C201*E201</f>
        <v>0</v>
      </c>
      <c r="H201" s="29">
        <f>C201*0.8/1000</f>
        <v>0.149608</v>
      </c>
    </row>
    <row r="202" spans="1:6" s="36" customFormat="1" ht="15">
      <c r="A202" s="97"/>
      <c r="B202" s="181" t="s">
        <v>173</v>
      </c>
      <c r="C202" s="182"/>
      <c r="D202" s="182"/>
      <c r="E202" s="182"/>
      <c r="F202" s="183"/>
    </row>
    <row r="203" spans="1:8" ht="15">
      <c r="A203" s="96">
        <f>A201+1</f>
        <v>41</v>
      </c>
      <c r="B203" s="60" t="s">
        <v>174</v>
      </c>
      <c r="C203" s="61">
        <f>9.84+19.5+9.84+19.5+4.1+25.5+1.12+6.9+1.62+2.7+4.35+8+14.4+4+9.6+2+7.2+27.84+9</f>
        <v>187.01</v>
      </c>
      <c r="D203" s="62" t="s">
        <v>45</v>
      </c>
      <c r="E203" s="22"/>
      <c r="F203" s="63">
        <f>C203*E203</f>
        <v>0</v>
      </c>
      <c r="H203" s="29">
        <f>C203*0.8/1000</f>
        <v>0.149608</v>
      </c>
    </row>
    <row r="204" spans="1:6" s="36" customFormat="1" ht="15">
      <c r="A204" s="97"/>
      <c r="B204" s="181" t="s">
        <v>173</v>
      </c>
      <c r="C204" s="182"/>
      <c r="D204" s="182"/>
      <c r="E204" s="182"/>
      <c r="F204" s="183"/>
    </row>
    <row r="205" spans="1:8" ht="15">
      <c r="A205" s="96">
        <f>A203+1</f>
        <v>42</v>
      </c>
      <c r="B205" s="60" t="s">
        <v>175</v>
      </c>
      <c r="C205" s="61">
        <f>9.84+19.5+9.84+19.5+4.1+25.5+1.12+6.9+1.62+2.7+4.35+8+14.4+4+9.6+2+7.2+27.84+9</f>
        <v>187.01</v>
      </c>
      <c r="D205" s="62" t="s">
        <v>45</v>
      </c>
      <c r="E205" s="22"/>
      <c r="F205" s="63">
        <f>C205*E205</f>
        <v>0</v>
      </c>
      <c r="H205" s="29">
        <f>C205*0.8/1000</f>
        <v>0.149608</v>
      </c>
    </row>
    <row r="206" spans="1:6" s="36" customFormat="1" ht="15">
      <c r="A206" s="97"/>
      <c r="B206" s="181" t="s">
        <v>173</v>
      </c>
      <c r="C206" s="182"/>
      <c r="D206" s="182"/>
      <c r="E206" s="182"/>
      <c r="F206" s="183"/>
    </row>
    <row r="207" spans="1:6" ht="15">
      <c r="A207" s="52">
        <f>A205+1</f>
        <v>43</v>
      </c>
      <c r="B207" s="60" t="s">
        <v>43</v>
      </c>
      <c r="C207" s="61">
        <f>CEILING(SUM(H176:H202),0.01)</f>
        <v>0.17</v>
      </c>
      <c r="D207" s="62" t="s">
        <v>9</v>
      </c>
      <c r="E207" s="22"/>
      <c r="F207" s="63">
        <f>C207*E207</f>
        <v>0</v>
      </c>
    </row>
    <row r="208" spans="1:6" ht="15">
      <c r="A208" s="98">
        <f>A207+1</f>
        <v>44</v>
      </c>
      <c r="B208" s="99" t="s">
        <v>42</v>
      </c>
      <c r="C208" s="100">
        <f>C207</f>
        <v>0.17</v>
      </c>
      <c r="D208" s="101" t="s">
        <v>9</v>
      </c>
      <c r="E208" s="25"/>
      <c r="F208" s="102">
        <f>C208*E208</f>
        <v>0</v>
      </c>
    </row>
    <row r="209" spans="1:7" s="51" customFormat="1" ht="15">
      <c r="A209" s="64"/>
      <c r="B209" s="44"/>
      <c r="C209" s="45"/>
      <c r="D209" s="46"/>
      <c r="E209" s="45"/>
      <c r="F209" s="47"/>
      <c r="G209" s="50"/>
    </row>
    <row r="210" spans="1:7" s="51" customFormat="1" ht="15">
      <c r="A210" s="65">
        <f>A173+1</f>
        <v>5</v>
      </c>
      <c r="B210" s="187" t="s">
        <v>11</v>
      </c>
      <c r="C210" s="187"/>
      <c r="D210" s="187"/>
      <c r="E210" s="187"/>
      <c r="F210" s="49">
        <f>SUM(F211:F221)</f>
        <v>0</v>
      </c>
      <c r="G210" s="50"/>
    </row>
    <row r="211" spans="1:6" ht="15">
      <c r="A211" s="52">
        <f>A208+1</f>
        <v>45</v>
      </c>
      <c r="B211" s="60" t="s">
        <v>35</v>
      </c>
      <c r="C211" s="61">
        <f>C21</f>
        <v>4.69</v>
      </c>
      <c r="D211" s="62" t="s">
        <v>9</v>
      </c>
      <c r="E211" s="22"/>
      <c r="F211" s="63">
        <f>C211*E211</f>
        <v>0</v>
      </c>
    </row>
    <row r="212" spans="1:6" s="36" customFormat="1" ht="15">
      <c r="A212" s="59"/>
      <c r="B212" s="181">
        <v>4.69</v>
      </c>
      <c r="C212" s="182"/>
      <c r="D212" s="182"/>
      <c r="E212" s="182"/>
      <c r="F212" s="183"/>
    </row>
    <row r="213" spans="1:6" ht="15">
      <c r="A213" s="52">
        <f>A211+1</f>
        <v>46</v>
      </c>
      <c r="B213" s="60" t="s">
        <v>36</v>
      </c>
      <c r="C213" s="61">
        <f>H9+H11+H13+H17+H15</f>
        <v>4.048</v>
      </c>
      <c r="D213" s="62" t="s">
        <v>9</v>
      </c>
      <c r="E213" s="22"/>
      <c r="F213" s="63">
        <f>C213*E213</f>
        <v>0</v>
      </c>
    </row>
    <row r="214" spans="1:6" s="36" customFormat="1" ht="15">
      <c r="A214" s="59"/>
      <c r="B214" s="181">
        <v>4.05</v>
      </c>
      <c r="C214" s="182"/>
      <c r="D214" s="182"/>
      <c r="E214" s="182"/>
      <c r="F214" s="183"/>
    </row>
    <row r="215" spans="1:6" ht="15">
      <c r="A215" s="52">
        <f>A213+1</f>
        <v>47</v>
      </c>
      <c r="B215" s="60" t="s">
        <v>37</v>
      </c>
      <c r="C215" s="61">
        <f>H8</f>
        <v>0.063</v>
      </c>
      <c r="D215" s="62" t="s">
        <v>9</v>
      </c>
      <c r="E215" s="22"/>
      <c r="F215" s="63">
        <f>C215*E215</f>
        <v>0</v>
      </c>
    </row>
    <row r="216" spans="1:6" s="36" customFormat="1" ht="15">
      <c r="A216" s="59"/>
      <c r="B216" s="181">
        <v>0.06</v>
      </c>
      <c r="C216" s="182"/>
      <c r="D216" s="182"/>
      <c r="E216" s="182"/>
      <c r="F216" s="183"/>
    </row>
    <row r="217" spans="1:6" ht="15">
      <c r="A217" s="52">
        <f>A215+1</f>
        <v>48</v>
      </c>
      <c r="B217" s="60" t="s">
        <v>103</v>
      </c>
      <c r="C217" s="61">
        <f>H7+H19</f>
        <v>0.5780000000000001</v>
      </c>
      <c r="D217" s="62" t="s">
        <v>9</v>
      </c>
      <c r="E217" s="22"/>
      <c r="F217" s="63">
        <f>C217*E217</f>
        <v>0</v>
      </c>
    </row>
    <row r="218" spans="1:6" s="36" customFormat="1" ht="15">
      <c r="A218" s="59"/>
      <c r="B218" s="181">
        <v>0.58</v>
      </c>
      <c r="C218" s="182"/>
      <c r="D218" s="182"/>
      <c r="E218" s="182"/>
      <c r="F218" s="183"/>
    </row>
    <row r="219" spans="1:6" ht="15">
      <c r="A219" s="52">
        <f>A217+1</f>
        <v>49</v>
      </c>
      <c r="B219" s="60" t="s">
        <v>57</v>
      </c>
      <c r="C219" s="61">
        <v>1</v>
      </c>
      <c r="D219" s="62" t="s">
        <v>44</v>
      </c>
      <c r="E219" s="22"/>
      <c r="F219" s="63">
        <f>C219*E219</f>
        <v>0</v>
      </c>
    </row>
    <row r="220" spans="1:6" s="36" customFormat="1" ht="15">
      <c r="A220" s="59"/>
      <c r="B220" s="181" t="s">
        <v>58</v>
      </c>
      <c r="C220" s="182"/>
      <c r="D220" s="182"/>
      <c r="E220" s="182"/>
      <c r="F220" s="183"/>
    </row>
    <row r="221" spans="1:6" ht="15">
      <c r="A221" s="52">
        <f>A219+1</f>
        <v>50</v>
      </c>
      <c r="B221" s="60" t="s">
        <v>49</v>
      </c>
      <c r="C221" s="22"/>
      <c r="D221" s="62" t="s">
        <v>51</v>
      </c>
      <c r="E221" s="61">
        <f>F6+F155+F23+F173+SUM(F211:F219)</f>
        <v>0</v>
      </c>
      <c r="F221" s="63">
        <f>C221/100*E221</f>
        <v>0</v>
      </c>
    </row>
    <row r="222" spans="1:6" s="36" customFormat="1" ht="15">
      <c r="A222" s="59"/>
      <c r="B222" s="181" t="s">
        <v>50</v>
      </c>
      <c r="C222" s="182"/>
      <c r="D222" s="182"/>
      <c r="E222" s="182"/>
      <c r="F222" s="183"/>
    </row>
    <row r="223" spans="1:7" s="51" customFormat="1" ht="15">
      <c r="A223" s="64"/>
      <c r="B223" s="44"/>
      <c r="C223" s="45"/>
      <c r="D223" s="46"/>
      <c r="E223" s="45"/>
      <c r="F223" s="47"/>
      <c r="G223" s="50"/>
    </row>
    <row r="224" spans="1:6" ht="15">
      <c r="A224" s="98"/>
      <c r="B224" s="197" t="s">
        <v>5</v>
      </c>
      <c r="C224" s="197"/>
      <c r="D224" s="197"/>
      <c r="E224" s="197"/>
      <c r="F224" s="103">
        <f>CEILING(F6+F155+F23+F173+F210,1)</f>
        <v>0</v>
      </c>
    </row>
    <row r="225" ht="15">
      <c r="A225" s="104"/>
    </row>
    <row r="226" ht="15">
      <c r="A226" s="104"/>
    </row>
    <row r="227" ht="15">
      <c r="A227" s="104"/>
    </row>
    <row r="228" ht="15">
      <c r="A228" s="104"/>
    </row>
    <row r="229" ht="15">
      <c r="A229" s="104"/>
    </row>
    <row r="230" ht="15">
      <c r="A230" s="104"/>
    </row>
    <row r="231" ht="15">
      <c r="A231" s="104"/>
    </row>
    <row r="232" ht="15">
      <c r="A232" s="104"/>
    </row>
    <row r="233" ht="15">
      <c r="A233" s="104"/>
    </row>
    <row r="234" ht="15">
      <c r="A234" s="104"/>
    </row>
    <row r="235" ht="15">
      <c r="A235" s="104"/>
    </row>
    <row r="236" ht="15">
      <c r="A236" s="104"/>
    </row>
    <row r="237" ht="15">
      <c r="A237" s="104"/>
    </row>
    <row r="238" ht="15">
      <c r="A238" s="104"/>
    </row>
    <row r="239" ht="15">
      <c r="A239" s="104"/>
    </row>
    <row r="240" ht="15">
      <c r="A240" s="104"/>
    </row>
    <row r="241" ht="15">
      <c r="A241" s="104"/>
    </row>
    <row r="242" ht="15">
      <c r="A242" s="104"/>
    </row>
    <row r="243" ht="15">
      <c r="A243" s="104"/>
    </row>
    <row r="244" ht="15">
      <c r="A244" s="104"/>
    </row>
    <row r="245" ht="15">
      <c r="A245" s="104"/>
    </row>
    <row r="246" ht="15">
      <c r="A246" s="104"/>
    </row>
    <row r="247" ht="15">
      <c r="A247" s="104"/>
    </row>
    <row r="248" ht="15">
      <c r="A248" s="104"/>
    </row>
    <row r="249" ht="15">
      <c r="A249" s="104"/>
    </row>
    <row r="250" ht="15">
      <c r="A250" s="104"/>
    </row>
    <row r="251" ht="15">
      <c r="A251" s="104"/>
    </row>
    <row r="252" ht="15">
      <c r="A252" s="104"/>
    </row>
    <row r="253" ht="15">
      <c r="A253" s="104"/>
    </row>
    <row r="254" ht="15">
      <c r="A254" s="104"/>
    </row>
    <row r="255" ht="15">
      <c r="A255" s="104"/>
    </row>
    <row r="256" ht="15">
      <c r="A256" s="104"/>
    </row>
    <row r="257" ht="15">
      <c r="A257" s="104"/>
    </row>
    <row r="258" ht="15">
      <c r="A258" s="104"/>
    </row>
    <row r="259" ht="15">
      <c r="A259" s="104"/>
    </row>
    <row r="260" ht="15">
      <c r="A260" s="104"/>
    </row>
    <row r="261" ht="15">
      <c r="A261" s="104"/>
    </row>
    <row r="262" ht="15">
      <c r="A262" s="104"/>
    </row>
    <row r="263" ht="15">
      <c r="A263" s="104"/>
    </row>
    <row r="264" ht="15">
      <c r="A264" s="104"/>
    </row>
    <row r="265" ht="15">
      <c r="A265" s="104"/>
    </row>
    <row r="266" ht="15">
      <c r="A266" s="104"/>
    </row>
    <row r="267" ht="15">
      <c r="A267" s="104"/>
    </row>
    <row r="268" ht="15">
      <c r="A268" s="104"/>
    </row>
    <row r="269" ht="15">
      <c r="A269" s="104"/>
    </row>
    <row r="270" ht="15">
      <c r="A270" s="104"/>
    </row>
    <row r="271" ht="15">
      <c r="A271" s="104"/>
    </row>
    <row r="272" ht="15">
      <c r="A272" s="104"/>
    </row>
    <row r="273" ht="15">
      <c r="A273" s="104"/>
    </row>
    <row r="274" ht="15">
      <c r="A274" s="104"/>
    </row>
    <row r="275" ht="15">
      <c r="A275" s="104"/>
    </row>
    <row r="276" ht="15">
      <c r="A276" s="104"/>
    </row>
    <row r="277" ht="15">
      <c r="A277" s="104"/>
    </row>
    <row r="278" ht="15">
      <c r="A278" s="104"/>
    </row>
    <row r="279" ht="15">
      <c r="A279" s="104"/>
    </row>
    <row r="280" ht="15">
      <c r="A280" s="104"/>
    </row>
    <row r="281" ht="15">
      <c r="A281" s="104"/>
    </row>
    <row r="282" ht="15">
      <c r="A282" s="104"/>
    </row>
    <row r="283" ht="15">
      <c r="A283" s="104"/>
    </row>
    <row r="284" ht="15">
      <c r="A284" s="104"/>
    </row>
    <row r="285" ht="15">
      <c r="A285" s="104"/>
    </row>
    <row r="286" ht="15">
      <c r="A286" s="104"/>
    </row>
    <row r="287" ht="15">
      <c r="A287" s="104"/>
    </row>
    <row r="288" ht="15">
      <c r="A288" s="104"/>
    </row>
    <row r="289" ht="15">
      <c r="A289" s="104"/>
    </row>
    <row r="290" ht="15">
      <c r="A290" s="104"/>
    </row>
    <row r="291" ht="15">
      <c r="A291" s="104"/>
    </row>
    <row r="292" ht="15">
      <c r="A292" s="104"/>
    </row>
    <row r="293" ht="15">
      <c r="A293" s="104"/>
    </row>
    <row r="294" ht="15">
      <c r="A294" s="104"/>
    </row>
    <row r="295" ht="15">
      <c r="A295" s="104"/>
    </row>
    <row r="296" ht="15">
      <c r="A296" s="104"/>
    </row>
    <row r="297" ht="15">
      <c r="A297" s="104"/>
    </row>
    <row r="298" ht="15">
      <c r="A298" s="104"/>
    </row>
    <row r="299" ht="15">
      <c r="A299" s="104"/>
    </row>
    <row r="300" ht="15">
      <c r="A300" s="104"/>
    </row>
    <row r="301" ht="15">
      <c r="A301" s="104"/>
    </row>
    <row r="302" ht="15">
      <c r="A302" s="104"/>
    </row>
    <row r="303" ht="15">
      <c r="A303" s="104"/>
    </row>
    <row r="304" ht="15">
      <c r="A304" s="104"/>
    </row>
    <row r="305" ht="15">
      <c r="A305" s="104"/>
    </row>
    <row r="306" ht="15">
      <c r="A306" s="104"/>
    </row>
    <row r="307" ht="15">
      <c r="A307" s="104"/>
    </row>
    <row r="308" ht="15">
      <c r="A308" s="104"/>
    </row>
    <row r="309" ht="15">
      <c r="A309" s="104"/>
    </row>
    <row r="310" ht="15">
      <c r="A310" s="104"/>
    </row>
    <row r="311" ht="15">
      <c r="A311" s="104"/>
    </row>
    <row r="312" ht="15">
      <c r="A312" s="104"/>
    </row>
    <row r="313" ht="15">
      <c r="A313" s="104"/>
    </row>
    <row r="314" ht="15">
      <c r="A314" s="104"/>
    </row>
    <row r="315" ht="15">
      <c r="A315" s="104"/>
    </row>
    <row r="316" ht="15">
      <c r="A316" s="104"/>
    </row>
    <row r="317" ht="15">
      <c r="A317" s="104"/>
    </row>
    <row r="318" ht="15">
      <c r="A318" s="104"/>
    </row>
    <row r="319" ht="15">
      <c r="A319" s="104"/>
    </row>
    <row r="320" ht="15">
      <c r="A320" s="104"/>
    </row>
    <row r="321" ht="15">
      <c r="A321" s="104"/>
    </row>
    <row r="322" ht="15">
      <c r="A322" s="104"/>
    </row>
    <row r="323" ht="15">
      <c r="A323" s="104"/>
    </row>
    <row r="324" ht="15">
      <c r="A324" s="104"/>
    </row>
    <row r="325" ht="15">
      <c r="A325" s="104"/>
    </row>
    <row r="326" ht="15">
      <c r="A326" s="104"/>
    </row>
  </sheetData>
  <sheetProtection password="CAA1" sheet="1"/>
  <mergeCells count="110">
    <mergeCell ref="B93:F93"/>
    <mergeCell ref="B95:F95"/>
    <mergeCell ref="B97:F97"/>
    <mergeCell ref="B99:F99"/>
    <mergeCell ref="B103:F103"/>
    <mergeCell ref="B105:F105"/>
    <mergeCell ref="B119:F119"/>
    <mergeCell ref="B125:F125"/>
    <mergeCell ref="B155:E155"/>
    <mergeCell ref="B121:F121"/>
    <mergeCell ref="B123:F123"/>
    <mergeCell ref="B129:F129"/>
    <mergeCell ref="B131:F131"/>
    <mergeCell ref="B133:F133"/>
    <mergeCell ref="B202:F202"/>
    <mergeCell ref="B127:F127"/>
    <mergeCell ref="B135:F135"/>
    <mergeCell ref="B137:F137"/>
    <mergeCell ref="B139:F139"/>
    <mergeCell ref="B141:F141"/>
    <mergeCell ref="B171:F171"/>
    <mergeCell ref="B163:F163"/>
    <mergeCell ref="B29:F29"/>
    <mergeCell ref="B31:F31"/>
    <mergeCell ref="B33:F33"/>
    <mergeCell ref="B37:F37"/>
    <mergeCell ref="B65:F65"/>
    <mergeCell ref="B63:F63"/>
    <mergeCell ref="B45:F45"/>
    <mergeCell ref="B39:F39"/>
    <mergeCell ref="B41:F41"/>
    <mergeCell ref="B43:F43"/>
    <mergeCell ref="B8:F8"/>
    <mergeCell ref="A2:D2"/>
    <mergeCell ref="A1:D1"/>
    <mergeCell ref="B25:F25"/>
    <mergeCell ref="B27:F27"/>
    <mergeCell ref="B23:E23"/>
    <mergeCell ref="B12:F12"/>
    <mergeCell ref="B16:F16"/>
    <mergeCell ref="B18:F18"/>
    <mergeCell ref="B20:F20"/>
    <mergeCell ref="B216:F216"/>
    <mergeCell ref="B6:E6"/>
    <mergeCell ref="B10:F10"/>
    <mergeCell ref="B220:F220"/>
    <mergeCell ref="B49:F49"/>
    <mergeCell ref="B51:F51"/>
    <mergeCell ref="B53:F53"/>
    <mergeCell ref="B14:F14"/>
    <mergeCell ref="B35:F35"/>
    <mergeCell ref="B206:F206"/>
    <mergeCell ref="B224:E224"/>
    <mergeCell ref="B222:F222"/>
    <mergeCell ref="B212:F212"/>
    <mergeCell ref="B210:E210"/>
    <mergeCell ref="B55:F55"/>
    <mergeCell ref="B57:F57"/>
    <mergeCell ref="B61:F61"/>
    <mergeCell ref="B89:F89"/>
    <mergeCell ref="B218:F218"/>
    <mergeCell ref="B145:F145"/>
    <mergeCell ref="B67:F67"/>
    <mergeCell ref="B85:F85"/>
    <mergeCell ref="B87:F87"/>
    <mergeCell ref="B101:F101"/>
    <mergeCell ref="B47:F47"/>
    <mergeCell ref="B59:F59"/>
    <mergeCell ref="B69:F69"/>
    <mergeCell ref="B71:F71"/>
    <mergeCell ref="B73:F73"/>
    <mergeCell ref="B91:F91"/>
    <mergeCell ref="B214:F214"/>
    <mergeCell ref="B115:F115"/>
    <mergeCell ref="B159:F159"/>
    <mergeCell ref="B161:F161"/>
    <mergeCell ref="B149:F149"/>
    <mergeCell ref="B151:F151"/>
    <mergeCell ref="B153:F153"/>
    <mergeCell ref="B143:F143"/>
    <mergeCell ref="B185:F185"/>
    <mergeCell ref="B186:F186"/>
    <mergeCell ref="B200:F200"/>
    <mergeCell ref="B188:F188"/>
    <mergeCell ref="B196:F196"/>
    <mergeCell ref="B198:F198"/>
    <mergeCell ref="B204:F204"/>
    <mergeCell ref="B107:F107"/>
    <mergeCell ref="B117:F117"/>
    <mergeCell ref="B175:F175"/>
    <mergeCell ref="B179:F179"/>
    <mergeCell ref="B109:F109"/>
    <mergeCell ref="B75:F75"/>
    <mergeCell ref="B77:F77"/>
    <mergeCell ref="B79:F79"/>
    <mergeCell ref="B81:F81"/>
    <mergeCell ref="B83:F83"/>
    <mergeCell ref="B180:F180"/>
    <mergeCell ref="B111:F111"/>
    <mergeCell ref="B173:E173"/>
    <mergeCell ref="B165:F165"/>
    <mergeCell ref="B113:F113"/>
    <mergeCell ref="B192:F192"/>
    <mergeCell ref="B177:F177"/>
    <mergeCell ref="B157:F157"/>
    <mergeCell ref="B182:F182"/>
    <mergeCell ref="B183:F183"/>
    <mergeCell ref="B194:F194"/>
    <mergeCell ref="B169:F169"/>
    <mergeCell ref="B190:F190"/>
  </mergeCells>
  <printOptions horizontalCentered="1"/>
  <pageMargins left="0.3937007874015748" right="0.3937007874015748" top="0.984251968503937" bottom="0.7874015748031497" header="0" footer="0"/>
  <pageSetup fitToHeight="99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Jirotka Jindřich</dc:creator>
  <cp:keywords/>
  <dc:description/>
  <cp:lastModifiedBy>Martin Ezr</cp:lastModifiedBy>
  <cp:lastPrinted>2016-05-06T04:43:46Z</cp:lastPrinted>
  <dcterms:created xsi:type="dcterms:W3CDTF">2013-04-24T06:11:59Z</dcterms:created>
  <dcterms:modified xsi:type="dcterms:W3CDTF">2017-04-07T06:22:05Z</dcterms:modified>
  <cp:category/>
  <cp:version/>
  <cp:contentType/>
  <cp:contentStatus/>
</cp:coreProperties>
</file>