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TSM\2019\Rekonstrukce RTIC\0. ZD\Příloha č. 3 Výkaz výměr\"/>
    </mc:Choice>
  </mc:AlternateContent>
  <xr:revisionPtr revIDLastSave="0" documentId="13_ncr:1_{EEBB8D4C-5498-499E-8945-302650B03BCF}" xr6:coauthVersionLast="43" xr6:coauthVersionMax="43" xr10:uidLastSave="{00000000-0000-0000-0000-000000000000}"/>
  <bookViews>
    <workbookView xWindow="11835" yWindow="0" windowWidth="13215" windowHeight="14430" activeTab="3" xr2:uid="{00000000-000D-0000-FFFF-FFFF00000000}"/>
  </bookViews>
  <sheets>
    <sheet name="Pokyny_pro_vyplnění" sheetId="1" r:id="rId1"/>
    <sheet name="Rekapitulace_celé_stavby" sheetId="2" r:id="rId2"/>
    <sheet name="VzorPolozky" sheetId="3" state="hidden" r:id="rId3"/>
    <sheet name="Celk_vč_stavební_části" sheetId="4" r:id="rId4"/>
    <sheet name="Výpis_položek_UT" sheetId="5" r:id="rId5"/>
    <sheet name="Výpis_položek_elektro_" sheetId="6" r:id="rId6"/>
  </sheets>
  <externalReferences>
    <externalReference r:id="rId7"/>
    <externalReference r:id="rId8"/>
  </externalReferences>
  <definedNames>
    <definedName name="CelkemDPHVypocet" localSheetId="1">Rekapitulace_celé_stavby!$H$40</definedName>
    <definedName name="CenaCelkem">Rekapitulace_celé_stavby!$G$29</definedName>
    <definedName name="CenaCelkemBezDPH">Rekapitulace_celé_stavby!$G$28</definedName>
    <definedName name="CenaCelkemVypocet" localSheetId="1">Rekapitulace_celé_stavby!$I$40</definedName>
    <definedName name="cisloobjektu">Rekapitulace_celé_stavby!$C$3</definedName>
    <definedName name="CisloRozpoctu" localSheetId="4">[1]Krycí_list1!$C$2</definedName>
    <definedName name="CisloRozpoctu">[1]Krycí_list!$C$2</definedName>
    <definedName name="CisloStavby" localSheetId="1">Rekapitulace_celé_stavby!$C$2</definedName>
    <definedName name="cislostavby" localSheetId="4">[1]Krycí_list1!$A$7</definedName>
    <definedName name="cislostavby">[1]Krycí_list!$A$7</definedName>
    <definedName name="CisloStavebnihoRozpoctu">Rekapitulace_celé_stavby!$D$4</definedName>
    <definedName name="dadresa">Rekapitulace_celé_stavby!$D$12:$G$12</definedName>
    <definedName name="DIČ" localSheetId="1">Rekapitulace_celé_stavby!$I$12</definedName>
    <definedName name="dmisto">Rekapitulace_celé_stavby!$D$13:$G$13</definedName>
    <definedName name="DPHSni" localSheetId="4">[2]Stavba!$G$24</definedName>
    <definedName name="DPHSni">Rekapitulace_celé_stavby!$G$24</definedName>
    <definedName name="DPHZakl" localSheetId="4">[2]Stavba!$G$26</definedName>
    <definedName name="DPHZakl">Rekapitulace_celé_stavby!$G$26</definedName>
    <definedName name="dpsc" localSheetId="1">Rekapitulace_celé_stavby!$C$13</definedName>
    <definedName name="IČO" localSheetId="1">Rekapitulace_celé_stavby!$I$11</definedName>
    <definedName name="Mena" localSheetId="4">[2]Stavba!$J$29</definedName>
    <definedName name="Mena">Rekapitulace_celé_stavby!$J$29</definedName>
    <definedName name="MistoStavby">Rekapitulace_celé_stavby!$D$4</definedName>
    <definedName name="nazevobjektu">Rekapitulace_celé_stavby!$D$3</definedName>
    <definedName name="NazevRozpoctu" localSheetId="4">[1]Krycí_list1!$D$2</definedName>
    <definedName name="NazevRozpoctu">[1]Krycí_list!$D$2</definedName>
    <definedName name="NazevStavby" localSheetId="1">Rekapitulace_celé_stavby!$D$2</definedName>
    <definedName name="nazevstavby" localSheetId="4">[1]Krycí_list1!$C$7</definedName>
    <definedName name="nazevstavby">[1]Krycí_list!$C$7</definedName>
    <definedName name="NazevStavebnihoRozpoctu">Rekapitulace_celé_stavby!$E$4</definedName>
    <definedName name="oadresa">Rekapitulace_celé_stavby!$D$6</definedName>
    <definedName name="Objednatel" localSheetId="1">Rekapitulace_celé_stavby!$D$5</definedName>
    <definedName name="Objekt" localSheetId="1">Rekapitulace_celé_stavby!$B$38</definedName>
    <definedName name="_xlnm.Print_Area" localSheetId="3">Celk_vč_stavební_části!$A$1:$U$142</definedName>
    <definedName name="_xlnm.Print_Area" localSheetId="1">Rekapitulace_celé_stavby!$A$1:$J$67</definedName>
    <definedName name="_xlnm.Print_Area" localSheetId="4">Výpis_položek_UT!$A$1:$U$47</definedName>
    <definedName name="odic" localSheetId="1">Rekapitulace_celé_stavby!$I$6</definedName>
    <definedName name="oico" localSheetId="1">Rekapitulace_celé_stavby!$I$5</definedName>
    <definedName name="omisto" localSheetId="1">Rekapitulace_celé_stavby!$D$7</definedName>
    <definedName name="onazev" localSheetId="1">Rekapitulace_celé_stavby!$D$6</definedName>
    <definedName name="opsc" localSheetId="1">Rekapitulace_celé_stavby!$C$7</definedName>
    <definedName name="padresa">Rekapitulace_celé_stavby!$D$9</definedName>
    <definedName name="pdic">Rekapitulace_celé_stavby!$I$9</definedName>
    <definedName name="pico">Rekapitulace_celé_stavby!$I$8</definedName>
    <definedName name="pmisto">Rekapitulace_celé_stavby!$D$10</definedName>
    <definedName name="PocetMJ" localSheetId="4">!#REF!</definedName>
    <definedName name="PocetMJ">!#REF!</definedName>
    <definedName name="PoptavkaID">Rekapitulace_celé_stavby!$A$1</definedName>
    <definedName name="pPSC">Rekapitulace_celé_stavby!$C$10</definedName>
    <definedName name="Projektant">Rekapitulace_celé_stavby!$D$8</definedName>
    <definedName name="SazbaDPH1" localSheetId="1">Rekapitulace_celé_stavby!$E$23</definedName>
    <definedName name="SazbaDPH1" localSheetId="4">[1]Krycí_list1!$C$30</definedName>
    <definedName name="SazbaDPH1">[1]Krycí_list!$C$30</definedName>
    <definedName name="SazbaDPH2" localSheetId="1">Rekapitulace_celé_stavby!$E$25</definedName>
    <definedName name="SazbaDPH2" localSheetId="4">[1]Krycí_list1!$C$32</definedName>
    <definedName name="SazbaDPH2">[1]Krycí_list!$C$32</definedName>
    <definedName name="SloupecCC" localSheetId="4">!#REF!</definedName>
    <definedName name="SloupecCC">!#REF!</definedName>
    <definedName name="SloupecCisloPol" localSheetId="4">!#REF!</definedName>
    <definedName name="SloupecCisloPol">!#REF!</definedName>
    <definedName name="SloupecJC" localSheetId="4">!#REF!</definedName>
    <definedName name="SloupecJC">!#REF!</definedName>
    <definedName name="SloupecMJ" localSheetId="4">!#REF!</definedName>
    <definedName name="SloupecMJ">!#REF!</definedName>
    <definedName name="SloupecMnozstvi" localSheetId="4">!#REF!</definedName>
    <definedName name="SloupecMnozstvi">!#REF!</definedName>
    <definedName name="SloupecNazPol" localSheetId="4">!#REF!</definedName>
    <definedName name="SloupecNazPol">!#REF!</definedName>
    <definedName name="SloupecPC" localSheetId="4">!#REF!</definedName>
    <definedName name="SloupecPC">!#REF!</definedName>
    <definedName name="Vypracoval">Rekapitulace_celé_stavby!$D$14</definedName>
    <definedName name="ZakladDPHSni" localSheetId="4">[2]Stavba!$G$23</definedName>
    <definedName name="ZakladDPHSni">Rekapitulace_celé_stavby!$G$23</definedName>
    <definedName name="ZakladDPHSniVypocet" localSheetId="1">Rekapitulace_celé_stavby!$F$40</definedName>
    <definedName name="ZakladDPHZakl" localSheetId="4">[2]Stavba!$G$25</definedName>
    <definedName name="ZakladDPHZakl">Rekapitulace_celé_stavby!$G$25</definedName>
    <definedName name="ZakladDPHZaklVypocet" localSheetId="1">Rekapitulace_celé_stavby!$G$40</definedName>
    <definedName name="Zaokrouhleni" localSheetId="4">[2]Stavba!$G$27</definedName>
    <definedName name="Zaokrouhleni">Rekapitulace_celé_stavby!$G$27</definedName>
    <definedName name="Zhotovitel">Rekapitulace_celé_stavby!$D$11:$G$11</definedName>
  </definedNames>
  <calcPr calcId="181029"/>
</workbook>
</file>

<file path=xl/calcChain.xml><?xml version="1.0" encoding="utf-8"?>
<calcChain xmlns="http://schemas.openxmlformats.org/spreadsheetml/2006/main">
  <c r="J28" i="2" l="1"/>
  <c r="J27" i="2"/>
  <c r="J26" i="2"/>
  <c r="E26" i="2"/>
  <c r="J25" i="2"/>
  <c r="J24" i="2"/>
  <c r="E24" i="2"/>
  <c r="J23" i="2"/>
  <c r="K127" i="6"/>
  <c r="AL104" i="6" s="1"/>
  <c r="K126" i="6"/>
  <c r="J126" i="6"/>
  <c r="I126" i="6"/>
  <c r="K124" i="6"/>
  <c r="J124" i="6"/>
  <c r="I124" i="6"/>
  <c r="K123" i="6"/>
  <c r="J123" i="6"/>
  <c r="I123" i="6"/>
  <c r="K122" i="6"/>
  <c r="J122" i="6"/>
  <c r="I122" i="6"/>
  <c r="K121" i="6"/>
  <c r="J121" i="6"/>
  <c r="I121" i="6"/>
  <c r="K120" i="6"/>
  <c r="J120" i="6"/>
  <c r="I120" i="6"/>
  <c r="K119" i="6"/>
  <c r="J119" i="6"/>
  <c r="I119" i="6"/>
  <c r="K118" i="6"/>
  <c r="J118" i="6"/>
  <c r="I118" i="6"/>
  <c r="K117" i="6"/>
  <c r="J117" i="6"/>
  <c r="I117" i="6"/>
  <c r="K116" i="6"/>
  <c r="J116" i="6"/>
  <c r="I116" i="6"/>
  <c r="K115" i="6"/>
  <c r="J115" i="6"/>
  <c r="I115" i="6"/>
  <c r="K114" i="6"/>
  <c r="J114" i="6"/>
  <c r="I114" i="6"/>
  <c r="K113" i="6"/>
  <c r="J113" i="6"/>
  <c r="I113" i="6"/>
  <c r="K112" i="6"/>
  <c r="J112" i="6"/>
  <c r="I112" i="6"/>
  <c r="K111" i="6"/>
  <c r="J111" i="6"/>
  <c r="I111" i="6"/>
  <c r="K110" i="6"/>
  <c r="J110" i="6"/>
  <c r="I110" i="6"/>
  <c r="K109" i="6"/>
  <c r="J109" i="6"/>
  <c r="I109" i="6"/>
  <c r="K108" i="6"/>
  <c r="J108" i="6"/>
  <c r="I108" i="6"/>
  <c r="K107" i="6"/>
  <c r="J107" i="6"/>
  <c r="I107" i="6"/>
  <c r="K106" i="6"/>
  <c r="J106" i="6"/>
  <c r="I106" i="6"/>
  <c r="K105" i="6"/>
  <c r="BJ104" i="6"/>
  <c r="BF104" i="6"/>
  <c r="BD104" i="6"/>
  <c r="AP104" i="6"/>
  <c r="AO104" i="6"/>
  <c r="AK104" i="6"/>
  <c r="AJ104" i="6"/>
  <c r="AH104" i="6"/>
  <c r="AG104" i="6"/>
  <c r="AF104" i="6"/>
  <c r="AE104" i="6"/>
  <c r="AD104" i="6"/>
  <c r="AC104" i="6"/>
  <c r="AB104" i="6"/>
  <c r="Z104" i="6"/>
  <c r="K104" i="6"/>
  <c r="BJ103" i="6"/>
  <c r="AH103" i="6" s="1"/>
  <c r="BF103" i="6"/>
  <c r="BD103" i="6"/>
  <c r="AP103" i="6"/>
  <c r="BI103" i="6" s="1"/>
  <c r="AO103" i="6"/>
  <c r="I104" i="6" s="1"/>
  <c r="AK103" i="6"/>
  <c r="AJ103" i="6"/>
  <c r="AG103" i="6"/>
  <c r="AF103" i="6"/>
  <c r="AE103" i="6"/>
  <c r="AD103" i="6"/>
  <c r="AC103" i="6"/>
  <c r="AB103" i="6"/>
  <c r="Z103" i="6"/>
  <c r="K103" i="6"/>
  <c r="AL103" i="6" s="1"/>
  <c r="I103" i="6"/>
  <c r="BJ101" i="6"/>
  <c r="AH101" i="6" s="1"/>
  <c r="BF101" i="6"/>
  <c r="BD101" i="6"/>
  <c r="AW101" i="6"/>
  <c r="AV101" i="6"/>
  <c r="AP101" i="6"/>
  <c r="AX101" i="6" s="1"/>
  <c r="AO101" i="6"/>
  <c r="BH101" i="6" s="1"/>
  <c r="AL101" i="6"/>
  <c r="AK101" i="6"/>
  <c r="AJ101" i="6"/>
  <c r="AG101" i="6"/>
  <c r="AF101" i="6"/>
  <c r="AE101" i="6"/>
  <c r="AD101" i="6"/>
  <c r="AC101" i="6"/>
  <c r="AB101" i="6"/>
  <c r="Z101" i="6"/>
  <c r="K101" i="6"/>
  <c r="J101" i="6"/>
  <c r="I101" i="6"/>
  <c r="BJ100" i="6"/>
  <c r="BH100" i="6"/>
  <c r="BF100" i="6"/>
  <c r="BD100" i="6"/>
  <c r="AX100" i="6"/>
  <c r="AW100" i="6"/>
  <c r="AP100" i="6"/>
  <c r="BI100" i="6" s="1"/>
  <c r="AO100" i="6"/>
  <c r="I100" i="6" s="1"/>
  <c r="AL100" i="6"/>
  <c r="AK100" i="6"/>
  <c r="AJ100" i="6"/>
  <c r="AH100" i="6"/>
  <c r="AG100" i="6"/>
  <c r="AF100" i="6"/>
  <c r="AE100" i="6"/>
  <c r="AD100" i="6"/>
  <c r="AC100" i="6"/>
  <c r="AB100" i="6"/>
  <c r="Z100" i="6"/>
  <c r="K100" i="6"/>
  <c r="J100" i="6"/>
  <c r="BJ98" i="6"/>
  <c r="BF98" i="6"/>
  <c r="BD98" i="6"/>
  <c r="AP98" i="6"/>
  <c r="AO98" i="6"/>
  <c r="AK98" i="6"/>
  <c r="AJ98" i="6"/>
  <c r="AH98" i="6"/>
  <c r="AG98" i="6"/>
  <c r="AF98" i="6"/>
  <c r="AE98" i="6"/>
  <c r="AD98" i="6"/>
  <c r="AC98" i="6"/>
  <c r="AB98" i="6"/>
  <c r="Z98" i="6"/>
  <c r="K98" i="6"/>
  <c r="AL98" i="6" s="1"/>
  <c r="BJ96" i="6"/>
  <c r="AH96" i="6" s="1"/>
  <c r="BF96" i="6"/>
  <c r="BD96" i="6"/>
  <c r="AP96" i="6"/>
  <c r="BI96" i="6" s="1"/>
  <c r="AO96" i="6"/>
  <c r="AW96" i="6" s="1"/>
  <c r="AK96" i="6"/>
  <c r="AJ96" i="6"/>
  <c r="AG96" i="6"/>
  <c r="AF96" i="6"/>
  <c r="AE96" i="6"/>
  <c r="AD96" i="6"/>
  <c r="AC96" i="6"/>
  <c r="AB96" i="6"/>
  <c r="Z96" i="6"/>
  <c r="K96" i="6"/>
  <c r="AL96" i="6" s="1"/>
  <c r="I96" i="6"/>
  <c r="BJ94" i="6"/>
  <c r="AH94" i="6" s="1"/>
  <c r="BF94" i="6"/>
  <c r="BD94" i="6"/>
  <c r="AW94" i="6"/>
  <c r="AP94" i="6"/>
  <c r="AX94" i="6" s="1"/>
  <c r="AV94" i="6" s="1"/>
  <c r="AO94" i="6"/>
  <c r="BH94" i="6" s="1"/>
  <c r="AL94" i="6"/>
  <c r="AK94" i="6"/>
  <c r="AJ94" i="6"/>
  <c r="AG94" i="6"/>
  <c r="AF94" i="6"/>
  <c r="AE94" i="6"/>
  <c r="AD94" i="6"/>
  <c r="AC94" i="6"/>
  <c r="AB94" i="6"/>
  <c r="Z94" i="6"/>
  <c r="K94" i="6"/>
  <c r="J94" i="6"/>
  <c r="I94" i="6"/>
  <c r="BJ92" i="6"/>
  <c r="BH92" i="6"/>
  <c r="BF92" i="6"/>
  <c r="BD92" i="6"/>
  <c r="AX92" i="6"/>
  <c r="AW92" i="6"/>
  <c r="AP92" i="6"/>
  <c r="BI92" i="6" s="1"/>
  <c r="AO92" i="6"/>
  <c r="I92" i="6" s="1"/>
  <c r="AL92" i="6"/>
  <c r="AK92" i="6"/>
  <c r="AJ92" i="6"/>
  <c r="AH92" i="6"/>
  <c r="AG92" i="6"/>
  <c r="AF92" i="6"/>
  <c r="AE92" i="6"/>
  <c r="AD92" i="6"/>
  <c r="AC92" i="6"/>
  <c r="AB92" i="6"/>
  <c r="Z92" i="6"/>
  <c r="K92" i="6"/>
  <c r="J92" i="6"/>
  <c r="BJ90" i="6"/>
  <c r="BF90" i="6"/>
  <c r="BD90" i="6"/>
  <c r="AP90" i="6"/>
  <c r="AO90" i="6"/>
  <c r="AK90" i="6"/>
  <c r="AJ90" i="6"/>
  <c r="AH90" i="6"/>
  <c r="AG90" i="6"/>
  <c r="AF90" i="6"/>
  <c r="AE90" i="6"/>
  <c r="AD90" i="6"/>
  <c r="AC90" i="6"/>
  <c r="AB90" i="6"/>
  <c r="Z90" i="6"/>
  <c r="K90" i="6"/>
  <c r="AL90" i="6" s="1"/>
  <c r="BJ88" i="6"/>
  <c r="AH88" i="6" s="1"/>
  <c r="BF88" i="6"/>
  <c r="BD88" i="6"/>
  <c r="AP88" i="6"/>
  <c r="BI88" i="6" s="1"/>
  <c r="AO88" i="6"/>
  <c r="AW88" i="6" s="1"/>
  <c r="AK88" i="6"/>
  <c r="AJ88" i="6"/>
  <c r="AG88" i="6"/>
  <c r="AF88" i="6"/>
  <c r="AE88" i="6"/>
  <c r="AD88" i="6"/>
  <c r="AC88" i="6"/>
  <c r="AB88" i="6"/>
  <c r="Z88" i="6"/>
  <c r="K88" i="6"/>
  <c r="AL88" i="6" s="1"/>
  <c r="I88" i="6"/>
  <c r="BJ86" i="6"/>
  <c r="AH86" i="6" s="1"/>
  <c r="BF86" i="6"/>
  <c r="BD86" i="6"/>
  <c r="AW86" i="6"/>
  <c r="AV86" i="6"/>
  <c r="AP86" i="6"/>
  <c r="AX86" i="6" s="1"/>
  <c r="AO86" i="6"/>
  <c r="BH86" i="6" s="1"/>
  <c r="AL86" i="6"/>
  <c r="AK86" i="6"/>
  <c r="AJ86" i="6"/>
  <c r="AG86" i="6"/>
  <c r="AF86" i="6"/>
  <c r="AE86" i="6"/>
  <c r="AD86" i="6"/>
  <c r="AC86" i="6"/>
  <c r="AB86" i="6"/>
  <c r="Z86" i="6"/>
  <c r="K86" i="6"/>
  <c r="J86" i="6"/>
  <c r="I86" i="6"/>
  <c r="BJ84" i="6"/>
  <c r="BH84" i="6"/>
  <c r="BF84" i="6"/>
  <c r="BD84" i="6"/>
  <c r="AX84" i="6"/>
  <c r="AW84" i="6"/>
  <c r="AP84" i="6"/>
  <c r="BI84" i="6" s="1"/>
  <c r="AO84" i="6"/>
  <c r="I84" i="6" s="1"/>
  <c r="AL84" i="6"/>
  <c r="AK84" i="6"/>
  <c r="AJ84" i="6"/>
  <c r="AH84" i="6"/>
  <c r="AG84" i="6"/>
  <c r="AF84" i="6"/>
  <c r="AE84" i="6"/>
  <c r="AD84" i="6"/>
  <c r="AC84" i="6"/>
  <c r="AB84" i="6"/>
  <c r="Z84" i="6"/>
  <c r="K84" i="6"/>
  <c r="J84" i="6"/>
  <c r="BJ82" i="6"/>
  <c r="BF82" i="6"/>
  <c r="BD82" i="6"/>
  <c r="AP82" i="6"/>
  <c r="AO82" i="6"/>
  <c r="AK82" i="6"/>
  <c r="AJ82" i="6"/>
  <c r="AH82" i="6"/>
  <c r="AG82" i="6"/>
  <c r="AF82" i="6"/>
  <c r="AE82" i="6"/>
  <c r="AD82" i="6"/>
  <c r="AC82" i="6"/>
  <c r="AB82" i="6"/>
  <c r="Z82" i="6"/>
  <c r="K82" i="6"/>
  <c r="AL82" i="6" s="1"/>
  <c r="BJ80" i="6"/>
  <c r="AH80" i="6" s="1"/>
  <c r="BF80" i="6"/>
  <c r="BD80" i="6"/>
  <c r="AP80" i="6"/>
  <c r="BI80" i="6" s="1"/>
  <c r="AO80" i="6"/>
  <c r="AW80" i="6" s="1"/>
  <c r="AK80" i="6"/>
  <c r="AJ80" i="6"/>
  <c r="AG80" i="6"/>
  <c r="AF80" i="6"/>
  <c r="AE80" i="6"/>
  <c r="AD80" i="6"/>
  <c r="AC80" i="6"/>
  <c r="AB80" i="6"/>
  <c r="Z80" i="6"/>
  <c r="K80" i="6"/>
  <c r="AL80" i="6" s="1"/>
  <c r="I80" i="6"/>
  <c r="BJ78" i="6"/>
  <c r="AH78" i="6" s="1"/>
  <c r="BF78" i="6"/>
  <c r="BD78" i="6"/>
  <c r="AW78" i="6"/>
  <c r="AV78" i="6"/>
  <c r="AP78" i="6"/>
  <c r="AX78" i="6" s="1"/>
  <c r="AO78" i="6"/>
  <c r="BH78" i="6" s="1"/>
  <c r="AL78" i="6"/>
  <c r="AK78" i="6"/>
  <c r="AJ78" i="6"/>
  <c r="AG78" i="6"/>
  <c r="AF78" i="6"/>
  <c r="AE78" i="6"/>
  <c r="AD78" i="6"/>
  <c r="AC78" i="6"/>
  <c r="AB78" i="6"/>
  <c r="Z78" i="6"/>
  <c r="K78" i="6"/>
  <c r="J78" i="6"/>
  <c r="I78" i="6"/>
  <c r="BJ76" i="6"/>
  <c r="BH76" i="6"/>
  <c r="BF76" i="6"/>
  <c r="BD76" i="6"/>
  <c r="AX76" i="6"/>
  <c r="AW76" i="6"/>
  <c r="AP76" i="6"/>
  <c r="BI76" i="6" s="1"/>
  <c r="AO76" i="6"/>
  <c r="I76" i="6" s="1"/>
  <c r="AL76" i="6"/>
  <c r="AK76" i="6"/>
  <c r="AJ76" i="6"/>
  <c r="AH76" i="6"/>
  <c r="AG76" i="6"/>
  <c r="AF76" i="6"/>
  <c r="AE76" i="6"/>
  <c r="AD76" i="6"/>
  <c r="AC76" i="6"/>
  <c r="AB76" i="6"/>
  <c r="Z76" i="6"/>
  <c r="K76" i="6"/>
  <c r="J76" i="6"/>
  <c r="BJ74" i="6"/>
  <c r="BF74" i="6"/>
  <c r="BD74" i="6"/>
  <c r="AP74" i="6"/>
  <c r="AO74" i="6"/>
  <c r="AK74" i="6"/>
  <c r="AJ74" i="6"/>
  <c r="AH74" i="6"/>
  <c r="AG74" i="6"/>
  <c r="AF74" i="6"/>
  <c r="AE74" i="6"/>
  <c r="AD74" i="6"/>
  <c r="AC74" i="6"/>
  <c r="AB74" i="6"/>
  <c r="Z74" i="6"/>
  <c r="K74" i="6"/>
  <c r="AL74" i="6" s="1"/>
  <c r="BJ73" i="6"/>
  <c r="AH73" i="6" s="1"/>
  <c r="BF73" i="6"/>
  <c r="BD73" i="6"/>
  <c r="AP73" i="6"/>
  <c r="BI73" i="6" s="1"/>
  <c r="AO73" i="6"/>
  <c r="AW73" i="6" s="1"/>
  <c r="AK73" i="6"/>
  <c r="AJ73" i="6"/>
  <c r="AG73" i="6"/>
  <c r="AF73" i="6"/>
  <c r="AE73" i="6"/>
  <c r="AD73" i="6"/>
  <c r="AC73" i="6"/>
  <c r="AB73" i="6"/>
  <c r="Z73" i="6"/>
  <c r="K73" i="6"/>
  <c r="AL73" i="6" s="1"/>
  <c r="I73" i="6"/>
  <c r="BJ71" i="6"/>
  <c r="AH71" i="6" s="1"/>
  <c r="BF71" i="6"/>
  <c r="BD71" i="6"/>
  <c r="AW71" i="6"/>
  <c r="AV71" i="6"/>
  <c r="AP71" i="6"/>
  <c r="AX71" i="6" s="1"/>
  <c r="AO71" i="6"/>
  <c r="BH71" i="6" s="1"/>
  <c r="AL71" i="6"/>
  <c r="AK71" i="6"/>
  <c r="AJ71" i="6"/>
  <c r="AG71" i="6"/>
  <c r="AF71" i="6"/>
  <c r="AE71" i="6"/>
  <c r="AD71" i="6"/>
  <c r="AC71" i="6"/>
  <c r="AB71" i="6"/>
  <c r="Z71" i="6"/>
  <c r="K71" i="6"/>
  <c r="J71" i="6"/>
  <c r="I71" i="6"/>
  <c r="BJ70" i="6"/>
  <c r="BH70" i="6"/>
  <c r="BF70" i="6"/>
  <c r="BD70" i="6"/>
  <c r="AX70" i="6"/>
  <c r="AW70" i="6"/>
  <c r="AP70" i="6"/>
  <c r="BI70" i="6" s="1"/>
  <c r="AO70" i="6"/>
  <c r="I70" i="6" s="1"/>
  <c r="AL70" i="6"/>
  <c r="AK70" i="6"/>
  <c r="AJ70" i="6"/>
  <c r="AH70" i="6"/>
  <c r="AG70" i="6"/>
  <c r="AF70" i="6"/>
  <c r="AE70" i="6"/>
  <c r="AD70" i="6"/>
  <c r="AC70" i="6"/>
  <c r="AB70" i="6"/>
  <c r="Z70" i="6"/>
  <c r="K70" i="6"/>
  <c r="J70" i="6"/>
  <c r="BJ68" i="6"/>
  <c r="BF68" i="6"/>
  <c r="BD68" i="6"/>
  <c r="AP68" i="6"/>
  <c r="AO68" i="6"/>
  <c r="AK68" i="6"/>
  <c r="AJ68" i="6"/>
  <c r="AH68" i="6"/>
  <c r="AG68" i="6"/>
  <c r="AF68" i="6"/>
  <c r="AE68" i="6"/>
  <c r="AD68" i="6"/>
  <c r="AC68" i="6"/>
  <c r="AB68" i="6"/>
  <c r="Z68" i="6"/>
  <c r="K68" i="6"/>
  <c r="AL68" i="6" s="1"/>
  <c r="BJ67" i="6"/>
  <c r="AH67" i="6" s="1"/>
  <c r="BF67" i="6"/>
  <c r="BD67" i="6"/>
  <c r="AP67" i="6"/>
  <c r="BI67" i="6" s="1"/>
  <c r="AO67" i="6"/>
  <c r="AW67" i="6" s="1"/>
  <c r="AK67" i="6"/>
  <c r="AJ67" i="6"/>
  <c r="AG67" i="6"/>
  <c r="AF67" i="6"/>
  <c r="AE67" i="6"/>
  <c r="AD67" i="6"/>
  <c r="AC67" i="6"/>
  <c r="AB67" i="6"/>
  <c r="Z67" i="6"/>
  <c r="K67" i="6"/>
  <c r="AL67" i="6" s="1"/>
  <c r="I67" i="6"/>
  <c r="BJ65" i="6"/>
  <c r="AH65" i="6" s="1"/>
  <c r="BF65" i="6"/>
  <c r="BD65" i="6"/>
  <c r="AW65" i="6"/>
  <c r="AP65" i="6"/>
  <c r="AX65" i="6" s="1"/>
  <c r="AV65" i="6" s="1"/>
  <c r="AO65" i="6"/>
  <c r="BH65" i="6" s="1"/>
  <c r="AL65" i="6"/>
  <c r="AK65" i="6"/>
  <c r="AJ65" i="6"/>
  <c r="AG65" i="6"/>
  <c r="AF65" i="6"/>
  <c r="AE65" i="6"/>
  <c r="AD65" i="6"/>
  <c r="AC65" i="6"/>
  <c r="AB65" i="6"/>
  <c r="Z65" i="6"/>
  <c r="K65" i="6"/>
  <c r="J65" i="6"/>
  <c r="I65" i="6"/>
  <c r="BJ63" i="6"/>
  <c r="BH63" i="6"/>
  <c r="BF63" i="6"/>
  <c r="BD63" i="6"/>
  <c r="AX63" i="6"/>
  <c r="AW63" i="6"/>
  <c r="AP63" i="6"/>
  <c r="BI63" i="6" s="1"/>
  <c r="AO63" i="6"/>
  <c r="I63" i="6" s="1"/>
  <c r="AL63" i="6"/>
  <c r="AK63" i="6"/>
  <c r="AJ63" i="6"/>
  <c r="AH63" i="6"/>
  <c r="AG63" i="6"/>
  <c r="AF63" i="6"/>
  <c r="AE63" i="6"/>
  <c r="AD63" i="6"/>
  <c r="AC63" i="6"/>
  <c r="AB63" i="6"/>
  <c r="Z63" i="6"/>
  <c r="K63" i="6"/>
  <c r="J63" i="6"/>
  <c r="BJ61" i="6"/>
  <c r="BF61" i="6"/>
  <c r="BD61" i="6"/>
  <c r="AP61" i="6"/>
  <c r="AO61" i="6"/>
  <c r="AK61" i="6"/>
  <c r="AJ61" i="6"/>
  <c r="AH61" i="6"/>
  <c r="AG61" i="6"/>
  <c r="AF61" i="6"/>
  <c r="AE61" i="6"/>
  <c r="AD61" i="6"/>
  <c r="AC61" i="6"/>
  <c r="AB61" i="6"/>
  <c r="Z61" i="6"/>
  <c r="K61" i="6"/>
  <c r="AL61" i="6" s="1"/>
  <c r="BJ59" i="6"/>
  <c r="AH59" i="6" s="1"/>
  <c r="BF59" i="6"/>
  <c r="BD59" i="6"/>
  <c r="AP59" i="6"/>
  <c r="BI59" i="6" s="1"/>
  <c r="AO59" i="6"/>
  <c r="AW59" i="6" s="1"/>
  <c r="AK59" i="6"/>
  <c r="AJ59" i="6"/>
  <c r="AG59" i="6"/>
  <c r="AF59" i="6"/>
  <c r="AE59" i="6"/>
  <c r="AD59" i="6"/>
  <c r="AC59" i="6"/>
  <c r="AB59" i="6"/>
  <c r="Z59" i="6"/>
  <c r="K59" i="6"/>
  <c r="AL59" i="6" s="1"/>
  <c r="I59" i="6"/>
  <c r="BJ57" i="6"/>
  <c r="AH57" i="6" s="1"/>
  <c r="BF57" i="6"/>
  <c r="BD57" i="6"/>
  <c r="AW57" i="6"/>
  <c r="AV57" i="6"/>
  <c r="AP57" i="6"/>
  <c r="AX57" i="6" s="1"/>
  <c r="AO57" i="6"/>
  <c r="BH57" i="6" s="1"/>
  <c r="AL57" i="6"/>
  <c r="AK57" i="6"/>
  <c r="AJ57" i="6"/>
  <c r="AG57" i="6"/>
  <c r="AF57" i="6"/>
  <c r="AE57" i="6"/>
  <c r="AD57" i="6"/>
  <c r="AC57" i="6"/>
  <c r="AB57" i="6"/>
  <c r="Z57" i="6"/>
  <c r="K57" i="6"/>
  <c r="J57" i="6"/>
  <c r="I57" i="6"/>
  <c r="BJ56" i="6"/>
  <c r="BH56" i="6"/>
  <c r="BF56" i="6"/>
  <c r="BD56" i="6"/>
  <c r="AX56" i="6"/>
  <c r="AW56" i="6"/>
  <c r="AP56" i="6"/>
  <c r="BI56" i="6" s="1"/>
  <c r="AO56" i="6"/>
  <c r="I56" i="6" s="1"/>
  <c r="AL56" i="6"/>
  <c r="AK56" i="6"/>
  <c r="AJ56" i="6"/>
  <c r="AH56" i="6"/>
  <c r="AG56" i="6"/>
  <c r="AF56" i="6"/>
  <c r="AE56" i="6"/>
  <c r="AD56" i="6"/>
  <c r="AC56" i="6"/>
  <c r="AB56" i="6"/>
  <c r="Z56" i="6"/>
  <c r="K56" i="6"/>
  <c r="J56" i="6"/>
  <c r="BJ55" i="6"/>
  <c r="BF55" i="6"/>
  <c r="BD55" i="6"/>
  <c r="AP55" i="6"/>
  <c r="AO55" i="6"/>
  <c r="AK55" i="6"/>
  <c r="AJ55" i="6"/>
  <c r="AS54" i="6" s="1"/>
  <c r="AH55" i="6"/>
  <c r="AG55" i="6"/>
  <c r="AF55" i="6"/>
  <c r="AE55" i="6"/>
  <c r="AD55" i="6"/>
  <c r="AC55" i="6"/>
  <c r="AB55" i="6"/>
  <c r="Z55" i="6"/>
  <c r="K55" i="6"/>
  <c r="BJ53" i="6"/>
  <c r="BF53" i="6"/>
  <c r="BD53" i="6"/>
  <c r="AX53" i="6"/>
  <c r="AP53" i="6"/>
  <c r="BI53" i="6" s="1"/>
  <c r="AO53" i="6"/>
  <c r="AK53" i="6"/>
  <c r="AJ53" i="6"/>
  <c r="AH53" i="6"/>
  <c r="AG53" i="6"/>
  <c r="AF53" i="6"/>
  <c r="AE53" i="6"/>
  <c r="AD53" i="6"/>
  <c r="AC53" i="6"/>
  <c r="AB53" i="6"/>
  <c r="Z53" i="6"/>
  <c r="K53" i="6"/>
  <c r="AL53" i="6" s="1"/>
  <c r="J53" i="6"/>
  <c r="BJ52" i="6"/>
  <c r="BH52" i="6"/>
  <c r="BF52" i="6"/>
  <c r="BD52" i="6"/>
  <c r="AX52" i="6"/>
  <c r="AW52" i="6"/>
  <c r="AP52" i="6"/>
  <c r="BI52" i="6" s="1"/>
  <c r="AO52" i="6"/>
  <c r="I52" i="6" s="1"/>
  <c r="AL52" i="6"/>
  <c r="AK52" i="6"/>
  <c r="AJ52" i="6"/>
  <c r="AH52" i="6"/>
  <c r="AG52" i="6"/>
  <c r="AF52" i="6"/>
  <c r="AE52" i="6"/>
  <c r="AD52" i="6"/>
  <c r="AC52" i="6"/>
  <c r="AB52" i="6"/>
  <c r="Z52" i="6"/>
  <c r="K52" i="6"/>
  <c r="J52" i="6"/>
  <c r="BJ50" i="6"/>
  <c r="BF50" i="6"/>
  <c r="BD50" i="6"/>
  <c r="AP50" i="6"/>
  <c r="AO50" i="6"/>
  <c r="AK50" i="6"/>
  <c r="AJ50" i="6"/>
  <c r="AH50" i="6"/>
  <c r="AG50" i="6"/>
  <c r="AF50" i="6"/>
  <c r="AE50" i="6"/>
  <c r="AD50" i="6"/>
  <c r="AC50" i="6"/>
  <c r="AB50" i="6"/>
  <c r="Z50" i="6"/>
  <c r="K50" i="6"/>
  <c r="AL50" i="6" s="1"/>
  <c r="BJ49" i="6"/>
  <c r="BF49" i="6"/>
  <c r="BD49" i="6"/>
  <c r="AW49" i="6"/>
  <c r="AP49" i="6"/>
  <c r="AO49" i="6"/>
  <c r="BH49" i="6" s="1"/>
  <c r="AL49" i="6"/>
  <c r="AK49" i="6"/>
  <c r="AJ49" i="6"/>
  <c r="AH49" i="6"/>
  <c r="AG49" i="6"/>
  <c r="AF49" i="6"/>
  <c r="AE49" i="6"/>
  <c r="AD49" i="6"/>
  <c r="AC49" i="6"/>
  <c r="AB49" i="6"/>
  <c r="Z49" i="6"/>
  <c r="K49" i="6"/>
  <c r="I49" i="6"/>
  <c r="BJ48" i="6"/>
  <c r="Z48" i="6" s="1"/>
  <c r="BF48" i="6"/>
  <c r="BD48" i="6"/>
  <c r="AX48" i="6"/>
  <c r="AW48" i="6"/>
  <c r="BC48" i="6" s="1"/>
  <c r="AV48" i="6"/>
  <c r="AP48" i="6"/>
  <c r="BI48" i="6" s="1"/>
  <c r="AO48" i="6"/>
  <c r="BH48" i="6" s="1"/>
  <c r="AL48" i="6"/>
  <c r="AK48" i="6"/>
  <c r="AT47" i="6" s="1"/>
  <c r="AJ48" i="6"/>
  <c r="AH48" i="6"/>
  <c r="AG48" i="6"/>
  <c r="AF48" i="6"/>
  <c r="AE48" i="6"/>
  <c r="AD48" i="6"/>
  <c r="AC48" i="6"/>
  <c r="AB48" i="6"/>
  <c r="K48" i="6"/>
  <c r="J48" i="6"/>
  <c r="I48" i="6"/>
  <c r="AS47" i="6"/>
  <c r="K47" i="6"/>
  <c r="BJ46" i="6"/>
  <c r="BF46" i="6"/>
  <c r="BD46" i="6"/>
  <c r="AW46" i="6"/>
  <c r="AP46" i="6"/>
  <c r="AO46" i="6"/>
  <c r="BH46" i="6" s="1"/>
  <c r="AF46" i="6" s="1"/>
  <c r="AL46" i="6"/>
  <c r="AK46" i="6"/>
  <c r="AJ46" i="6"/>
  <c r="AH46" i="6"/>
  <c r="AE46" i="6"/>
  <c r="AD46" i="6"/>
  <c r="AC46" i="6"/>
  <c r="AB46" i="6"/>
  <c r="Z46" i="6"/>
  <c r="K46" i="6"/>
  <c r="I46" i="6"/>
  <c r="BJ45" i="6"/>
  <c r="BF45" i="6"/>
  <c r="BD45" i="6"/>
  <c r="AX45" i="6"/>
  <c r="AW45" i="6"/>
  <c r="BC45" i="6" s="1"/>
  <c r="AV45" i="6"/>
  <c r="AP45" i="6"/>
  <c r="BI45" i="6" s="1"/>
  <c r="AG45" i="6" s="1"/>
  <c r="AO45" i="6"/>
  <c r="BH45" i="6" s="1"/>
  <c r="AL45" i="6"/>
  <c r="AK45" i="6"/>
  <c r="AJ45" i="6"/>
  <c r="AH45" i="6"/>
  <c r="AF45" i="6"/>
  <c r="AE45" i="6"/>
  <c r="AD45" i="6"/>
  <c r="AC45" i="6"/>
  <c r="AB45" i="6"/>
  <c r="Z45" i="6"/>
  <c r="K45" i="6"/>
  <c r="J45" i="6"/>
  <c r="I45" i="6"/>
  <c r="BJ44" i="6"/>
  <c r="BF44" i="6"/>
  <c r="BD44" i="6"/>
  <c r="AX44" i="6"/>
  <c r="AP44" i="6"/>
  <c r="BI44" i="6" s="1"/>
  <c r="AO44" i="6"/>
  <c r="AL44" i="6"/>
  <c r="AK44" i="6"/>
  <c r="AJ44" i="6"/>
  <c r="AH44" i="6"/>
  <c r="AG44" i="6"/>
  <c r="AE44" i="6"/>
  <c r="AD44" i="6"/>
  <c r="AC44" i="6"/>
  <c r="AB44" i="6"/>
  <c r="Z44" i="6"/>
  <c r="K44" i="6"/>
  <c r="J44" i="6"/>
  <c r="BJ43" i="6"/>
  <c r="BF43" i="6"/>
  <c r="BD43" i="6"/>
  <c r="AP43" i="6"/>
  <c r="AO43" i="6"/>
  <c r="AK43" i="6"/>
  <c r="AJ43" i="6"/>
  <c r="AH43" i="6"/>
  <c r="AE43" i="6"/>
  <c r="AD43" i="6"/>
  <c r="AC43" i="6"/>
  <c r="AB43" i="6"/>
  <c r="Z43" i="6"/>
  <c r="K43" i="6"/>
  <c r="AL43" i="6" s="1"/>
  <c r="BJ42" i="6"/>
  <c r="BI42" i="6"/>
  <c r="AG42" i="6" s="1"/>
  <c r="BF42" i="6"/>
  <c r="BD42" i="6"/>
  <c r="AW42" i="6"/>
  <c r="AP42" i="6"/>
  <c r="AO42" i="6"/>
  <c r="BH42" i="6" s="1"/>
  <c r="AL42" i="6"/>
  <c r="AK42" i="6"/>
  <c r="AJ42" i="6"/>
  <c r="AH42" i="6"/>
  <c r="AF42" i="6"/>
  <c r="AE42" i="6"/>
  <c r="AD42" i="6"/>
  <c r="AC42" i="6"/>
  <c r="AB42" i="6"/>
  <c r="Z42" i="6"/>
  <c r="K42" i="6"/>
  <c r="I42" i="6"/>
  <c r="BJ41" i="6"/>
  <c r="BF41" i="6"/>
  <c r="BD41" i="6"/>
  <c r="AX41" i="6"/>
  <c r="AW41" i="6"/>
  <c r="BC41" i="6" s="1"/>
  <c r="AP41" i="6"/>
  <c r="BI41" i="6" s="1"/>
  <c r="AO41" i="6"/>
  <c r="BH41" i="6" s="1"/>
  <c r="AL41" i="6"/>
  <c r="AK41" i="6"/>
  <c r="AJ41" i="6"/>
  <c r="AH41" i="6"/>
  <c r="AG41" i="6"/>
  <c r="AF41" i="6"/>
  <c r="AE41" i="6"/>
  <c r="AD41" i="6"/>
  <c r="AC41" i="6"/>
  <c r="AB41" i="6"/>
  <c r="Z41" i="6"/>
  <c r="K41" i="6"/>
  <c r="J41" i="6"/>
  <c r="I41" i="6"/>
  <c r="BJ39" i="6"/>
  <c r="BF39" i="6"/>
  <c r="BD39" i="6"/>
  <c r="AX39" i="6"/>
  <c r="AP39" i="6"/>
  <c r="BI39" i="6" s="1"/>
  <c r="AG39" i="6" s="1"/>
  <c r="AO39" i="6"/>
  <c r="AK39" i="6"/>
  <c r="AJ39" i="6"/>
  <c r="AH39" i="6"/>
  <c r="AE39" i="6"/>
  <c r="AD39" i="6"/>
  <c r="AC39" i="6"/>
  <c r="AB39" i="6"/>
  <c r="Z39" i="6"/>
  <c r="K39" i="6"/>
  <c r="AL39" i="6" s="1"/>
  <c r="J39" i="6"/>
  <c r="BJ38" i="6"/>
  <c r="BH38" i="6"/>
  <c r="AF38" i="6" s="1"/>
  <c r="BF38" i="6"/>
  <c r="BD38" i="6"/>
  <c r="AP38" i="6"/>
  <c r="AX38" i="6" s="1"/>
  <c r="AO38" i="6"/>
  <c r="AK38" i="6"/>
  <c r="AJ38" i="6"/>
  <c r="AH38" i="6"/>
  <c r="AE38" i="6"/>
  <c r="AD38" i="6"/>
  <c r="AC38" i="6"/>
  <c r="AB38" i="6"/>
  <c r="Z38" i="6"/>
  <c r="K38" i="6"/>
  <c r="AL38" i="6" s="1"/>
  <c r="BJ37" i="6"/>
  <c r="BI37" i="6"/>
  <c r="AG37" i="6" s="1"/>
  <c r="BF37" i="6"/>
  <c r="BD37" i="6"/>
  <c r="AW37" i="6"/>
  <c r="AP37" i="6"/>
  <c r="AO37" i="6"/>
  <c r="BH37" i="6" s="1"/>
  <c r="AL37" i="6"/>
  <c r="AK37" i="6"/>
  <c r="AJ37" i="6"/>
  <c r="AH37" i="6"/>
  <c r="AF37" i="6"/>
  <c r="AE37" i="6"/>
  <c r="AD37" i="6"/>
  <c r="AC37" i="6"/>
  <c r="AB37" i="6"/>
  <c r="Z37" i="6"/>
  <c r="K37" i="6"/>
  <c r="I37" i="6"/>
  <c r="BJ36" i="6"/>
  <c r="BF36" i="6"/>
  <c r="BD36" i="6"/>
  <c r="AX36" i="6"/>
  <c r="AW36" i="6"/>
  <c r="AP36" i="6"/>
  <c r="BI36" i="6" s="1"/>
  <c r="AO36" i="6"/>
  <c r="BH36" i="6" s="1"/>
  <c r="AF36" i="6" s="1"/>
  <c r="AL36" i="6"/>
  <c r="AK36" i="6"/>
  <c r="AJ36" i="6"/>
  <c r="AH36" i="6"/>
  <c r="AG36" i="6"/>
  <c r="AE36" i="6"/>
  <c r="AD36" i="6"/>
  <c r="AC36" i="6"/>
  <c r="AB36" i="6"/>
  <c r="Z36" i="6"/>
  <c r="K36" i="6"/>
  <c r="J36" i="6"/>
  <c r="I36" i="6"/>
  <c r="BJ35" i="6"/>
  <c r="BH35" i="6"/>
  <c r="AF35" i="6" s="1"/>
  <c r="BF35" i="6"/>
  <c r="BD35" i="6"/>
  <c r="AX35" i="6"/>
  <c r="AW35" i="6"/>
  <c r="AP35" i="6"/>
  <c r="BI35" i="6" s="1"/>
  <c r="AG35" i="6" s="1"/>
  <c r="AO35" i="6"/>
  <c r="I35" i="6" s="1"/>
  <c r="AK35" i="6"/>
  <c r="AJ35" i="6"/>
  <c r="AH35" i="6"/>
  <c r="AE35" i="6"/>
  <c r="AD35" i="6"/>
  <c r="AC35" i="6"/>
  <c r="AB35" i="6"/>
  <c r="Z35" i="6"/>
  <c r="K35" i="6"/>
  <c r="AL35" i="6" s="1"/>
  <c r="J35" i="6"/>
  <c r="BJ34" i="6"/>
  <c r="BI34" i="6"/>
  <c r="AG34" i="6" s="1"/>
  <c r="BH34" i="6"/>
  <c r="AF34" i="6" s="1"/>
  <c r="BF34" i="6"/>
  <c r="BD34" i="6"/>
  <c r="AX34" i="6"/>
  <c r="AP34" i="6"/>
  <c r="J34" i="6" s="1"/>
  <c r="AO34" i="6"/>
  <c r="AK34" i="6"/>
  <c r="AJ34" i="6"/>
  <c r="AH34" i="6"/>
  <c r="AE34" i="6"/>
  <c r="AD34" i="6"/>
  <c r="AC34" i="6"/>
  <c r="AB34" i="6"/>
  <c r="Z34" i="6"/>
  <c r="K34" i="6"/>
  <c r="AL34" i="6" s="1"/>
  <c r="BJ33" i="6"/>
  <c r="BF33" i="6"/>
  <c r="BD33" i="6"/>
  <c r="AW33" i="6"/>
  <c r="AP33" i="6"/>
  <c r="AO33" i="6"/>
  <c r="BH33" i="6" s="1"/>
  <c r="AF33" i="6" s="1"/>
  <c r="AL33" i="6"/>
  <c r="AK33" i="6"/>
  <c r="AJ33" i="6"/>
  <c r="AH33" i="6"/>
  <c r="AE33" i="6"/>
  <c r="AD33" i="6"/>
  <c r="AC33" i="6"/>
  <c r="AB33" i="6"/>
  <c r="Z33" i="6"/>
  <c r="K33" i="6"/>
  <c r="I33" i="6"/>
  <c r="BJ32" i="6"/>
  <c r="BF32" i="6"/>
  <c r="BD32" i="6"/>
  <c r="AX32" i="6"/>
  <c r="AW32" i="6"/>
  <c r="BC32" i="6" s="1"/>
  <c r="AP32" i="6"/>
  <c r="BI32" i="6" s="1"/>
  <c r="AG32" i="6" s="1"/>
  <c r="AO32" i="6"/>
  <c r="BH32" i="6" s="1"/>
  <c r="AF32" i="6" s="1"/>
  <c r="AL32" i="6"/>
  <c r="AK32" i="6"/>
  <c r="AJ32" i="6"/>
  <c r="AH32" i="6"/>
  <c r="AE32" i="6"/>
  <c r="AD32" i="6"/>
  <c r="AC32" i="6"/>
  <c r="AB32" i="6"/>
  <c r="Z32" i="6"/>
  <c r="K32" i="6"/>
  <c r="J32" i="6"/>
  <c r="I32" i="6"/>
  <c r="BJ31" i="6"/>
  <c r="BH31" i="6"/>
  <c r="AF31" i="6" s="1"/>
  <c r="BF31" i="6"/>
  <c r="BD31" i="6"/>
  <c r="AX31" i="6"/>
  <c r="AW31" i="6"/>
  <c r="AP31" i="6"/>
  <c r="BI31" i="6" s="1"/>
  <c r="AO31" i="6"/>
  <c r="I31" i="6" s="1"/>
  <c r="AL31" i="6"/>
  <c r="AK31" i="6"/>
  <c r="AJ31" i="6"/>
  <c r="AH31" i="6"/>
  <c r="AG31" i="6"/>
  <c r="AE31" i="6"/>
  <c r="AD31" i="6"/>
  <c r="AC31" i="6"/>
  <c r="AB31" i="6"/>
  <c r="Z31" i="6"/>
  <c r="K31" i="6"/>
  <c r="J31" i="6"/>
  <c r="BJ30" i="6"/>
  <c r="BI30" i="6"/>
  <c r="AG30" i="6" s="1"/>
  <c r="BF30" i="6"/>
  <c r="BD30" i="6"/>
  <c r="AX30" i="6"/>
  <c r="AP30" i="6"/>
  <c r="J30" i="6" s="1"/>
  <c r="AO30" i="6"/>
  <c r="AK30" i="6"/>
  <c r="AJ30" i="6"/>
  <c r="AH30" i="6"/>
  <c r="AE30" i="6"/>
  <c r="AD30" i="6"/>
  <c r="AC30" i="6"/>
  <c r="AB30" i="6"/>
  <c r="Z30" i="6"/>
  <c r="K30" i="6"/>
  <c r="AL30" i="6" s="1"/>
  <c r="BJ28" i="6"/>
  <c r="BF28" i="6"/>
  <c r="BD28" i="6"/>
  <c r="AW28" i="6"/>
  <c r="AP28" i="6"/>
  <c r="AO28" i="6"/>
  <c r="BH28" i="6" s="1"/>
  <c r="AF28" i="6" s="1"/>
  <c r="AL28" i="6"/>
  <c r="AK28" i="6"/>
  <c r="AJ28" i="6"/>
  <c r="AH28" i="6"/>
  <c r="AE28" i="6"/>
  <c r="AD28" i="6"/>
  <c r="AC28" i="6"/>
  <c r="AB28" i="6"/>
  <c r="Z28" i="6"/>
  <c r="K28" i="6"/>
  <c r="I28" i="6"/>
  <c r="BJ27" i="6"/>
  <c r="BF27" i="6"/>
  <c r="BD27" i="6"/>
  <c r="AX27" i="6"/>
  <c r="AW27" i="6"/>
  <c r="BC27" i="6" s="1"/>
  <c r="AV27" i="6"/>
  <c r="AP27" i="6"/>
  <c r="BI27" i="6" s="1"/>
  <c r="AG27" i="6" s="1"/>
  <c r="AO27" i="6"/>
  <c r="BH27" i="6" s="1"/>
  <c r="AL27" i="6"/>
  <c r="AK27" i="6"/>
  <c r="AT24" i="6" s="1"/>
  <c r="AJ27" i="6"/>
  <c r="AH27" i="6"/>
  <c r="AF27" i="6"/>
  <c r="AE27" i="6"/>
  <c r="AD27" i="6"/>
  <c r="AC27" i="6"/>
  <c r="AB27" i="6"/>
  <c r="Z27" i="6"/>
  <c r="K27" i="6"/>
  <c r="J27" i="6"/>
  <c r="I27" i="6"/>
  <c r="BJ25" i="6"/>
  <c r="BF25" i="6"/>
  <c r="BD25" i="6"/>
  <c r="AX25" i="6"/>
  <c r="AP25" i="6"/>
  <c r="BI25" i="6" s="1"/>
  <c r="AO25" i="6"/>
  <c r="AL25" i="6"/>
  <c r="AK25" i="6"/>
  <c r="AJ25" i="6"/>
  <c r="AH25" i="6"/>
  <c r="AG25" i="6"/>
  <c r="AE25" i="6"/>
  <c r="AD25" i="6"/>
  <c r="AC25" i="6"/>
  <c r="AB25" i="6"/>
  <c r="Z25" i="6"/>
  <c r="K25" i="6"/>
  <c r="J25" i="6"/>
  <c r="BJ22" i="6"/>
  <c r="BF22" i="6"/>
  <c r="BD22" i="6"/>
  <c r="AX22" i="6"/>
  <c r="AW22" i="6"/>
  <c r="BC22" i="6" s="1"/>
  <c r="AV22" i="6"/>
  <c r="AP22" i="6"/>
  <c r="BI22" i="6" s="1"/>
  <c r="AO22" i="6"/>
  <c r="BH22" i="6" s="1"/>
  <c r="AL22" i="6"/>
  <c r="AK22" i="6"/>
  <c r="AJ22" i="6"/>
  <c r="AH22" i="6"/>
  <c r="AG22" i="6"/>
  <c r="AF22" i="6"/>
  <c r="AE22" i="6"/>
  <c r="AD22" i="6"/>
  <c r="AC22" i="6"/>
  <c r="AB22" i="6"/>
  <c r="Z22" i="6"/>
  <c r="K22" i="6"/>
  <c r="J22" i="6"/>
  <c r="I22" i="6"/>
  <c r="BJ20" i="6"/>
  <c r="BF20" i="6"/>
  <c r="BD20" i="6"/>
  <c r="AX20" i="6"/>
  <c r="AP20" i="6"/>
  <c r="BI20" i="6" s="1"/>
  <c r="AC20" i="6" s="1"/>
  <c r="AO20" i="6"/>
  <c r="AK20" i="6"/>
  <c r="AJ20" i="6"/>
  <c r="AH20" i="6"/>
  <c r="AG20" i="6"/>
  <c r="AF20" i="6"/>
  <c r="AE20" i="6"/>
  <c r="AD20" i="6"/>
  <c r="Z20" i="6"/>
  <c r="K20" i="6"/>
  <c r="J20" i="6"/>
  <c r="BJ18" i="6"/>
  <c r="BH18" i="6"/>
  <c r="AB18" i="6" s="1"/>
  <c r="BF18" i="6"/>
  <c r="BD18" i="6"/>
  <c r="AX18" i="6"/>
  <c r="AP18" i="6"/>
  <c r="AO18" i="6"/>
  <c r="AK18" i="6"/>
  <c r="AJ18" i="6"/>
  <c r="AH18" i="6"/>
  <c r="AG18" i="6"/>
  <c r="AF18" i="6"/>
  <c r="AE18" i="6"/>
  <c r="AD18" i="6"/>
  <c r="Z18" i="6"/>
  <c r="K18" i="6"/>
  <c r="AL18" i="6" s="1"/>
  <c r="BJ16" i="6"/>
  <c r="BI16" i="6"/>
  <c r="AC16" i="6" s="1"/>
  <c r="BF16" i="6"/>
  <c r="BD16" i="6"/>
  <c r="AW16" i="6"/>
  <c r="AP16" i="6"/>
  <c r="AO16" i="6"/>
  <c r="BH16" i="6" s="1"/>
  <c r="AL16" i="6"/>
  <c r="AK16" i="6"/>
  <c r="AJ16" i="6"/>
  <c r="AH16" i="6"/>
  <c r="AG16" i="6"/>
  <c r="AF16" i="6"/>
  <c r="AE16" i="6"/>
  <c r="AD16" i="6"/>
  <c r="AB16" i="6"/>
  <c r="Z16" i="6"/>
  <c r="K16" i="6"/>
  <c r="I16" i="6"/>
  <c r="BJ13" i="6"/>
  <c r="BF13" i="6"/>
  <c r="BD13" i="6"/>
  <c r="AP13" i="6"/>
  <c r="AO13" i="6"/>
  <c r="I13" i="6" s="1"/>
  <c r="I12" i="6" s="1"/>
  <c r="AK13" i="6"/>
  <c r="AJ13" i="6"/>
  <c r="AS12" i="6" s="1"/>
  <c r="AH13" i="6"/>
  <c r="AG13" i="6"/>
  <c r="AF13" i="6"/>
  <c r="AE13" i="6"/>
  <c r="AD13" i="6"/>
  <c r="Z13" i="6"/>
  <c r="K13" i="6"/>
  <c r="AL13" i="6" s="1"/>
  <c r="AU12" i="6"/>
  <c r="AT12" i="6"/>
  <c r="K12" i="6"/>
  <c r="AC37" i="5"/>
  <c r="U35" i="5"/>
  <c r="Q35" i="5"/>
  <c r="O35" i="5"/>
  <c r="K35" i="5"/>
  <c r="I35" i="5"/>
  <c r="G35" i="5"/>
  <c r="M35" i="5" s="1"/>
  <c r="U34" i="5"/>
  <c r="Q34" i="5"/>
  <c r="O34" i="5"/>
  <c r="K34" i="5"/>
  <c r="I34" i="5"/>
  <c r="G34" i="5"/>
  <c r="M34" i="5" s="1"/>
  <c r="U33" i="5"/>
  <c r="Q33" i="5"/>
  <c r="O33" i="5"/>
  <c r="M33" i="5"/>
  <c r="K33" i="5"/>
  <c r="I33" i="5"/>
  <c r="G33" i="5"/>
  <c r="U32" i="5"/>
  <c r="Q32" i="5"/>
  <c r="O32" i="5"/>
  <c r="M32" i="5"/>
  <c r="K32" i="5"/>
  <c r="I32" i="5"/>
  <c r="G32" i="5"/>
  <c r="U31" i="5"/>
  <c r="Q31" i="5"/>
  <c r="O31" i="5"/>
  <c r="K31" i="5"/>
  <c r="I31" i="5"/>
  <c r="G31" i="5"/>
  <c r="M31" i="5" s="1"/>
  <c r="U30" i="5"/>
  <c r="Q30" i="5"/>
  <c r="O30" i="5"/>
  <c r="O29" i="5" s="1"/>
  <c r="K30" i="5"/>
  <c r="I30" i="5"/>
  <c r="G30" i="5"/>
  <c r="M30" i="5" s="1"/>
  <c r="M29" i="5"/>
  <c r="U28" i="5"/>
  <c r="Q28" i="5"/>
  <c r="O28" i="5"/>
  <c r="M28" i="5"/>
  <c r="K28" i="5"/>
  <c r="I28" i="5"/>
  <c r="G28" i="5"/>
  <c r="U27" i="5"/>
  <c r="Q27" i="5"/>
  <c r="O27" i="5"/>
  <c r="K27" i="5"/>
  <c r="I27" i="5"/>
  <c r="G27" i="5"/>
  <c r="M27" i="5" s="1"/>
  <c r="U26" i="5"/>
  <c r="Q26" i="5"/>
  <c r="O26" i="5"/>
  <c r="K26" i="5"/>
  <c r="I26" i="5"/>
  <c r="G26" i="5"/>
  <c r="M26" i="5" s="1"/>
  <c r="U25" i="5"/>
  <c r="Q25" i="5"/>
  <c r="O25" i="5"/>
  <c r="M25" i="5"/>
  <c r="K25" i="5"/>
  <c r="I25" i="5"/>
  <c r="G25" i="5"/>
  <c r="U24" i="5"/>
  <c r="Q24" i="5"/>
  <c r="O24" i="5"/>
  <c r="M24" i="5"/>
  <c r="K24" i="5"/>
  <c r="I24" i="5"/>
  <c r="G24" i="5"/>
  <c r="U23" i="5"/>
  <c r="Q23" i="5"/>
  <c r="O23" i="5"/>
  <c r="K23" i="5"/>
  <c r="I23" i="5"/>
  <c r="G23" i="5"/>
  <c r="M23" i="5" s="1"/>
  <c r="U22" i="5"/>
  <c r="Q22" i="5"/>
  <c r="O22" i="5"/>
  <c r="K22" i="5"/>
  <c r="I22" i="5"/>
  <c r="G22" i="5"/>
  <c r="M22" i="5" s="1"/>
  <c r="O21" i="5"/>
  <c r="M21" i="5"/>
  <c r="U20" i="5"/>
  <c r="Q20" i="5"/>
  <c r="O20" i="5"/>
  <c r="M20" i="5"/>
  <c r="K20" i="5"/>
  <c r="I20" i="5"/>
  <c r="G20" i="5"/>
  <c r="U19" i="5"/>
  <c r="Q19" i="5"/>
  <c r="O19" i="5"/>
  <c r="K19" i="5"/>
  <c r="I19" i="5"/>
  <c r="G19" i="5"/>
  <c r="M19" i="5" s="1"/>
  <c r="U18" i="5"/>
  <c r="Q18" i="5"/>
  <c r="O18" i="5"/>
  <c r="K18" i="5"/>
  <c r="I18" i="5"/>
  <c r="G18" i="5"/>
  <c r="M18" i="5" s="1"/>
  <c r="U17" i="5"/>
  <c r="Q17" i="5"/>
  <c r="O17" i="5"/>
  <c r="M17" i="5"/>
  <c r="K17" i="5"/>
  <c r="I17" i="5"/>
  <c r="G17" i="5"/>
  <c r="U16" i="5"/>
  <c r="Q16" i="5"/>
  <c r="O16" i="5"/>
  <c r="M16" i="5"/>
  <c r="K16" i="5"/>
  <c r="I16" i="5"/>
  <c r="G16" i="5"/>
  <c r="U15" i="5"/>
  <c r="Q15" i="5"/>
  <c r="O15" i="5"/>
  <c r="K15" i="5"/>
  <c r="I15" i="5"/>
  <c r="G15" i="5"/>
  <c r="M15" i="5" s="1"/>
  <c r="U14" i="5"/>
  <c r="Q14" i="5"/>
  <c r="O14" i="5"/>
  <c r="O13" i="5" s="1"/>
  <c r="K14" i="5"/>
  <c r="I14" i="5"/>
  <c r="G14" i="5"/>
  <c r="M14" i="5" s="1"/>
  <c r="M13" i="5"/>
  <c r="U12" i="5"/>
  <c r="Q12" i="5"/>
  <c r="O12" i="5"/>
  <c r="M12" i="5"/>
  <c r="K12" i="5"/>
  <c r="I12" i="5"/>
  <c r="G12" i="5"/>
  <c r="U11" i="5"/>
  <c r="Q11" i="5"/>
  <c r="O11" i="5"/>
  <c r="K11" i="5"/>
  <c r="K10" i="5" s="1"/>
  <c r="I11" i="5"/>
  <c r="G11" i="5"/>
  <c r="M11" i="5" s="1"/>
  <c r="M10" i="5" s="1"/>
  <c r="Q10" i="5"/>
  <c r="O10" i="5"/>
  <c r="I10" i="5"/>
  <c r="G10" i="5"/>
  <c r="U9" i="5"/>
  <c r="Q9" i="5"/>
  <c r="O9" i="5"/>
  <c r="O8" i="5" s="1"/>
  <c r="M9" i="5"/>
  <c r="K9" i="5"/>
  <c r="I9" i="5"/>
  <c r="G9" i="5"/>
  <c r="U8" i="5"/>
  <c r="Q8" i="5"/>
  <c r="M8" i="5"/>
  <c r="K8" i="5"/>
  <c r="I8" i="5"/>
  <c r="AC132" i="4"/>
  <c r="F39" i="2" s="1"/>
  <c r="U130" i="4"/>
  <c r="Q130" i="4"/>
  <c r="O130" i="4"/>
  <c r="K130" i="4"/>
  <c r="I130" i="4"/>
  <c r="G130" i="4"/>
  <c r="M130" i="4" s="1"/>
  <c r="U129" i="4"/>
  <c r="Q129" i="4"/>
  <c r="Q128" i="4" s="1"/>
  <c r="O129" i="4"/>
  <c r="M129" i="4"/>
  <c r="K129" i="4"/>
  <c r="I129" i="4"/>
  <c r="I128" i="4" s="1"/>
  <c r="G129" i="4"/>
  <c r="U128" i="4"/>
  <c r="M128" i="4"/>
  <c r="K128" i="4"/>
  <c r="BA127" i="4"/>
  <c r="U126" i="4"/>
  <c r="Q126" i="4"/>
  <c r="O126" i="4"/>
  <c r="M126" i="4"/>
  <c r="K126" i="4"/>
  <c r="I126" i="4"/>
  <c r="G126" i="4"/>
  <c r="U125" i="4"/>
  <c r="Q125" i="4"/>
  <c r="O125" i="4"/>
  <c r="M125" i="4"/>
  <c r="K125" i="4"/>
  <c r="I125" i="4"/>
  <c r="G125" i="4"/>
  <c r="U124" i="4"/>
  <c r="Q124" i="4"/>
  <c r="O124" i="4"/>
  <c r="K124" i="4"/>
  <c r="I124" i="4"/>
  <c r="G124" i="4"/>
  <c r="M124" i="4" s="1"/>
  <c r="U123" i="4"/>
  <c r="Q123" i="4"/>
  <c r="O123" i="4"/>
  <c r="O119" i="4" s="1"/>
  <c r="K123" i="4"/>
  <c r="I123" i="4"/>
  <c r="G123" i="4"/>
  <c r="M123" i="4" s="1"/>
  <c r="U122" i="4"/>
  <c r="Q122" i="4"/>
  <c r="O122" i="4"/>
  <c r="M122" i="4"/>
  <c r="K122" i="4"/>
  <c r="I122" i="4"/>
  <c r="G122" i="4"/>
  <c r="U121" i="4"/>
  <c r="Q121" i="4"/>
  <c r="O121" i="4"/>
  <c r="M121" i="4"/>
  <c r="K121" i="4"/>
  <c r="I121" i="4"/>
  <c r="G121" i="4"/>
  <c r="U120" i="4"/>
  <c r="Q120" i="4"/>
  <c r="Q119" i="4" s="1"/>
  <c r="O120" i="4"/>
  <c r="K120" i="4"/>
  <c r="I120" i="4"/>
  <c r="G120" i="4"/>
  <c r="M120" i="4" s="1"/>
  <c r="M119" i="4" s="1"/>
  <c r="U118" i="4"/>
  <c r="U117" i="4" s="1"/>
  <c r="Q118" i="4"/>
  <c r="O118" i="4"/>
  <c r="O117" i="4" s="1"/>
  <c r="K118" i="4"/>
  <c r="I118" i="4"/>
  <c r="Q117" i="4"/>
  <c r="K117" i="4"/>
  <c r="I117" i="4"/>
  <c r="U114" i="4"/>
  <c r="Q114" i="4"/>
  <c r="O114" i="4"/>
  <c r="K114" i="4"/>
  <c r="I114" i="4"/>
  <c r="I108" i="4" s="1"/>
  <c r="G114" i="4"/>
  <c r="M114" i="4" s="1"/>
  <c r="U113" i="4"/>
  <c r="Q113" i="4"/>
  <c r="O113" i="4"/>
  <c r="M113" i="4"/>
  <c r="K113" i="4"/>
  <c r="I113" i="4"/>
  <c r="G113" i="4"/>
  <c r="U109" i="4"/>
  <c r="U108" i="4" s="1"/>
  <c r="Q109" i="4"/>
  <c r="O109" i="4"/>
  <c r="M109" i="4"/>
  <c r="K109" i="4"/>
  <c r="I109" i="4"/>
  <c r="G109" i="4"/>
  <c r="Q108" i="4"/>
  <c r="K108" i="4"/>
  <c r="U105" i="4"/>
  <c r="Q105" i="4"/>
  <c r="O105" i="4"/>
  <c r="K105" i="4"/>
  <c r="I105" i="4"/>
  <c r="G105" i="4"/>
  <c r="M105" i="4" s="1"/>
  <c r="U103" i="4"/>
  <c r="Q103" i="4"/>
  <c r="O103" i="4"/>
  <c r="M103" i="4"/>
  <c r="K103" i="4"/>
  <c r="I103" i="4"/>
  <c r="G103" i="4"/>
  <c r="U102" i="4"/>
  <c r="M102" i="4"/>
  <c r="K102" i="4"/>
  <c r="U100" i="4"/>
  <c r="U99" i="4" s="1"/>
  <c r="Q100" i="4"/>
  <c r="Q99" i="4" s="1"/>
  <c r="O100" i="4"/>
  <c r="M100" i="4"/>
  <c r="M99" i="4" s="1"/>
  <c r="K100" i="4"/>
  <c r="K99" i="4" s="1"/>
  <c r="I100" i="4"/>
  <c r="G100" i="4"/>
  <c r="O99" i="4"/>
  <c r="I99" i="4"/>
  <c r="G99" i="4"/>
  <c r="I61" i="2" s="1"/>
  <c r="U98" i="4"/>
  <c r="Q98" i="4"/>
  <c r="O98" i="4"/>
  <c r="M98" i="4"/>
  <c r="K98" i="4"/>
  <c r="I98" i="4"/>
  <c r="G98" i="4"/>
  <c r="U97" i="4"/>
  <c r="Q97" i="4"/>
  <c r="O97" i="4"/>
  <c r="M97" i="4"/>
  <c r="K97" i="4"/>
  <c r="I97" i="4"/>
  <c r="G97" i="4"/>
  <c r="U96" i="4"/>
  <c r="Q96" i="4"/>
  <c r="O96" i="4"/>
  <c r="M96" i="4"/>
  <c r="K96" i="4"/>
  <c r="I96" i="4"/>
  <c r="G96" i="4"/>
  <c r="U95" i="4"/>
  <c r="Q95" i="4"/>
  <c r="O95" i="4"/>
  <c r="K95" i="4"/>
  <c r="I95" i="4"/>
  <c r="G95" i="4"/>
  <c r="M95" i="4" s="1"/>
  <c r="U94" i="4"/>
  <c r="Q94" i="4"/>
  <c r="O94" i="4"/>
  <c r="M94" i="4"/>
  <c r="K94" i="4"/>
  <c r="I94" i="4"/>
  <c r="G94" i="4"/>
  <c r="U93" i="4"/>
  <c r="Q93" i="4"/>
  <c r="O93" i="4"/>
  <c r="M93" i="4"/>
  <c r="K93" i="4"/>
  <c r="I93" i="4"/>
  <c r="G93" i="4"/>
  <c r="U92" i="4"/>
  <c r="Q92" i="4"/>
  <c r="O92" i="4"/>
  <c r="M92" i="4"/>
  <c r="K92" i="4"/>
  <c r="I92" i="4"/>
  <c r="G92" i="4"/>
  <c r="U91" i="4"/>
  <c r="Q91" i="4"/>
  <c r="O91" i="4"/>
  <c r="K91" i="4"/>
  <c r="I91" i="4"/>
  <c r="G91" i="4"/>
  <c r="M91" i="4" s="1"/>
  <c r="U90" i="4"/>
  <c r="Q90" i="4"/>
  <c r="O90" i="4"/>
  <c r="M90" i="4"/>
  <c r="K90" i="4"/>
  <c r="I90" i="4"/>
  <c r="G90" i="4"/>
  <c r="U89" i="4"/>
  <c r="Q89" i="4"/>
  <c r="O89" i="4"/>
  <c r="M89" i="4"/>
  <c r="K89" i="4"/>
  <c r="I89" i="4"/>
  <c r="G89" i="4"/>
  <c r="U88" i="4"/>
  <c r="Q88" i="4"/>
  <c r="O88" i="4"/>
  <c r="M88" i="4"/>
  <c r="K88" i="4"/>
  <c r="I88" i="4"/>
  <c r="G88" i="4"/>
  <c r="U87" i="4"/>
  <c r="Q87" i="4"/>
  <c r="O87" i="4"/>
  <c r="K87" i="4"/>
  <c r="I87" i="4"/>
  <c r="G87" i="4"/>
  <c r="M87" i="4" s="1"/>
  <c r="U86" i="4"/>
  <c r="Q86" i="4"/>
  <c r="O86" i="4"/>
  <c r="K86" i="4"/>
  <c r="I86" i="4"/>
  <c r="G86" i="4"/>
  <c r="M86" i="4" s="1"/>
  <c r="U85" i="4"/>
  <c r="Q85" i="4"/>
  <c r="O85" i="4"/>
  <c r="M85" i="4"/>
  <c r="K85" i="4"/>
  <c r="I85" i="4"/>
  <c r="G85" i="4"/>
  <c r="U84" i="4"/>
  <c r="Q84" i="4"/>
  <c r="O84" i="4"/>
  <c r="M84" i="4"/>
  <c r="K84" i="4"/>
  <c r="K81" i="4" s="1"/>
  <c r="I84" i="4"/>
  <c r="G84" i="4"/>
  <c r="U83" i="4"/>
  <c r="Q83" i="4"/>
  <c r="O83" i="4"/>
  <c r="K83" i="4"/>
  <c r="I83" i="4"/>
  <c r="G83" i="4"/>
  <c r="M83" i="4" s="1"/>
  <c r="U82" i="4"/>
  <c r="Q82" i="4"/>
  <c r="O82" i="4"/>
  <c r="M82" i="4"/>
  <c r="M81" i="4" s="1"/>
  <c r="K82" i="4"/>
  <c r="I82" i="4"/>
  <c r="G82" i="4"/>
  <c r="U81" i="4"/>
  <c r="U80" i="4"/>
  <c r="Q80" i="4"/>
  <c r="Q75" i="4" s="1"/>
  <c r="O80" i="4"/>
  <c r="K80" i="4"/>
  <c r="I80" i="4"/>
  <c r="U78" i="4"/>
  <c r="Q78" i="4"/>
  <c r="O78" i="4"/>
  <c r="K78" i="4"/>
  <c r="I78" i="4"/>
  <c r="I75" i="4" s="1"/>
  <c r="G78" i="4"/>
  <c r="M78" i="4" s="1"/>
  <c r="U77" i="4"/>
  <c r="Q77" i="4"/>
  <c r="O77" i="4"/>
  <c r="K77" i="4"/>
  <c r="I77" i="4"/>
  <c r="G77" i="4"/>
  <c r="M77" i="4" s="1"/>
  <c r="U76" i="4"/>
  <c r="Q76" i="4"/>
  <c r="O76" i="4"/>
  <c r="M76" i="4"/>
  <c r="K76" i="4"/>
  <c r="I76" i="4"/>
  <c r="G76" i="4"/>
  <c r="U75" i="4"/>
  <c r="K75" i="4"/>
  <c r="U73" i="4"/>
  <c r="U72" i="4" s="1"/>
  <c r="Q73" i="4"/>
  <c r="Q72" i="4" s="1"/>
  <c r="O73" i="4"/>
  <c r="K73" i="4"/>
  <c r="K72" i="4" s="1"/>
  <c r="I73" i="4"/>
  <c r="I72" i="4" s="1"/>
  <c r="G73" i="4"/>
  <c r="M73" i="4" s="1"/>
  <c r="O72" i="4"/>
  <c r="M72" i="4"/>
  <c r="G72" i="4"/>
  <c r="I58" i="2" s="1"/>
  <c r="U71" i="4"/>
  <c r="Q71" i="4"/>
  <c r="O71" i="4"/>
  <c r="O70" i="4" s="1"/>
  <c r="M71" i="4"/>
  <c r="M70" i="4" s="1"/>
  <c r="K71" i="4"/>
  <c r="I71" i="4"/>
  <c r="G71" i="4"/>
  <c r="G70" i="4" s="1"/>
  <c r="I57" i="2" s="1"/>
  <c r="U70" i="4"/>
  <c r="Q70" i="4"/>
  <c r="K70" i="4"/>
  <c r="I70" i="4"/>
  <c r="U69" i="4"/>
  <c r="Q69" i="4"/>
  <c r="O69" i="4"/>
  <c r="K69" i="4"/>
  <c r="I69" i="4"/>
  <c r="G69" i="4"/>
  <c r="M69" i="4" s="1"/>
  <c r="U68" i="4"/>
  <c r="Q68" i="4"/>
  <c r="O68" i="4"/>
  <c r="K68" i="4"/>
  <c r="I68" i="4"/>
  <c r="G68" i="4"/>
  <c r="M68" i="4" s="1"/>
  <c r="M51" i="4" s="1"/>
  <c r="U66" i="4"/>
  <c r="Q66" i="4"/>
  <c r="O66" i="4"/>
  <c r="M66" i="4"/>
  <c r="K66" i="4"/>
  <c r="I66" i="4"/>
  <c r="G66" i="4"/>
  <c r="U64" i="4"/>
  <c r="Q64" i="4"/>
  <c r="O64" i="4"/>
  <c r="M64" i="4"/>
  <c r="K64" i="4"/>
  <c r="I64" i="4"/>
  <c r="G64" i="4"/>
  <c r="U62" i="4"/>
  <c r="Q62" i="4"/>
  <c r="O62" i="4"/>
  <c r="K62" i="4"/>
  <c r="I62" i="4"/>
  <c r="G62" i="4"/>
  <c r="M62" i="4" s="1"/>
  <c r="U60" i="4"/>
  <c r="Q60" i="4"/>
  <c r="O60" i="4"/>
  <c r="M60" i="4"/>
  <c r="K60" i="4"/>
  <c r="I60" i="4"/>
  <c r="G60" i="4"/>
  <c r="U58" i="4"/>
  <c r="U51" i="4" s="1"/>
  <c r="Q58" i="4"/>
  <c r="O58" i="4"/>
  <c r="M58" i="4"/>
  <c r="K58" i="4"/>
  <c r="I58" i="4"/>
  <c r="G58" i="4"/>
  <c r="U56" i="4"/>
  <c r="Q56" i="4"/>
  <c r="O56" i="4"/>
  <c r="M56" i="4"/>
  <c r="K56" i="4"/>
  <c r="K51" i="4" s="1"/>
  <c r="I56" i="4"/>
  <c r="G56" i="4"/>
  <c r="U54" i="4"/>
  <c r="Q54" i="4"/>
  <c r="O54" i="4"/>
  <c r="K54" i="4"/>
  <c r="I54" i="4"/>
  <c r="G54" i="4"/>
  <c r="M54" i="4" s="1"/>
  <c r="U52" i="4"/>
  <c r="Q52" i="4"/>
  <c r="O52" i="4"/>
  <c r="M52" i="4"/>
  <c r="K52" i="4"/>
  <c r="I52" i="4"/>
  <c r="G52" i="4"/>
  <c r="U49" i="4"/>
  <c r="Q49" i="4"/>
  <c r="O49" i="4"/>
  <c r="M49" i="4"/>
  <c r="K49" i="4"/>
  <c r="I49" i="4"/>
  <c r="G49" i="4"/>
  <c r="U47" i="4"/>
  <c r="Q47" i="4"/>
  <c r="O47" i="4"/>
  <c r="K47" i="4"/>
  <c r="I47" i="4"/>
  <c r="G47" i="4"/>
  <c r="M47" i="4" s="1"/>
  <c r="U45" i="4"/>
  <c r="Q45" i="4"/>
  <c r="Q44" i="4" s="1"/>
  <c r="O45" i="4"/>
  <c r="M45" i="4"/>
  <c r="K45" i="4"/>
  <c r="I45" i="4"/>
  <c r="I44" i="4" s="1"/>
  <c r="G45" i="4"/>
  <c r="U44" i="4"/>
  <c r="M44" i="4"/>
  <c r="K44" i="4"/>
  <c r="U43" i="4"/>
  <c r="U42" i="4" s="1"/>
  <c r="Q43" i="4"/>
  <c r="O43" i="4"/>
  <c r="M43" i="4"/>
  <c r="M42" i="4" s="1"/>
  <c r="K43" i="4"/>
  <c r="K42" i="4" s="1"/>
  <c r="I43" i="4"/>
  <c r="G43" i="4"/>
  <c r="Q42" i="4"/>
  <c r="O42" i="4"/>
  <c r="I42" i="4"/>
  <c r="G42" i="4"/>
  <c r="I54" i="2" s="1"/>
  <c r="U40" i="4"/>
  <c r="Q40" i="4"/>
  <c r="O40" i="4"/>
  <c r="M40" i="4"/>
  <c r="K40" i="4"/>
  <c r="I40" i="4"/>
  <c r="G40" i="4"/>
  <c r="U38" i="4"/>
  <c r="Q38" i="4"/>
  <c r="O38" i="4"/>
  <c r="M38" i="4"/>
  <c r="K38" i="4"/>
  <c r="I38" i="4"/>
  <c r="G38" i="4"/>
  <c r="U37" i="4"/>
  <c r="Q37" i="4"/>
  <c r="O37" i="4"/>
  <c r="M37" i="4"/>
  <c r="K37" i="4"/>
  <c r="I37" i="4"/>
  <c r="G37" i="4"/>
  <c r="U36" i="4"/>
  <c r="Q36" i="4"/>
  <c r="O36" i="4"/>
  <c r="K36" i="4"/>
  <c r="I36" i="4"/>
  <c r="G36" i="4"/>
  <c r="M36" i="4" s="1"/>
  <c r="U34" i="4"/>
  <c r="Q34" i="4"/>
  <c r="O34" i="4"/>
  <c r="M34" i="4"/>
  <c r="K34" i="4"/>
  <c r="I34" i="4"/>
  <c r="G34" i="4"/>
  <c r="U32" i="4"/>
  <c r="Q32" i="4"/>
  <c r="O32" i="4"/>
  <c r="M32" i="4"/>
  <c r="K32" i="4"/>
  <c r="I32" i="4"/>
  <c r="G32" i="4"/>
  <c r="U31" i="4"/>
  <c r="Q31" i="4"/>
  <c r="O31" i="4"/>
  <c r="M31" i="4"/>
  <c r="K31" i="4"/>
  <c r="I31" i="4"/>
  <c r="G31" i="4"/>
  <c r="U28" i="4"/>
  <c r="Q28" i="4"/>
  <c r="O28" i="4"/>
  <c r="K28" i="4"/>
  <c r="I28" i="4"/>
  <c r="I22" i="4" s="1"/>
  <c r="G28" i="4"/>
  <c r="M28" i="4" s="1"/>
  <c r="U26" i="4"/>
  <c r="Q26" i="4"/>
  <c r="O26" i="4"/>
  <c r="K26" i="4"/>
  <c r="I26" i="4"/>
  <c r="G26" i="4"/>
  <c r="M26" i="4" s="1"/>
  <c r="U25" i="4"/>
  <c r="Q25" i="4"/>
  <c r="O25" i="4"/>
  <c r="M25" i="4"/>
  <c r="K25" i="4"/>
  <c r="I25" i="4"/>
  <c r="G25" i="4"/>
  <c r="U23" i="4"/>
  <c r="U22" i="4" s="1"/>
  <c r="Q23" i="4"/>
  <c r="O23" i="4"/>
  <c r="M23" i="4"/>
  <c r="K23" i="4"/>
  <c r="K22" i="4" s="1"/>
  <c r="I23" i="4"/>
  <c r="G23" i="4"/>
  <c r="Q22" i="4"/>
  <c r="O22" i="4"/>
  <c r="U21" i="4"/>
  <c r="Q21" i="4"/>
  <c r="O21" i="4"/>
  <c r="M21" i="4"/>
  <c r="K21" i="4"/>
  <c r="I21" i="4"/>
  <c r="G21" i="4"/>
  <c r="U19" i="4"/>
  <c r="Q19" i="4"/>
  <c r="O19" i="4"/>
  <c r="M19" i="4"/>
  <c r="K19" i="4"/>
  <c r="I19" i="4"/>
  <c r="G19" i="4"/>
  <c r="U17" i="4"/>
  <c r="Q17" i="4"/>
  <c r="O17" i="4"/>
  <c r="M17" i="4"/>
  <c r="K17" i="4"/>
  <c r="I17" i="4"/>
  <c r="G17" i="4"/>
  <c r="U15" i="4"/>
  <c r="U14" i="4" s="1"/>
  <c r="Q15" i="4"/>
  <c r="O15" i="4"/>
  <c r="O14" i="4" s="1"/>
  <c r="K15" i="4"/>
  <c r="K14" i="4" s="1"/>
  <c r="I15" i="4"/>
  <c r="I14" i="4" s="1"/>
  <c r="G15" i="4"/>
  <c r="M15" i="4" s="1"/>
  <c r="M14" i="4"/>
  <c r="G14" i="4"/>
  <c r="I52" i="2" s="1"/>
  <c r="U12" i="4"/>
  <c r="U11" i="4" s="1"/>
  <c r="Q12" i="4"/>
  <c r="O12" i="4"/>
  <c r="O11" i="4" s="1"/>
  <c r="K12" i="4"/>
  <c r="I12" i="4"/>
  <c r="G12" i="4"/>
  <c r="G11" i="4" s="1"/>
  <c r="I51" i="2" s="1"/>
  <c r="Q11" i="4"/>
  <c r="K11" i="4"/>
  <c r="I11" i="4"/>
  <c r="U9" i="4"/>
  <c r="U8" i="4" s="1"/>
  <c r="Q9" i="4"/>
  <c r="O9" i="4"/>
  <c r="O8" i="4" s="1"/>
  <c r="K9" i="4"/>
  <c r="K8" i="4" s="1"/>
  <c r="I9" i="4"/>
  <c r="G9" i="4"/>
  <c r="M9" i="4" s="1"/>
  <c r="M8" i="4" s="1"/>
  <c r="Q8" i="4"/>
  <c r="I8" i="4"/>
  <c r="G8" i="4"/>
  <c r="AZ44" i="2"/>
  <c r="AZ43" i="2"/>
  <c r="J40" i="2"/>
  <c r="I40" i="2"/>
  <c r="J39" i="2" s="1"/>
  <c r="H40" i="2"/>
  <c r="G40" i="2"/>
  <c r="G25" i="2" s="1"/>
  <c r="G26" i="2" s="1"/>
  <c r="F40" i="2"/>
  <c r="G23" i="2" s="1"/>
  <c r="G38" i="2"/>
  <c r="F38" i="2"/>
  <c r="H32" i="2"/>
  <c r="G27" i="2"/>
  <c r="I20" i="2"/>
  <c r="I25" i="6" l="1"/>
  <c r="BH25" i="6"/>
  <c r="AF25" i="6" s="1"/>
  <c r="AW25" i="6"/>
  <c r="BC31" i="6"/>
  <c r="AV31" i="6"/>
  <c r="BC63" i="6"/>
  <c r="AV63" i="6"/>
  <c r="M22" i="4"/>
  <c r="G81" i="4"/>
  <c r="I60" i="2" s="1"/>
  <c r="U13" i="5"/>
  <c r="I15" i="6"/>
  <c r="J33" i="6"/>
  <c r="AX33" i="6"/>
  <c r="BI33" i="6"/>
  <c r="AG33" i="6" s="1"/>
  <c r="BC35" i="6"/>
  <c r="AV35" i="6"/>
  <c r="J49" i="6"/>
  <c r="AX49" i="6"/>
  <c r="BI49" i="6"/>
  <c r="I127" i="6"/>
  <c r="I105" i="6"/>
  <c r="AW104" i="6"/>
  <c r="BH104" i="6"/>
  <c r="G28" i="2"/>
  <c r="G51" i="4"/>
  <c r="I56" i="2" s="1"/>
  <c r="O51" i="4"/>
  <c r="I81" i="4"/>
  <c r="Q81" i="4"/>
  <c r="G102" i="4"/>
  <c r="I62" i="2" s="1"/>
  <c r="O102" i="4"/>
  <c r="M108" i="4"/>
  <c r="K119" i="4"/>
  <c r="Q13" i="5"/>
  <c r="K13" i="5"/>
  <c r="Q21" i="5"/>
  <c r="K21" i="5"/>
  <c r="Q29" i="5"/>
  <c r="K29" i="5"/>
  <c r="J13" i="6"/>
  <c r="J12" i="6" s="1"/>
  <c r="AX13" i="6"/>
  <c r="BI13" i="6"/>
  <c r="AC13" i="6" s="1"/>
  <c r="AL20" i="6"/>
  <c r="AU15" i="6" s="1"/>
  <c r="K15" i="6"/>
  <c r="I30" i="6"/>
  <c r="AW30" i="6"/>
  <c r="BH30" i="6"/>
  <c r="AF30" i="6" s="1"/>
  <c r="BC36" i="6"/>
  <c r="AV36" i="6"/>
  <c r="I43" i="6"/>
  <c r="AW43" i="6"/>
  <c r="BH43" i="6"/>
  <c r="AF43" i="6" s="1"/>
  <c r="J46" i="6"/>
  <c r="AX46" i="6"/>
  <c r="BI46" i="6"/>
  <c r="AG46" i="6" s="1"/>
  <c r="I50" i="6"/>
  <c r="AW50" i="6"/>
  <c r="BH50" i="6"/>
  <c r="BC52" i="6"/>
  <c r="AV52" i="6"/>
  <c r="I90" i="6"/>
  <c r="AW90" i="6"/>
  <c r="BH90" i="6"/>
  <c r="BC92" i="6"/>
  <c r="AV92" i="6"/>
  <c r="J127" i="6"/>
  <c r="AX104" i="6"/>
  <c r="BI104" i="6"/>
  <c r="J105" i="6"/>
  <c r="G29" i="2"/>
  <c r="G24" i="2"/>
  <c r="I50" i="2"/>
  <c r="I61" i="6"/>
  <c r="AW61" i="6"/>
  <c r="BH61" i="6"/>
  <c r="J74" i="6"/>
  <c r="AX74" i="6"/>
  <c r="BI74" i="6"/>
  <c r="O75" i="4"/>
  <c r="O81" i="4"/>
  <c r="G119" i="4"/>
  <c r="I65" i="2" s="1"/>
  <c r="I119" i="4"/>
  <c r="U119" i="4"/>
  <c r="U21" i="5"/>
  <c r="U29" i="5"/>
  <c r="AW13" i="6"/>
  <c r="BH13" i="6"/>
  <c r="AB13" i="6" s="1"/>
  <c r="J38" i="6"/>
  <c r="BI38" i="6"/>
  <c r="AG38" i="6" s="1"/>
  <c r="I39" i="6"/>
  <c r="BH39" i="6"/>
  <c r="AF39" i="6" s="1"/>
  <c r="AW39" i="6"/>
  <c r="J61" i="6"/>
  <c r="AX61" i="6"/>
  <c r="BI61" i="6"/>
  <c r="G22" i="4"/>
  <c r="I53" i="2" s="1"/>
  <c r="M12" i="4"/>
  <c r="M11" i="4" s="1"/>
  <c r="Q14" i="4"/>
  <c r="G44" i="4"/>
  <c r="I55" i="2" s="1"/>
  <c r="O44" i="4"/>
  <c r="I51" i="4"/>
  <c r="Q51" i="4"/>
  <c r="I102" i="4"/>
  <c r="Q102" i="4"/>
  <c r="G108" i="4"/>
  <c r="I63" i="2" s="1"/>
  <c r="O108" i="4"/>
  <c r="G128" i="4"/>
  <c r="I66" i="2" s="1"/>
  <c r="I19" i="2" s="1"/>
  <c r="O128" i="4"/>
  <c r="AD37" i="5"/>
  <c r="G8" i="5"/>
  <c r="U10" i="5"/>
  <c r="G13" i="5"/>
  <c r="I13" i="5"/>
  <c r="G21" i="5"/>
  <c r="I21" i="5"/>
  <c r="G29" i="5"/>
  <c r="I29" i="5"/>
  <c r="J18" i="6"/>
  <c r="BI18" i="6"/>
  <c r="AC18" i="6" s="1"/>
  <c r="I20" i="6"/>
  <c r="BH20" i="6"/>
  <c r="AB20" i="6" s="1"/>
  <c r="AW20" i="6"/>
  <c r="AU24" i="6"/>
  <c r="AS24" i="6"/>
  <c r="J28" i="6"/>
  <c r="J24" i="6" s="1"/>
  <c r="AX28" i="6"/>
  <c r="BI28" i="6"/>
  <c r="AG28" i="6" s="1"/>
  <c r="AV41" i="6"/>
  <c r="J43" i="6"/>
  <c r="BI43" i="6"/>
  <c r="AG43" i="6" s="1"/>
  <c r="AX43" i="6"/>
  <c r="I44" i="6"/>
  <c r="BH44" i="6"/>
  <c r="AF44" i="6" s="1"/>
  <c r="AW44" i="6"/>
  <c r="J50" i="6"/>
  <c r="J47" i="6" s="1"/>
  <c r="BI50" i="6"/>
  <c r="AX50" i="6"/>
  <c r="I74" i="6"/>
  <c r="AW74" i="6"/>
  <c r="BH74" i="6"/>
  <c r="BC76" i="6"/>
  <c r="AV76" i="6"/>
  <c r="J90" i="6"/>
  <c r="AX90" i="6"/>
  <c r="BI90" i="6"/>
  <c r="AV96" i="6"/>
  <c r="BC96" i="6"/>
  <c r="AS15" i="6"/>
  <c r="J16" i="6"/>
  <c r="AX16" i="6"/>
  <c r="K24" i="6"/>
  <c r="AV32" i="6"/>
  <c r="I34" i="6"/>
  <c r="AW34" i="6"/>
  <c r="J37" i="6"/>
  <c r="AX37" i="6"/>
  <c r="AU47" i="6"/>
  <c r="I55" i="6"/>
  <c r="I54" i="6" s="1"/>
  <c r="AW55" i="6"/>
  <c r="BH55" i="6"/>
  <c r="BC56" i="6"/>
  <c r="AV56" i="6"/>
  <c r="I68" i="6"/>
  <c r="AW68" i="6"/>
  <c r="BH68" i="6"/>
  <c r="BC70" i="6"/>
  <c r="AV70" i="6"/>
  <c r="I82" i="6"/>
  <c r="AW82" i="6"/>
  <c r="BH82" i="6"/>
  <c r="BC84" i="6"/>
  <c r="AV84" i="6"/>
  <c r="I98" i="6"/>
  <c r="AW98" i="6"/>
  <c r="BH98" i="6"/>
  <c r="BC100" i="6"/>
  <c r="AV100" i="6"/>
  <c r="AT15" i="6"/>
  <c r="I18" i="6"/>
  <c r="AW18" i="6"/>
  <c r="I38" i="6"/>
  <c r="AW38" i="6"/>
  <c r="J42" i="6"/>
  <c r="AX42" i="6"/>
  <c r="I53" i="6"/>
  <c r="I47" i="6" s="1"/>
  <c r="BH53" i="6"/>
  <c r="AW53" i="6"/>
  <c r="K54" i="6"/>
  <c r="AL55" i="6"/>
  <c r="AU54" i="6" s="1"/>
  <c r="J55" i="6"/>
  <c r="AX55" i="6"/>
  <c r="BI55" i="6"/>
  <c r="AT54" i="6"/>
  <c r="J68" i="6"/>
  <c r="AX68" i="6"/>
  <c r="BI68" i="6"/>
  <c r="J82" i="6"/>
  <c r="AX82" i="6"/>
  <c r="BI82" i="6"/>
  <c r="J98" i="6"/>
  <c r="AX98" i="6"/>
  <c r="BI98" i="6"/>
  <c r="BC57" i="6"/>
  <c r="J59" i="6"/>
  <c r="AX59" i="6"/>
  <c r="BC59" i="6" s="1"/>
  <c r="BC65" i="6"/>
  <c r="J67" i="6"/>
  <c r="AX67" i="6"/>
  <c r="AV67" i="6" s="1"/>
  <c r="BC71" i="6"/>
  <c r="J73" i="6"/>
  <c r="AX73" i="6"/>
  <c r="BC73" i="6" s="1"/>
  <c r="BC78" i="6"/>
  <c r="J80" i="6"/>
  <c r="AX80" i="6"/>
  <c r="AV80" i="6" s="1"/>
  <c r="BC86" i="6"/>
  <c r="J88" i="6"/>
  <c r="AX88" i="6"/>
  <c r="BC88" i="6" s="1"/>
  <c r="BC94" i="6"/>
  <c r="J96" i="6"/>
  <c r="AX96" i="6"/>
  <c r="BC101" i="6"/>
  <c r="J103" i="6"/>
  <c r="J104" i="6"/>
  <c r="AX103" i="6"/>
  <c r="BI57" i="6"/>
  <c r="BH59" i="6"/>
  <c r="BI65" i="6"/>
  <c r="BH67" i="6"/>
  <c r="BI71" i="6"/>
  <c r="BH73" i="6"/>
  <c r="BI78" i="6"/>
  <c r="BH80" i="6"/>
  <c r="BI86" i="6"/>
  <c r="BH88" i="6"/>
  <c r="BI94" i="6"/>
  <c r="BH96" i="6"/>
  <c r="BI101" i="6"/>
  <c r="BH103" i="6"/>
  <c r="AW103" i="6"/>
  <c r="AV38" i="6" l="1"/>
  <c r="BC38" i="6"/>
  <c r="AV98" i="6"/>
  <c r="BC98" i="6"/>
  <c r="AV74" i="6"/>
  <c r="BC74" i="6"/>
  <c r="AV82" i="6"/>
  <c r="BC82" i="6"/>
  <c r="AV34" i="6"/>
  <c r="BC34" i="6"/>
  <c r="AV16" i="6"/>
  <c r="BC16" i="6"/>
  <c r="BC44" i="6"/>
  <c r="AV44" i="6"/>
  <c r="BC28" i="6"/>
  <c r="AV28" i="6"/>
  <c r="BC20" i="6"/>
  <c r="AV20" i="6"/>
  <c r="G37" i="5"/>
  <c r="F80" i="4" s="1"/>
  <c r="G80" i="4" s="1"/>
  <c r="AV61" i="6"/>
  <c r="BC61" i="6"/>
  <c r="AV50" i="6"/>
  <c r="BC50" i="6"/>
  <c r="AV49" i="6"/>
  <c r="BC49" i="6"/>
  <c r="BC25" i="6"/>
  <c r="AV25" i="6"/>
  <c r="BC53" i="6"/>
  <c r="AV53" i="6"/>
  <c r="BC42" i="6"/>
  <c r="AV42" i="6"/>
  <c r="AV18" i="6"/>
  <c r="BC18" i="6"/>
  <c r="AV68" i="6"/>
  <c r="BC68" i="6"/>
  <c r="J15" i="6"/>
  <c r="AV13" i="6"/>
  <c r="BC13" i="6"/>
  <c r="I16" i="2"/>
  <c r="K128" i="6"/>
  <c r="F118" i="4" s="1"/>
  <c r="G118" i="4" s="1"/>
  <c r="BC67" i="6"/>
  <c r="AV33" i="6"/>
  <c r="BC33" i="6"/>
  <c r="AV103" i="6"/>
  <c r="BC103" i="6"/>
  <c r="AV88" i="6"/>
  <c r="AV73" i="6"/>
  <c r="AV59" i="6"/>
  <c r="J54" i="6"/>
  <c r="AV55" i="6"/>
  <c r="BC55" i="6"/>
  <c r="AV37" i="6"/>
  <c r="BC37" i="6"/>
  <c r="BC80" i="6"/>
  <c r="AV43" i="6"/>
  <c r="BC43" i="6"/>
  <c r="AV104" i="6"/>
  <c r="BC104" i="6"/>
  <c r="I24" i="6"/>
  <c r="BC39" i="6"/>
  <c r="AV39" i="6"/>
  <c r="AV90" i="6"/>
  <c r="BC90" i="6"/>
  <c r="BC46" i="6"/>
  <c r="AV46" i="6"/>
  <c r="AV30" i="6"/>
  <c r="BC30" i="6"/>
  <c r="G117" i="4" l="1"/>
  <c r="I64" i="2" s="1"/>
  <c r="I18" i="2" s="1"/>
  <c r="M118" i="4"/>
  <c r="M117" i="4" s="1"/>
  <c r="M80" i="4"/>
  <c r="M75" i="4" s="1"/>
  <c r="AD132" i="4"/>
  <c r="G39" i="2" s="1"/>
  <c r="G75" i="4"/>
  <c r="I59" i="2" l="1"/>
  <c r="G132" i="4"/>
  <c r="H39" i="2"/>
  <c r="I39" i="2" s="1"/>
  <c r="I17" i="2" l="1"/>
  <c r="I21" i="2" s="1"/>
  <c r="I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<sst xmlns="http://schemas.openxmlformats.org/spreadsheetml/2006/main" count="1439" uniqueCount="644">
  <si>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</si>
  <si>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</si>
  <si>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</si>
  <si>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</si>
  <si>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</si>
  <si>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Stavební úpravy interiéru Infocentra Česká Lípa</t>
  </si>
  <si>
    <t>Misto</t>
  </si>
  <si>
    <t>nám.T.G.Masaryka 2, 470 01 Česká Lípa</t>
  </si>
  <si>
    <t>Rozpočet: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</si>
  <si>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</si>
  <si>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</si>
  <si>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</si>
  <si>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</si>
  <si>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</si>
  <si>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</si>
  <si>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</si>
  <si>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</si>
  <si>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</si>
  <si>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</si>
  <si>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</si>
  <si>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</si>
  <si>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</si>
  <si>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</si>
  <si>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</si>
  <si>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</si>
  <si>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</si>
  <si>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</si>
  <si>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>CZK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</si>
  <si>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</si>
  <si>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</si>
  <si>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</si>
  <si>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</si>
  <si>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</si>
  <si>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</si>
  <si>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</si>
  <si>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</si>
  <si>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</si>
  <si>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</si>
  <si>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</si>
  <si>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</si>
  <si>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</si>
  <si>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</si>
  <si>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</si>
  <si>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</si>
  <si>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</si>
  <si>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</si>
  <si>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 xml:space="preserve">Popis rozpočtu:  - </t>
  </si>
  <si>
    <t>ZÁKLADNÍ USTANOVENÍ PRO STANOVENÍ CENY DÍLA:</t>
  </si>
  <si>
    <t>Předmětem díla je provedení všech činností, prací a dodávek obsažených ve výchozích podkladech, a to bez ohledu na to, v kterém z těchto výchozích podkladů jsou uvedeny, resp. z kterého z nich vyplývají. Předmětem díla jsou rovněž činnosti, práce a dodávky, které nejsou ve výchozích podkladech obsaženy, ale o kterých zhotovitel věděl, nebo podle svých odborných znalostí a zkušeností vědět měl a nebo mohl, že jsou k řádnému a kvalitnímu provedení díla dané povahy třeba a to i s přihlédnutím ke standardní praxi při realizaci děl analogického charakteru.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</si>
  <si>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</si>
  <si>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</si>
  <si>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</si>
  <si>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</si>
  <si>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</si>
  <si>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</si>
  <si>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</si>
  <si>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</si>
  <si>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</si>
  <si>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</si>
  <si>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</si>
  <si>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</si>
  <si>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</si>
  <si>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</si>
  <si>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</si>
  <si>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</si>
  <si>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</si>
  <si>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</si>
  <si>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</si>
  <si>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</si>
  <si>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735</t>
  </si>
  <si>
    <t>Otopná tělesa</t>
  </si>
  <si>
    <t>766</t>
  </si>
  <si>
    <t>Konstrukce truhlářské - atyp a typ prvky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</si>
  <si>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</si>
  <si>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</si>
  <si>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</si>
  <si>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</si>
  <si>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</si>
  <si>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</si>
  <si>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</si>
  <si>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</si>
  <si>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</si>
  <si>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zabezp.tech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</si>
  <si>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</si>
  <si>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</si>
  <si>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</si>
  <si>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</si>
  <si>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</si>
  <si>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</si>
  <si>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</si>
  <si>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</si>
  <si>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</si>
  <si>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</si>
  <si>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</si>
  <si>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</si>
  <si>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</si>
  <si>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</si>
  <si>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</si>
  <si>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</si>
  <si>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</si>
  <si>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</si>
  <si>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</si>
  <si>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</si>
  <si>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</si>
  <si>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</si>
  <si>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</si>
  <si>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</si>
  <si>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</si>
  <si>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</si>
  <si>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</si>
  <si>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</si>
  <si>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</si>
  <si>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</si>
  <si>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</si>
  <si>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</si>
  <si>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</si>
  <si>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310239211R00</t>
  </si>
  <si>
    <t>Zazdívka otvorů plochy do 4 m2 cihlami na MVC</t>
  </si>
  <si>
    <t>m3</t>
  </si>
  <si>
    <t>POL1_0</t>
  </si>
  <si>
    <t>zazdění po dveřích do průchodu:1,3*2,2*0,8</t>
  </si>
  <si>
    <t>VV</t>
  </si>
  <si>
    <t>602016143RT2</t>
  </si>
  <si>
    <t>Stěrka vnitřní např.Pandomo  W1, skladba P3</t>
  </si>
  <si>
    <t>m2</t>
  </si>
  <si>
    <t>31</t>
  </si>
  <si>
    <t>612100031RA8</t>
  </si>
  <si>
    <t>Oprava omítek stěn vnitřních vápenocem. štukových, oprava z 10 % s přeštukováním</t>
  </si>
  <si>
    <t>POL2_0</t>
  </si>
  <si>
    <t>výpočet dle malby:110</t>
  </si>
  <si>
    <t>611100011RA8</t>
  </si>
  <si>
    <t>Oprava omítek stropů vnitřních vápenocem.štukových, oprava z 10 % s přeštukováním</t>
  </si>
  <si>
    <t>výpočet dle malby:62</t>
  </si>
  <si>
    <t>612421637R00</t>
  </si>
  <si>
    <t>Omítka vnitřní zdiva, MVC, štuková</t>
  </si>
  <si>
    <t>omítka po zazděných dveří:1,1*2,2+1,5*2,2</t>
  </si>
  <si>
    <t>617421232R00</t>
  </si>
  <si>
    <t>Omítka vnitřní MVC, štuková hlazená - parapet, výlohy</t>
  </si>
  <si>
    <t>311112030RT3</t>
  </si>
  <si>
    <t>Uložení tvárnic ztraceného bednění, tl. 30 cm, zalití tvárnic betonem C 20/25</t>
  </si>
  <si>
    <t>schody:1,9*0,16+1,9*0,33+1,9*0,5+1,9*0,67</t>
  </si>
  <si>
    <t>311101213R00</t>
  </si>
  <si>
    <t>Vytvoření prostupů pl. do 0,10 m2 ve stupních, PVC DN 100 pro rozvody ÚT</t>
  </si>
  <si>
    <t>m</t>
  </si>
  <si>
    <t>220301031R00</t>
  </si>
  <si>
    <t>AL profil "S" pro LED pásek s nacvakávacím, opálovým difuzorem D1, montáž před betonáží</t>
  </si>
  <si>
    <t>schody - lišta pro led pásek:1,9*4</t>
  </si>
  <si>
    <t>434351141R00</t>
  </si>
  <si>
    <t>Bednění stupňů přímočarých - zřízení</t>
  </si>
  <si>
    <t>čela:1,9*0,17*5</t>
  </si>
  <si>
    <t>boční části:0,365*0,17*4*2</t>
  </si>
  <si>
    <t>434351142R00</t>
  </si>
  <si>
    <t>Bednění stupňů přímočarých - odstranění</t>
  </si>
  <si>
    <t>632418250RV2</t>
  </si>
  <si>
    <t>Potěr ze SMS, strojní zpracování, tl.100 mm, EN 13813 CT+C25-F4</t>
  </si>
  <si>
    <t>50+4</t>
  </si>
  <si>
    <t>28375328R</t>
  </si>
  <si>
    <t>Pásek dilatační okrajový např.Mirelon š. 100mm tl. 5 mm</t>
  </si>
  <si>
    <t>POL3_0</t>
  </si>
  <si>
    <t>dilatace bet.potěru:25+23</t>
  </si>
  <si>
    <t>965048515R00</t>
  </si>
  <si>
    <t>Broušení betonových povrchů do tl. 5 mm</t>
  </si>
  <si>
    <t>931977119R00</t>
  </si>
  <si>
    <t xml:space="preserve">Dilatační lišta např.PRP2 H=6mm,PVC černá,š.spáry 8mm  </t>
  </si>
  <si>
    <t>632000000R00</t>
  </si>
  <si>
    <t>Finální stěrka např.Pandomo K1 (K2) tl.2-4mm, vč.penetrace, viz skladba P1, P2</t>
  </si>
  <si>
    <t>771578000R</t>
  </si>
  <si>
    <t>Spára podlaha - stěna, trvale pružný tmel v barvě , podlahy, např.Siklaflex 11 Fc</t>
  </si>
  <si>
    <t>detail U1 U2 U3:35,35</t>
  </si>
  <si>
    <t>941955003R00</t>
  </si>
  <si>
    <t>Lešení lehké pomocné, výška podlahy do 2,5 m</t>
  </si>
  <si>
    <t>953943123R00</t>
  </si>
  <si>
    <t>Osazení kovových předmětů do betonu, 15 kg / kus</t>
  </si>
  <si>
    <t>kus</t>
  </si>
  <si>
    <t>pro rohože ozn.P4:1</t>
  </si>
  <si>
    <t>15411640R1</t>
  </si>
  <si>
    <t>Hliníkový profil L rovnoramenný  30x30x3 mm</t>
  </si>
  <si>
    <t>t</t>
  </si>
  <si>
    <t>(1,5+1,55)*2*0,00136*1,1</t>
  </si>
  <si>
    <t>776972127R00</t>
  </si>
  <si>
    <t>Rohož z Al profilů např.Topwell extra tl. 27 mm</t>
  </si>
  <si>
    <t>ozn.A01:1,5*1,55</t>
  </si>
  <si>
    <t>965081702R00</t>
  </si>
  <si>
    <t xml:space="preserve">Bourání soklíků z dlažeb keramických </t>
  </si>
  <si>
    <t>5,2+8,75+15,7</t>
  </si>
  <si>
    <t>965081713RT2</t>
  </si>
  <si>
    <t>Bourání dlažeb keramických tl.10 mm, nad 1 m2, sbíječka, dlaždice keramické</t>
  </si>
  <si>
    <t>63,0+8,6*0,68</t>
  </si>
  <si>
    <t>968061126R00</t>
  </si>
  <si>
    <t>Vyvěšení dřevěných dveřních křídel pl. nad 2 m2</t>
  </si>
  <si>
    <t>dveře v průchodu:1</t>
  </si>
  <si>
    <t>968062456R00</t>
  </si>
  <si>
    <t>Vybourání dřevěných dveřních zárubní pl. nad 2 m2</t>
  </si>
  <si>
    <t>dveře do průchodu:1,1*2,2</t>
  </si>
  <si>
    <t>965042241R00</t>
  </si>
  <si>
    <t>Bourání mazanin betonových tl. nad 10 cm, nad 4 m2, schodišťových stupňů</t>
  </si>
  <si>
    <t>schody:5,3*0,68+(1,15+1,16)*0,51+(1,17+1,16)*0,34+(1,1+1,16)*0,17</t>
  </si>
  <si>
    <t>965042141R00</t>
  </si>
  <si>
    <t>Bourání mazanin betonových tl. 10 cm, nad 4 m2</t>
  </si>
  <si>
    <t>předpoklad tl.10cm:63,0*0,10</t>
  </si>
  <si>
    <t>978011121R00</t>
  </si>
  <si>
    <t>Otlučení omítek vnitřních vápenných stropů do 10 %</t>
  </si>
  <si>
    <t>978013121R00</t>
  </si>
  <si>
    <t>Otlučení omítek vnitřních stěn v rozsahu do 10 %</t>
  </si>
  <si>
    <t>979100011RA0</t>
  </si>
  <si>
    <t>Odvoz suti a vyb.hmot do 10 km, vnitrost. 15 m</t>
  </si>
  <si>
    <t>979990101R00</t>
  </si>
  <si>
    <t>Poplatek za sklád.suti-směs bet.a cihel do 30x30cm</t>
  </si>
  <si>
    <t>999281105R00</t>
  </si>
  <si>
    <t>Přesun hmot pro opravy a údržbu do výšky 6 m</t>
  </si>
  <si>
    <t>711212001RS1</t>
  </si>
  <si>
    <t>Hydroizolační nátěr krystalizační, např.Xypex ® Concentrate, Krystalizol</t>
  </si>
  <si>
    <t>735151811R00</t>
  </si>
  <si>
    <t>Demontáž otopných těles panelových 1řadých,1500 mm</t>
  </si>
  <si>
    <t>735151812R00</t>
  </si>
  <si>
    <t>Demontáž otopných těles panelových 1řadých,2820 mm</t>
  </si>
  <si>
    <t>733160801R00</t>
  </si>
  <si>
    <t>Demontáž potrubí z měděných trubek D 28 mm</t>
  </si>
  <si>
    <t>(1,2+1,8+3,9)*2</t>
  </si>
  <si>
    <t>735000000R00</t>
  </si>
  <si>
    <t>Nové rozvody a tělasa ÚT, rozpis přílohou</t>
  </si>
  <si>
    <t>kompl</t>
  </si>
  <si>
    <t>766000000RA0</t>
  </si>
  <si>
    <t>Demontáž vybavení infocentra, uskladnění dle investora</t>
  </si>
  <si>
    <t>hod</t>
  </si>
  <si>
    <t>766 00-0010.RA0</t>
  </si>
  <si>
    <t>Vestavné vitríny viz PD D1.1-14 detail č.2, ozn.A02</t>
  </si>
  <si>
    <t>Interiérové obložení stěn vizPD D1.1-17 detail č.5, ozn.A03</t>
  </si>
  <si>
    <t>Pevná vitrína viz PD D1.1-17 detail č.5, ozn.A04</t>
  </si>
  <si>
    <t>Samoobslužný PC koutek viz PD D1.1-18 detail č.6, ozn.A05</t>
  </si>
  <si>
    <t>Sestava jedn.klient.prac.viz PD D1.1-16 detail č.4, ozn.A06</t>
  </si>
  <si>
    <t>Kovové zábradlí - madlo viz PD D1.1-14 detail č.2, ozn.A07</t>
  </si>
  <si>
    <t>Informační multimediální panel D1.1-15 detail č.3, ozn.A08</t>
  </si>
  <si>
    <t>Displej k multimetiálnímu paneluD1.1-15 detail č.3, ozn.A08</t>
  </si>
  <si>
    <t>766 00-0000.R00</t>
  </si>
  <si>
    <t>Kancelářská židle specifikace dle PD D1.1-03, ozn.T01</t>
  </si>
  <si>
    <t>Jednací židle specifikace dle PD D1.1-03, ozn.T02</t>
  </si>
  <si>
    <t>Konferenční křesílko specifikace dle PD D1.1-03, ozn.T03</t>
  </si>
  <si>
    <t>Konferenční stolek specifikace dle PD D1.1-03, ozn.T04</t>
  </si>
  <si>
    <t>Sestava odklád.stolečku specifikace dle PD D1.1-03, ozn.T05</t>
  </si>
  <si>
    <t>766660000R</t>
  </si>
  <si>
    <t>Repase vstupních dveří - výměna kazet , popis v technické zprávě</t>
  </si>
  <si>
    <t>Repase výlohy , popis v technické zprávě</t>
  </si>
  <si>
    <t>Repase vnitřních dveří , popis v technické zprávě</t>
  </si>
  <si>
    <t>767999801R00</t>
  </si>
  <si>
    <t>Demontáž doplňků staveb o hmotnosti do 50 kg</t>
  </si>
  <si>
    <t>kg</t>
  </si>
  <si>
    <t>demontáž zábradlí schodů:10*2</t>
  </si>
  <si>
    <t>783820000R00</t>
  </si>
  <si>
    <t>Nátěr omítek - soklu - matným SPS lakem</t>
  </si>
  <si>
    <t>detail U1:9,8+4,85</t>
  </si>
  <si>
    <t>Nátěr soklu - černá matná synt.barva, v.20 mm</t>
  </si>
  <si>
    <t>detail U2:8,15+4,85</t>
  </si>
  <si>
    <t>detail U3:7,7</t>
  </si>
  <si>
    <t>784011221RT2</t>
  </si>
  <si>
    <t>Zakrytí předmětů, včetně dodávky fólie tl. 0,04 mm</t>
  </si>
  <si>
    <t>zakrytí VZT jednotky nad dveřmi:3</t>
  </si>
  <si>
    <t>zakrytí výlohy:2,65*3,25</t>
  </si>
  <si>
    <t>zakrytí dveří:1,55*2,44+1,45*2</t>
  </si>
  <si>
    <t>784402801R00</t>
  </si>
  <si>
    <t>Odstranění malby oškrábáním v místnosti H do 3,8 m</t>
  </si>
  <si>
    <t>784255112R00</t>
  </si>
  <si>
    <t>Malba např.Dulux Trade vinyl matt, bílá, 2 x, vč.penetrace</t>
  </si>
  <si>
    <t>stěny:33,6*4-15,6*0,68-2,65*2,65-1,55*2,44-1,45*2</t>
  </si>
  <si>
    <t>stropy:62</t>
  </si>
  <si>
    <t>210000000R00</t>
  </si>
  <si>
    <t>Elektroinstalace - rozpis přílohou, NN + svítidla</t>
  </si>
  <si>
    <t>220270253R00</t>
  </si>
  <si>
    <t>Zatažení sděl.vodiče do prázdných trubek</t>
  </si>
  <si>
    <t>371201303R</t>
  </si>
  <si>
    <t>Kabel UTP dvojitý plášť Cat5e</t>
  </si>
  <si>
    <t>210010006RU2</t>
  </si>
  <si>
    <t>Trubka ohebná pod omítku, vnější průměr 50 mm, včetně dodávky Monoflex 1450</t>
  </si>
  <si>
    <t>210010001RU2</t>
  </si>
  <si>
    <t>Trubka ohebná pod omítku, vnější průměr 16 mm, včetně dodávky Monoflex 1416E</t>
  </si>
  <si>
    <t>222290003R00</t>
  </si>
  <si>
    <t>Dvojzásuvka 2xRJ45 UTP kat.5e pod omítku, montáž</t>
  </si>
  <si>
    <t>371202013R</t>
  </si>
  <si>
    <t>Zásuvka datová 2xRJ45 - dodávka, ABB future linear studio bílá vč.masky</t>
  </si>
  <si>
    <t>222000000R00</t>
  </si>
  <si>
    <t>Propojení se stávajícími rozvody, oživení, drobný spoj.materiál</t>
  </si>
  <si>
    <t>vč.přesunu tabla EZS</t>
  </si>
  <si>
    <t>POP</t>
  </si>
  <si>
    <t>005121010R</t>
  </si>
  <si>
    <t>Soubor</t>
  </si>
  <si>
    <t>005121030R</t>
  </si>
  <si>
    <t>SUM</t>
  </si>
  <si>
    <t>POPUZIV</t>
  </si>
  <si>
    <t>END</t>
  </si>
  <si>
    <t>Infocentrum</t>
  </si>
  <si>
    <t>Česká Lípa</t>
  </si>
  <si>
    <t>90</t>
  </si>
  <si>
    <t>Přípočty</t>
  </si>
  <si>
    <t>904      R02</t>
  </si>
  <si>
    <t>Hzs-zkousky v ramci montaz.praci, Topná zkouška 24 hod</t>
  </si>
  <si>
    <t>h</t>
  </si>
  <si>
    <t>722</t>
  </si>
  <si>
    <t>Vnitřní vodovod</t>
  </si>
  <si>
    <t>722181212RT5</t>
  </si>
  <si>
    <t>Izolace návleková např.MIRELON PRO tl. stěny 9 mm, vnitřní průměr 15 mm</t>
  </si>
  <si>
    <t>998722101R00</t>
  </si>
  <si>
    <t>Přesun hmot pro vnitřní vodovod, výšky do 6 m</t>
  </si>
  <si>
    <t>733</t>
  </si>
  <si>
    <t>Rozvod potrubí</t>
  </si>
  <si>
    <t>733163102R00</t>
  </si>
  <si>
    <t>Potrubí z měděných trubek D 15 x 1,0 mm</t>
  </si>
  <si>
    <t>733166002R00</t>
  </si>
  <si>
    <t>Zhotovení ohybu jednoduchého na potrubí Cu D 15</t>
  </si>
  <si>
    <t>733166102R00</t>
  </si>
  <si>
    <t>Zhotovení ohybu slož.(etážky) na potrubí Cu D 15</t>
  </si>
  <si>
    <t>733178112R00</t>
  </si>
  <si>
    <t>Potrubí vícevrstvé např. IVAR.ALPEX-ISOL 9, D 16 x 2 mm, izolace 9 mm</t>
  </si>
  <si>
    <t>551200440R</t>
  </si>
  <si>
    <t>Koleno press např. IVAR.PT 5715 16 x 16, s připojovací trubkou 345 mm</t>
  </si>
  <si>
    <t>733190106R00</t>
  </si>
  <si>
    <t>Tlaková zkouška potrubí  DN 32</t>
  </si>
  <si>
    <t>998733101R00</t>
  </si>
  <si>
    <t>Přesun hmot pro rozvody potrubí, výšky do 6 m</t>
  </si>
  <si>
    <t>734</t>
  </si>
  <si>
    <t>Armatury</t>
  </si>
  <si>
    <t>734226212RT2</t>
  </si>
  <si>
    <t>Ventil term.přímý,vnitř.z. např.Heimeier V-exakt DN 15, s termostatickou hlavicí Heimeier K černou</t>
  </si>
  <si>
    <t>734266222R00</t>
  </si>
  <si>
    <t>Šroubení reg.přímé,vnitř.z. např.Heimeier Regulux DN 15</t>
  </si>
  <si>
    <t>734266442R00</t>
  </si>
  <si>
    <t>Šroubení dvoutr.přímé např.Heimeier Vecotec Eclipse, DN15, 10-60 kPa</t>
  </si>
  <si>
    <t>1807-00.500</t>
  </si>
  <si>
    <t>Termická hlavice např.Heimeier EMOtec 230 V, bez proudu uzavřeno</t>
  </si>
  <si>
    <t>1936-00.500</t>
  </si>
  <si>
    <t>Prostor. termostat např.Heimeier 230 V, bez vypínače</t>
  </si>
  <si>
    <t>734293312R00</t>
  </si>
  <si>
    <t>Kohout kulový vypouštěcí, např.IVAR.EURO M DN 15</t>
  </si>
  <si>
    <t>998734101R00</t>
  </si>
  <si>
    <t>Přesun hmot pro armatury, výšky do 6 m</t>
  </si>
  <si>
    <t>735151947R00</t>
  </si>
  <si>
    <t>Otopná tělesa panel.např.Radik Plan VK 33  500/1100</t>
  </si>
  <si>
    <t>735156930R00</t>
  </si>
  <si>
    <t xml:space="preserve">Tlakové zkoušky otopných těles </t>
  </si>
  <si>
    <t>735419126R00</t>
  </si>
  <si>
    <t>Montáž konvektorů na konzoly TS 025,do 2040 mm</t>
  </si>
  <si>
    <t>soubor</t>
  </si>
  <si>
    <t>735 41-9spc</t>
  </si>
  <si>
    <t>Konvektor např.Korado Koraline Exclusive LKX 30/23, 3 m, typ LKX 3003023Y10, barva černá RAL 9005</t>
  </si>
  <si>
    <t>sou</t>
  </si>
  <si>
    <t>735158230R00</t>
  </si>
  <si>
    <t>Tlakové zkoušky konvektorů do 3 m</t>
  </si>
  <si>
    <t>998735101R00</t>
  </si>
  <si>
    <t>Přesun hmot pro otopná tělesa, výšky do 6 m</t>
  </si>
  <si>
    <t>Slepý stavební rozpočet</t>
  </si>
  <si>
    <t>Investor:</t>
  </si>
  <si>
    <t>Město Česká Lípa</t>
  </si>
  <si>
    <t>Doba výstavby:</t>
  </si>
  <si>
    <t xml:space="preserve"> </t>
  </si>
  <si>
    <t>Stavba:</t>
  </si>
  <si>
    <t>El. instalace v infocentru</t>
  </si>
  <si>
    <t>Začátek výstavby:</t>
  </si>
  <si>
    <t> </t>
  </si>
  <si>
    <t>Místo stavby:</t>
  </si>
  <si>
    <t>p.p.č. 22 k.ú. Česká Lípa</t>
  </si>
  <si>
    <t>Konec výstavby:</t>
  </si>
  <si>
    <t>JKSO:</t>
  </si>
  <si>
    <t>Zpracováno dne:</t>
  </si>
  <si>
    <t>28.10.2018</t>
  </si>
  <si>
    <t>Zpracoval:</t>
  </si>
  <si>
    <t>Johana Poláková</t>
  </si>
  <si>
    <t>Č</t>
  </si>
  <si>
    <t>Kód</t>
  </si>
  <si>
    <t>Zkrácený popis / Varianta</t>
  </si>
  <si>
    <t>M.j.</t>
  </si>
  <si>
    <t>Množství</t>
  </si>
  <si>
    <t>Jednot.</t>
  </si>
  <si>
    <t>Náklady (Kč)</t>
  </si>
  <si>
    <t>Cenová</t>
  </si>
  <si>
    <t>Rozměry</t>
  </si>
  <si>
    <t>cena 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</si>
  <si>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</si>
  <si>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</si>
  <si>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</si>
  <si>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</si>
  <si>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</si>
  <si>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</si>
  <si>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</si>
  <si>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</si>
  <si>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</si>
  <si>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</si>
  <si>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</si>
  <si>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</si>
  <si>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</si>
  <si>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0</t>
  </si>
  <si>
    <t>Všeobecné konstrukce a práce</t>
  </si>
  <si>
    <t>1</t>
  </si>
  <si>
    <t>001-T05</t>
  </si>
  <si>
    <t>Demontáž stávající el. instalace</t>
  </si>
  <si>
    <t>obj.</t>
  </si>
  <si>
    <t>0_</t>
  </si>
  <si>
    <t>_</t>
  </si>
  <si>
    <t>8 stávajících závěstných žář. svítidel, dvě nástěnná svítidla, světelné a zásuvkové rozvody</t>
  </si>
  <si>
    <t>97</t>
  </si>
  <si>
    <t>Prorážení otvorů a ostatní bourací práce</t>
  </si>
  <si>
    <t>2</t>
  </si>
  <si>
    <t>971100011RAC</t>
  </si>
  <si>
    <t>Vybourání otvorů ve zdivu kamenném</t>
  </si>
  <si>
    <t>RTS II / 2018</t>
  </si>
  <si>
    <t>97_</t>
  </si>
  <si>
    <t>9_</t>
  </si>
  <si>
    <t>tloušťka 90 cm</t>
  </si>
  <si>
    <t>974031122R00</t>
  </si>
  <si>
    <t>Vysekání rýh ve zdi cihelné 3 x 7 cm</t>
  </si>
  <si>
    <t>RTS komentář:</t>
  </si>
  <si>
    <t>Položka platí pro zdivo na jakoukoliv maltu vápennou nebo vápenocementovou, V položce není kalkulována manipulace se sutí, která se oceňuje samostatně položkami souboru 979.</t>
  </si>
  <si>
    <t>4</t>
  </si>
  <si>
    <t>974031121R00</t>
  </si>
  <si>
    <t>Vysekání rýh ve zdi cihelné 3 x 3 cm</t>
  </si>
  <si>
    <t>5</t>
  </si>
  <si>
    <t>973031616R00</t>
  </si>
  <si>
    <t>Vysekání kapes zeď cih. špalíky, krabice 10x10x5cm</t>
  </si>
  <si>
    <t>V položce není kalkulována manipulace se sutí, která se oceňuje samostatně položkami souboru 979.</t>
  </si>
  <si>
    <t>6</t>
  </si>
  <si>
    <t>210010105R00</t>
  </si>
  <si>
    <t>Lišta elektroinstalační PVC š.do 40 mm,šroubováním</t>
  </si>
  <si>
    <t>M21_</t>
  </si>
  <si>
    <t>Montáž lišt vkládacích, hranatých, zaklapávacích atd. a příslušenství k lištám (rohy, odbočky, zakončení atd.).</t>
  </si>
  <si>
    <t>7</t>
  </si>
  <si>
    <t>210010320R00</t>
  </si>
  <si>
    <t>Krabice přístrojová KP, se zapojením, kruhová</t>
  </si>
  <si>
    <t>8</t>
  </si>
  <si>
    <t>210010321R00</t>
  </si>
  <si>
    <t>Krabice univerzální KU a odbočná KO se zapoj.,kruh</t>
  </si>
  <si>
    <t>Kruhová.</t>
  </si>
  <si>
    <t>9</t>
  </si>
  <si>
    <t>210110001R00</t>
  </si>
  <si>
    <t>Spínač nástěnný jednopól.- řaz. 1, obyč.prostředí</t>
  </si>
  <si>
    <t>10</t>
  </si>
  <si>
    <t>210110054R00</t>
  </si>
  <si>
    <t>Spínač zapuštěný střídavý dvojitý,  řazení 6+6</t>
  </si>
  <si>
    <t>11</t>
  </si>
  <si>
    <t>210110061R00</t>
  </si>
  <si>
    <t>Spínač speciální schodišťový (automat)</t>
  </si>
  <si>
    <t>12</t>
  </si>
  <si>
    <t>210111012R00</t>
  </si>
  <si>
    <t>Zásuvka domovní zapuštěná - 2P+PE, průběž.zapojení</t>
  </si>
  <si>
    <t>13</t>
  </si>
  <si>
    <t>210800106R00</t>
  </si>
  <si>
    <t>Kabel CYKY 750 V 3x2,5 mm2 uložený pod omítkou</t>
  </si>
  <si>
    <t>14</t>
  </si>
  <si>
    <t>210800105R00</t>
  </si>
  <si>
    <t>Kabel CYKY 750 V 3x1,5 mm2 uložený pod omítkou</t>
  </si>
  <si>
    <t>15</t>
  </si>
  <si>
    <t>210800101R00</t>
  </si>
  <si>
    <t>Kabel CYKY 750 V 2x1,5 mm2 uložený pod omítkou</t>
  </si>
  <si>
    <t>16</t>
  </si>
  <si>
    <t>210800115R00</t>
  </si>
  <si>
    <t>Kabel CYKY 750 V 5x1,5 mm2 uložený pod omítkou</t>
  </si>
  <si>
    <t>17</t>
  </si>
  <si>
    <t>210120401R00</t>
  </si>
  <si>
    <t>Jistič vzduch.1pólový do 25 A IJV-IJM-PO bez krytu</t>
  </si>
  <si>
    <t>18</t>
  </si>
  <si>
    <t>210120803R00</t>
  </si>
  <si>
    <t>Chránič proudový dvoupólový do 40 A</t>
  </si>
  <si>
    <t>Odizolování vodičů, vyformování a zapojení. Osazení chrániče na lištu.</t>
  </si>
  <si>
    <t>19</t>
  </si>
  <si>
    <t>210201513R00</t>
  </si>
  <si>
    <t>mtž Svítidlo LED bytové stropní závěsné 2 upevňov.body</t>
  </si>
  <si>
    <t>20</t>
  </si>
  <si>
    <t>210201517R00</t>
  </si>
  <si>
    <t>mtž Svítidlo LED bytové stěnové</t>
  </si>
  <si>
    <t>21</t>
  </si>
  <si>
    <t>22</t>
  </si>
  <si>
    <t>210201516R00</t>
  </si>
  <si>
    <t>mtž Svítidlo LED bytové stropní vestavné</t>
  </si>
  <si>
    <t>23</t>
  </si>
  <si>
    <t>210201518R00</t>
  </si>
  <si>
    <t>mtž Svítidlo LED podlinkové</t>
  </si>
  <si>
    <t>24</t>
  </si>
  <si>
    <t>210170001R00</t>
  </si>
  <si>
    <t>mtž Trafo 1fázové vestavné do 200 VA, 1prim/1sek.</t>
  </si>
  <si>
    <t>S</t>
  </si>
  <si>
    <t>Přesuny sutí</t>
  </si>
  <si>
    <t>25</t>
  </si>
  <si>
    <t>979081111R00</t>
  </si>
  <si>
    <t>Odvoz suti a vybour. hmot na skládku do 1 km</t>
  </si>
  <si>
    <t>S_</t>
  </si>
  <si>
    <t>26</t>
  </si>
  <si>
    <t>979081121R00</t>
  </si>
  <si>
    <t>Příplatek k odvozu za každý další 1 km</t>
  </si>
  <si>
    <t>27</t>
  </si>
  <si>
    <t>979082111R00</t>
  </si>
  <si>
    <t>Vnitrostaveništní doprava suti do 10 m</t>
  </si>
  <si>
    <t>Včetně případného složení na staveništní deponii.</t>
  </si>
  <si>
    <t>28</t>
  </si>
  <si>
    <t>979094111R00</t>
  </si>
  <si>
    <t>Nakládání nebo překládání vybouraných hmot</t>
  </si>
  <si>
    <t>29</t>
  </si>
  <si>
    <t>979990001R00</t>
  </si>
  <si>
    <t>Poplatek za skládku stavební suti</t>
  </si>
  <si>
    <t>Ostatní materiál vč.specifikace svítidel</t>
  </si>
  <si>
    <t>30</t>
  </si>
  <si>
    <t>NBN110T</t>
  </si>
  <si>
    <t>Jistič 1 pól. 10A, char.B, 10 kA</t>
  </si>
  <si>
    <t>ks</t>
  </si>
  <si>
    <t>Z99999_</t>
  </si>
  <si>
    <t>Z_</t>
  </si>
  <si>
    <t>ADA516D</t>
  </si>
  <si>
    <t>Proud.chr. s nadpr.ochr. char. B; 2 pól; 10 kA; 0,03 A; In=16 A, A</t>
  </si>
  <si>
    <t>32</t>
  </si>
  <si>
    <t>34111038</t>
  </si>
  <si>
    <t>Kabel silový s Cu jádrem 750 V CYKY 3 C x 2,5 mm2</t>
  </si>
  <si>
    <t>CYKY Instalační kabely  Použití: pro pevné uložení ve vnitřních a venkovních prostorách, v zemi, v betonu. Kabely jsou odolné proti UV záření a proti šíření plamene.  Konstrukce: 1. Měděné plné holé jádro 2. PVC izolace 3. Výplňový obal 4. PVC plášť</t>
  </si>
  <si>
    <t>33</t>
  </si>
  <si>
    <t>34111090</t>
  </si>
  <si>
    <t>Kabel silový s Cu jádrem 750 V CYKY 5 x 1,5 mm2</t>
  </si>
  <si>
    <t>34</t>
  </si>
  <si>
    <t>34111032</t>
  </si>
  <si>
    <t>Kabel silový s Cu jádrem 750 V CYKY 3 C x 1,5 mm2</t>
  </si>
  <si>
    <t>35</t>
  </si>
  <si>
    <t>34111030</t>
  </si>
  <si>
    <t>Kabel silový s Cu jádrem 750 V CYKY 3 x 1,5 mm2</t>
  </si>
  <si>
    <t>36</t>
  </si>
  <si>
    <t>34111000</t>
  </si>
  <si>
    <t>Kabel silový s Cu jádrem 750 V CYKY 2 x 1,5 mm2</t>
  </si>
  <si>
    <t>37</t>
  </si>
  <si>
    <t>00417</t>
  </si>
  <si>
    <t>Přístoj spínače jednopólového</t>
  </si>
  <si>
    <t>38</t>
  </si>
  <si>
    <t>00411</t>
  </si>
  <si>
    <t>Kryt spínače jednoduchý</t>
  </si>
  <si>
    <t>design dle PD interier</t>
  </si>
  <si>
    <t>39</t>
  </si>
  <si>
    <t>00408</t>
  </si>
  <si>
    <t>Přístoj spínače stmívacího</t>
  </si>
  <si>
    <t>40</t>
  </si>
  <si>
    <t>00407</t>
  </si>
  <si>
    <t>Kryt spínače s otočným stmívačem</t>
  </si>
  <si>
    <t>41</t>
  </si>
  <si>
    <t>00416</t>
  </si>
  <si>
    <t>Přístoj přepínače střídavého dvojitého</t>
  </si>
  <si>
    <t>42</t>
  </si>
  <si>
    <t>00412</t>
  </si>
  <si>
    <t>Kryt spínače dělený</t>
  </si>
  <si>
    <t>43</t>
  </si>
  <si>
    <t>00431</t>
  </si>
  <si>
    <t>Rámeček pětinásobný svislý</t>
  </si>
  <si>
    <t>44</t>
  </si>
  <si>
    <t>004311</t>
  </si>
  <si>
    <t>Rámeček čtyřnásobný vodorovný</t>
  </si>
  <si>
    <t>45</t>
  </si>
  <si>
    <t>00430</t>
  </si>
  <si>
    <t>Rámeček trojnásobný vodorovný</t>
  </si>
  <si>
    <t>46</t>
  </si>
  <si>
    <t>00429</t>
  </si>
  <si>
    <t>Rámeček dvojnonásobný vodorovný</t>
  </si>
  <si>
    <t>47</t>
  </si>
  <si>
    <t>00428</t>
  </si>
  <si>
    <t>Rámeček jednonásobný</t>
  </si>
  <si>
    <t>48</t>
  </si>
  <si>
    <t>00425</t>
  </si>
  <si>
    <t>Zásuvka jednonásobná s ochranným kolíkem, clonky</t>
  </si>
  <si>
    <t>49</t>
  </si>
  <si>
    <t>00427</t>
  </si>
  <si>
    <t>Zásuvka jednonásobná s ochranným kolíkem, 230V/16A, zapuštěná, clonky, přepěťová ochrana</t>
  </si>
  <si>
    <t>50</t>
  </si>
  <si>
    <t>34561405</t>
  </si>
  <si>
    <t>Svorka např.WAGO 273-102 4x2,5</t>
  </si>
  <si>
    <t>Spojovací krabicové svorky např.WAGO řady 273 se zásuvným svorkovým spojem pro plné vodiče.  Pro rychlou a bezpečnou instalaci.  Počet svěrných míst: 4  Jmenovitý průřez: 2,5 mm2 S ovládacími pákami: Ne Barva: Tmavě šedé Jmenovité napětí: 400 V Jmenovitý proud: 24 A Vhodné pro masivní vodič: Ano Vhodné pro pružné vodiče: Ne Vhodné pro vícedrátové vodiče: Ne</t>
  </si>
  <si>
    <t>51</t>
  </si>
  <si>
    <t>34571516</t>
  </si>
  <si>
    <t>Krabice přístrojová KI 68 L /1 izolační</t>
  </si>
  <si>
    <t>Elektroinstalační krabice - do dutých stěn  Univerzální krabice Speciální dvouplášťová krabice schválená pro montáž do všech hořlavých materiálů (A až C3).  Maximální jmenovitý proud přístroje 16A. Krabici lze doplnit víčkem V 68 a svorkovnicí S-66.  zkouška žhavou smyčkou 850°C</t>
  </si>
  <si>
    <t>52</t>
  </si>
  <si>
    <t>34571550</t>
  </si>
  <si>
    <t>Víčko krabice z PVC   KO 68 d 80 mm</t>
  </si>
  <si>
    <t>Elektroinstalační krabice - víčka  Víčko KO 68 Pro konečné zakrytí odbočné nebo rozvodné krabice řady KU 68 a KPM 64/LU  zkouška žhavou smyčkou 850°C</t>
  </si>
  <si>
    <t>53</t>
  </si>
  <si>
    <t>34571511</t>
  </si>
  <si>
    <t>Krabice přístrojová kruhová KP 68/2 d 74x30 mm</t>
  </si>
  <si>
    <t>Elektroinstalační krabice - pod omítku  Přístrojová krabice Lze dolpnit víčkem V 68 vstupní otvory 6 x pr.20  zkouška žhavou smyčkou 850°C</t>
  </si>
  <si>
    <t>54</t>
  </si>
  <si>
    <t>34571519</t>
  </si>
  <si>
    <t>Krabice univerzální z PH  KU 68-1902</t>
  </si>
  <si>
    <t>Elektroinstalační krabice - pod omítku  Odbočná krabice Komplet s víčkem KO 68  pr. 73 x 42 vstupní otvory 6 x pr. 20  1 x pr.7x20</t>
  </si>
  <si>
    <t>55</t>
  </si>
  <si>
    <t>34572173</t>
  </si>
  <si>
    <t>Lišta hranatá LHD 25x15, délka 2 m</t>
  </si>
  <si>
    <t>56</t>
  </si>
  <si>
    <t>58541254</t>
  </si>
  <si>
    <t>Sádra stavební bilá       30 kg           bal.</t>
  </si>
  <si>
    <t>na paletách s fólií 1kg a 5 kg balení - 600 kg na paletě  30 kg balení - 900 kg na paletě</t>
  </si>
  <si>
    <t>57</t>
  </si>
  <si>
    <t>0011</t>
  </si>
  <si>
    <t>Drobný instalační materiál</t>
  </si>
  <si>
    <t>58</t>
  </si>
  <si>
    <t>SO 1</t>
  </si>
  <si>
    <t xml:space="preserve">dodávka svítidla např. LED Z201-2  Alu montážní/chladící profil 2000x18x9mm </t>
  </si>
  <si>
    <t>59</t>
  </si>
  <si>
    <t>dodávka svítidlanapř. LED Z222 PMMA světlečinný kryt profilu Z200 transparent 92%   2000x20x10mm</t>
  </si>
  <si>
    <t>dodávka svítidla např. LLE FLEX G1 8x4800 26W-2500lm/m 930 EXC  3000K    2500 lm/m</t>
  </si>
  <si>
    <t>dodávka svítidla např. LCA 150W  24V one4all SC PRE</t>
  </si>
  <si>
    <t>62</t>
  </si>
  <si>
    <t>SO 2</t>
  </si>
  <si>
    <t>dodávka svítidla např. LCA 100W  24V one4all lp PRE  220-240V  0,417 – 4,167A  IP20</t>
  </si>
  <si>
    <t>64</t>
  </si>
  <si>
    <t>SO 3</t>
  </si>
  <si>
    <t>dodávka svítidla např. GALA XL HP 930 DIM1 W</t>
  </si>
  <si>
    <t>65</t>
  </si>
  <si>
    <t>SO 4</t>
  </si>
  <si>
    <t>dodávka svítidla např. MAXISPY ON HP 83035 ADM DIM1 B</t>
  </si>
  <si>
    <t>66</t>
  </si>
  <si>
    <t>dodávka svítidla např. MAXISPY TUBE B</t>
  </si>
  <si>
    <t>67</t>
  </si>
  <si>
    <t>dodávka svítidla např. TRACK 3F DIM H 2m B</t>
  </si>
  <si>
    <t>68</t>
  </si>
  <si>
    <t>dodávka svítidla např. TRACK 3F DIM H 3m B</t>
  </si>
  <si>
    <t>69</t>
  </si>
  <si>
    <t>dodávka svítidla např. TRACK 3F DIM H SUSPENSION 3,0m</t>
  </si>
  <si>
    <t>70</t>
  </si>
  <si>
    <t>dodávka svítidla např. TRACK 3F DIM H MIDDLE SUPPLY B</t>
  </si>
  <si>
    <t>71</t>
  </si>
  <si>
    <t>dodávka svítidla např. TRACK 3F DIM H CORNER 180° B</t>
  </si>
  <si>
    <t>72</t>
  </si>
  <si>
    <t>dodávka svítidla např. TRACK 3F DIM H CORNER 90° OUT B</t>
  </si>
  <si>
    <t>73</t>
  </si>
  <si>
    <t>dodávka svítidla např. TRACK CURRENT SUPPLY 5 x 0,75mm² 3,0m</t>
  </si>
  <si>
    <t>74</t>
  </si>
  <si>
    <t>dodávka svítidla např. CABLE BASE S B</t>
  </si>
  <si>
    <t>75</t>
  </si>
  <si>
    <t>dodávka svítidla např. SHL 19 - PROFILE 3m ANO</t>
  </si>
  <si>
    <t>76</t>
  </si>
  <si>
    <t>dodávka svítidla např. SHL 19 - PC CLEAR 3m</t>
  </si>
  <si>
    <t>77</t>
  </si>
  <si>
    <t>dodávka svítidla např. SHL 19 - END CAP SET A</t>
  </si>
  <si>
    <t>78</t>
  </si>
  <si>
    <t>dodávka svítidla např. TRACK SHL 19 - MOUNTING CLIP SET</t>
  </si>
  <si>
    <t>79</t>
  </si>
  <si>
    <t xml:space="preserve">SESTAVA S02 A S04 JE SLOŽENA Z JEDNOHO NOSNÉHO AL PROFILU A NENÍ MOŽNÉ JE ODDĚLIT. JEDNÁ SE O SYSTÉMOVÝ PRVEK. </t>
  </si>
  <si>
    <t>80</t>
  </si>
  <si>
    <t>SO5b</t>
  </si>
  <si>
    <t>dodávka svítidla např. LED 4,8W-450lm/m, 3000K, zápustný profil AL s opálovým krytem, 2m</t>
  </si>
  <si>
    <t>81</t>
  </si>
  <si>
    <t>ST01</t>
  </si>
  <si>
    <t>dodávka svítidla např.TOLOMEO TABLE</t>
  </si>
  <si>
    <t>Celkem:</t>
  </si>
  <si>
    <t>Poznámka:</t>
  </si>
  <si>
    <t>Ostatní náklady dle SOD čl. II, bod 2.4.2-2.4.8</t>
  </si>
  <si>
    <t>Zařízení staveniště dle SOD čl. II, bod 2.4.1.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</si>
</sst>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&quot; &quot;[$Kč];[Red]&quot;-&quot;#,##0.00&quot; &quot;[$Kč]"/>
    <numFmt numFmtId="166" formatCode="d&quot;.&quot;m&quot;.&quot;yyyy"/>
  </numFmts>
  <fonts count="32" x14ac:knownFonts="1">
    <font>
      <sz val="10"/>
      <color rgb="FF000000"/>
      <name val="Arial CE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sz val="9"/>
      <color rgb="FF000000"/>
      <name val="Arial CE"/>
      <family val="2"/>
      <charset val="238"/>
    </font>
    <font>
      <sz val="9"/>
      <color rgb="FF000000"/>
      <name val="Arial CE"/>
      <charset val="238"/>
    </font>
    <font>
      <b/>
      <sz val="14"/>
      <color rgb="FF000000"/>
      <name val="Arial CE"/>
      <family val="2"/>
      <charset val="238"/>
    </font>
    <font>
      <sz val="12"/>
      <color rgb="FF000000"/>
      <name val="Arial CE"/>
      <charset val="238"/>
    </font>
    <font>
      <b/>
      <sz val="12"/>
      <color rgb="FF000000"/>
      <name val="Arial CE"/>
      <charset val="238"/>
    </font>
    <font>
      <sz val="9"/>
      <color rgb="FF000000"/>
      <name val="Tahoma"/>
      <family val="2"/>
      <charset val="238"/>
    </font>
    <font>
      <sz val="11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2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3"/>
      <color rgb="FF000000"/>
      <name val="Arial CE"/>
      <charset val="238"/>
    </font>
    <font>
      <sz val="7"/>
      <color rgb="FF000000"/>
      <name val="Arial CE"/>
      <charset val="238"/>
    </font>
    <font>
      <sz val="10"/>
      <color rgb="FFFFFFFF"/>
      <name val="Arial CE"/>
      <charset val="238"/>
    </font>
    <font>
      <b/>
      <sz val="9"/>
      <color rgb="FF000000"/>
      <name val="Arial CE"/>
      <charset val="238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000000"/>
      <name val="Arial CE"/>
      <family val="2"/>
      <charset val="238"/>
    </font>
    <font>
      <sz val="8"/>
      <color rgb="FFFFFFFF"/>
      <name val="Arial CE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10"/>
      <color rgb="FF993366"/>
      <name val="Arial"/>
      <family val="2"/>
      <charset val="238"/>
    </font>
    <font>
      <sz val="10"/>
      <color rgb="FF333300"/>
      <name val="Arial"/>
      <family val="2"/>
      <charset val="238"/>
    </font>
    <font>
      <i/>
      <sz val="10"/>
      <color rgb="FF003300"/>
      <name val="Arial"/>
      <family val="2"/>
      <charset val="238"/>
    </font>
    <font>
      <sz val="10"/>
      <color rgb="FF33339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  <fill>
      <patternFill patternType="solid">
        <fgColor rgb="FF339966"/>
        <bgColor rgb="FF339966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2" fillId="0" borderId="0" applyNumberFormat="0" applyBorder="0" applyProtection="0"/>
  </cellStyleXfs>
  <cellXfs count="34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7" fillId="3" borderId="3" xfId="0" applyFont="1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166" fontId="4" fillId="0" borderId="0" xfId="0" applyNumberFormat="1" applyFont="1" applyAlignment="1">
      <alignment horizontal="left"/>
    </xf>
    <xf numFmtId="0" fontId="0" fillId="3" borderId="3" xfId="0" applyFill="1" applyBorder="1" applyAlignment="1">
      <alignment horizontal="left" vertical="center" indent="1"/>
    </xf>
    <xf numFmtId="0" fontId="3" fillId="3" borderId="0" xfId="0" applyFont="1" applyFill="1" applyAlignment="1">
      <alignment horizontal="left" vertical="center"/>
    </xf>
    <xf numFmtId="0" fontId="0" fillId="3" borderId="6" xfId="0" applyFill="1" applyBorder="1" applyAlignment="1">
      <alignment horizontal="left" vertical="center" indent="1"/>
    </xf>
    <xf numFmtId="0" fontId="0" fillId="3" borderId="7" xfId="0" applyFill="1" applyBorder="1"/>
    <xf numFmtId="49" fontId="3" fillId="3" borderId="7" xfId="0" applyNumberFormat="1" applyFont="1" applyFill="1" applyBorder="1" applyAlignment="1">
      <alignment horizontal="left" vertical="center"/>
    </xf>
    <xf numFmtId="0" fontId="3" fillId="3" borderId="7" xfId="0" applyFont="1" applyFill="1" applyBorder="1"/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0" fillId="0" borderId="3" xfId="0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/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/>
    <xf numFmtId="0" fontId="3" fillId="0" borderId="0" xfId="0" applyFont="1" applyFill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0" fillId="0" borderId="6" xfId="0" applyBorder="1" applyAlignment="1">
      <alignment horizontal="left" inden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3" fillId="0" borderId="9" xfId="0" applyFont="1" applyFill="1" applyBorder="1" applyAlignment="1">
      <alignment horizontal="left" vertical="top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/>
    <xf numFmtId="0" fontId="0" fillId="0" borderId="7" xfId="0" applyBorder="1" applyAlignment="1">
      <alignment horizontal="left"/>
    </xf>
    <xf numFmtId="49" fontId="0" fillId="0" borderId="3" xfId="0" applyNumberFormat="1" applyBorder="1"/>
    <xf numFmtId="49" fontId="0" fillId="0" borderId="11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/>
    <xf numFmtId="0" fontId="0" fillId="0" borderId="11" xfId="0" applyBorder="1" applyAlignment="1">
      <alignment horizontal="left" indent="1"/>
    </xf>
    <xf numFmtId="1" fontId="3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3" fillId="0" borderId="12" xfId="0" applyFont="1" applyBorder="1" applyAlignment="1">
      <alignment vertical="center"/>
    </xf>
    <xf numFmtId="49" fontId="0" fillId="0" borderId="15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1" fontId="3" fillId="0" borderId="1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1" fontId="3" fillId="0" borderId="1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indent="1"/>
    </xf>
    <xf numFmtId="0" fontId="13" fillId="3" borderId="20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4" fontId="12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/>
    <xf numFmtId="49" fontId="3" fillId="3" borderId="21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top"/>
    </xf>
    <xf numFmtId="166" fontId="3" fillId="0" borderId="7" xfId="0" applyNumberFormat="1" applyFont="1" applyBorder="1" applyAlignment="1">
      <alignment horizontal="center" vertical="top"/>
    </xf>
    <xf numFmtId="0" fontId="3" fillId="0" borderId="3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/>
    <xf numFmtId="0" fontId="0" fillId="0" borderId="24" xfId="0" applyBorder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3" fontId="0" fillId="0" borderId="25" xfId="0" applyNumberFormat="1" applyBorder="1"/>
    <xf numFmtId="3" fontId="5" fillId="3" borderId="2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 wrapText="1"/>
    </xf>
    <xf numFmtId="3" fontId="15" fillId="3" borderId="27" xfId="0" applyNumberFormat="1" applyFont="1" applyFill="1" applyBorder="1" applyAlignment="1">
      <alignment horizontal="center" vertical="center" wrapText="1" shrinkToFit="1"/>
    </xf>
    <xf numFmtId="3" fontId="5" fillId="3" borderId="27" xfId="0" applyNumberFormat="1" applyFont="1" applyFill="1" applyBorder="1" applyAlignment="1">
      <alignment horizontal="center" vertical="center" wrapText="1" shrinkToFit="1"/>
    </xf>
    <xf numFmtId="3" fontId="5" fillId="3" borderId="27" xfId="0" applyNumberFormat="1" applyFont="1" applyFill="1" applyBorder="1" applyAlignment="1">
      <alignment horizontal="center" vertical="center" wrapText="1"/>
    </xf>
    <xf numFmtId="3" fontId="0" fillId="0" borderId="16" xfId="0" applyNumberFormat="1" applyBorder="1" applyAlignment="1"/>
    <xf numFmtId="3" fontId="4" fillId="0" borderId="13" xfId="0" applyNumberFormat="1" applyFont="1" applyBorder="1" applyAlignment="1">
      <alignment horizontal="right" wrapText="1" shrinkToFit="1"/>
    </xf>
    <xf numFmtId="3" fontId="4" fillId="0" borderId="13" xfId="0" applyNumberFormat="1" applyFont="1" applyBorder="1" applyAlignment="1">
      <alignment horizontal="right" shrinkToFit="1"/>
    </xf>
    <xf numFmtId="3" fontId="0" fillId="0" borderId="13" xfId="0" applyNumberFormat="1" applyBorder="1" applyAlignment="1">
      <alignment shrinkToFit="1"/>
    </xf>
    <xf numFmtId="3" fontId="0" fillId="0" borderId="13" xfId="0" applyNumberFormat="1" applyBorder="1" applyAlignment="1"/>
    <xf numFmtId="3" fontId="0" fillId="5" borderId="29" xfId="0" applyNumberFormat="1" applyFill="1" applyBorder="1" applyAlignment="1">
      <alignment wrapText="1" shrinkToFit="1"/>
    </xf>
    <xf numFmtId="3" fontId="0" fillId="5" borderId="29" xfId="0" applyNumberFormat="1" applyFill="1" applyBorder="1" applyAlignment="1">
      <alignment shrinkToFit="1"/>
    </xf>
    <xf numFmtId="3" fontId="0" fillId="5" borderId="29" xfId="0" applyNumberFormat="1" applyFill="1" applyBorder="1" applyAlignment="1"/>
    <xf numFmtId="0" fontId="16" fillId="0" borderId="0" xfId="0" applyFont="1" applyAlignment="1">
      <alignment wrapText="1"/>
    </xf>
    <xf numFmtId="0" fontId="8" fillId="0" borderId="0" xfId="0" applyFont="1"/>
    <xf numFmtId="0" fontId="17" fillId="0" borderId="25" xfId="0" applyFont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vertical="center"/>
    </xf>
    <xf numFmtId="0" fontId="5" fillId="0" borderId="25" xfId="0" applyFont="1" applyBorder="1"/>
    <xf numFmtId="0" fontId="5" fillId="5" borderId="17" xfId="0" applyFont="1" applyFill="1" applyBorder="1"/>
    <xf numFmtId="0" fontId="5" fillId="5" borderId="7" xfId="0" applyFont="1" applyFill="1" applyBorder="1"/>
    <xf numFmtId="4" fontId="5" fillId="5" borderId="29" xfId="0" applyNumberFormat="1" applyFont="1" applyFill="1" applyBorder="1" applyAlignment="1">
      <alignment horizontal="center"/>
    </xf>
    <xf numFmtId="4" fontId="5" fillId="5" borderId="29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/>
    <xf numFmtId="0" fontId="0" fillId="3" borderId="13" xfId="0" applyFill="1" applyBorder="1"/>
    <xf numFmtId="0" fontId="0" fillId="0" borderId="0" xfId="0" applyAlignment="1">
      <alignment vertical="top"/>
    </xf>
    <xf numFmtId="0" fontId="0" fillId="0" borderId="13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3" borderId="12" xfId="0" applyNumberFormat="1" applyFill="1" applyBorder="1" applyAlignment="1"/>
    <xf numFmtId="49" fontId="0" fillId="3" borderId="12" xfId="0" applyNumberFormat="1" applyFill="1" applyBorder="1"/>
    <xf numFmtId="0" fontId="0" fillId="3" borderId="12" xfId="0" applyFill="1" applyBorder="1"/>
    <xf numFmtId="0" fontId="0" fillId="3" borderId="28" xfId="0" applyFill="1" applyBorder="1"/>
    <xf numFmtId="49" fontId="0" fillId="0" borderId="0" xfId="0" applyNumberFormat="1"/>
    <xf numFmtId="0" fontId="0" fillId="3" borderId="27" xfId="0" applyFill="1" applyBorder="1"/>
    <xf numFmtId="49" fontId="0" fillId="3" borderId="27" xfId="0" applyNumberFormat="1" applyFill="1" applyBorder="1"/>
    <xf numFmtId="0" fontId="0" fillId="3" borderId="26" xfId="0" applyFill="1" applyBorder="1"/>
    <xf numFmtId="0" fontId="0" fillId="3" borderId="27" xfId="0" applyFill="1" applyBorder="1" applyAlignment="1">
      <alignment wrapText="1"/>
    </xf>
    <xf numFmtId="0" fontId="0" fillId="3" borderId="16" xfId="0" applyFill="1" applyBorder="1" applyAlignment="1">
      <alignment vertical="top"/>
    </xf>
    <xf numFmtId="49" fontId="0" fillId="3" borderId="16" xfId="0" applyNumberFormat="1" applyFill="1" applyBorder="1" applyAlignment="1">
      <alignment vertical="top"/>
    </xf>
    <xf numFmtId="49" fontId="0" fillId="3" borderId="13" xfId="0" applyNumberFormat="1" applyFill="1" applyBorder="1" applyAlignment="1">
      <alignment vertical="top"/>
    </xf>
    <xf numFmtId="0" fontId="0" fillId="3" borderId="13" xfId="0" applyFill="1" applyBorder="1" applyAlignment="1">
      <alignment vertical="top"/>
    </xf>
    <xf numFmtId="164" fontId="0" fillId="3" borderId="13" xfId="0" applyNumberFormat="1" applyFill="1" applyBorder="1" applyAlignment="1">
      <alignment vertical="top"/>
    </xf>
    <xf numFmtId="4" fontId="0" fillId="3" borderId="13" xfId="0" applyNumberFormat="1" applyFill="1" applyBorder="1" applyAlignment="1">
      <alignment vertical="top"/>
    </xf>
    <xf numFmtId="0" fontId="18" fillId="0" borderId="25" xfId="0" applyFont="1" applyBorder="1" applyAlignment="1">
      <alignment vertical="top"/>
    </xf>
    <xf numFmtId="0" fontId="18" fillId="0" borderId="30" xfId="0" applyFont="1" applyBorder="1" applyAlignment="1">
      <alignment horizontal="left" vertical="top" wrapText="1"/>
    </xf>
    <xf numFmtId="0" fontId="18" fillId="0" borderId="30" xfId="0" applyFont="1" applyBorder="1" applyAlignment="1">
      <alignment vertical="top" shrinkToFit="1"/>
    </xf>
    <xf numFmtId="164" fontId="18" fillId="0" borderId="30" xfId="0" applyNumberFormat="1" applyFont="1" applyBorder="1" applyAlignment="1">
      <alignment vertical="top" shrinkToFit="1"/>
    </xf>
    <xf numFmtId="4" fontId="18" fillId="4" borderId="30" xfId="0" applyNumberFormat="1" applyFont="1" applyFill="1" applyBorder="1" applyAlignment="1" applyProtection="1">
      <alignment vertical="top" shrinkToFit="1"/>
      <protection locked="0"/>
    </xf>
    <xf numFmtId="4" fontId="18" fillId="0" borderId="30" xfId="0" applyNumberFormat="1" applyFont="1" applyBorder="1" applyAlignment="1">
      <alignment vertical="top" shrinkToFit="1"/>
    </xf>
    <xf numFmtId="0" fontId="18" fillId="0" borderId="25" xfId="0" applyFont="1" applyBorder="1" applyAlignment="1">
      <alignment vertical="top" shrinkToFit="1"/>
    </xf>
    <xf numFmtId="0" fontId="18" fillId="0" borderId="0" xfId="0" applyFont="1"/>
    <xf numFmtId="0" fontId="19" fillId="0" borderId="30" xfId="0" applyFont="1" applyBorder="1" applyAlignment="1">
      <alignment horizontal="left" vertical="top" wrapText="1"/>
    </xf>
    <xf numFmtId="0" fontId="19" fillId="0" borderId="30" xfId="0" applyFont="1" applyBorder="1" applyAlignment="1">
      <alignment vertical="top" wrapText="1" shrinkToFit="1"/>
    </xf>
    <xf numFmtId="164" fontId="19" fillId="0" borderId="30" xfId="0" applyNumberFormat="1" applyFont="1" applyBorder="1" applyAlignment="1">
      <alignment vertical="top" wrapText="1" shrinkToFit="1"/>
    </xf>
    <xf numFmtId="0" fontId="0" fillId="3" borderId="17" xfId="0" applyFill="1" applyBorder="1" applyAlignment="1">
      <alignment vertical="top"/>
    </xf>
    <xf numFmtId="0" fontId="0" fillId="3" borderId="29" xfId="0" applyFill="1" applyBorder="1" applyAlignment="1">
      <alignment horizontal="left" vertical="top" wrapText="1"/>
    </xf>
    <xf numFmtId="0" fontId="0" fillId="3" borderId="29" xfId="0" applyFill="1" applyBorder="1" applyAlignment="1">
      <alignment vertical="top" shrinkToFit="1"/>
    </xf>
    <xf numFmtId="164" fontId="0" fillId="3" borderId="29" xfId="0" applyNumberFormat="1" applyFill="1" applyBorder="1" applyAlignment="1">
      <alignment vertical="top" shrinkToFit="1"/>
    </xf>
    <xf numFmtId="4" fontId="0" fillId="3" borderId="29" xfId="0" applyNumberFormat="1" applyFill="1" applyBorder="1" applyAlignment="1">
      <alignment vertical="top" shrinkToFit="1"/>
    </xf>
    <xf numFmtId="0" fontId="0" fillId="3" borderId="17" xfId="0" applyFill="1" applyBorder="1" applyAlignment="1">
      <alignment vertical="top" shrinkToFit="1"/>
    </xf>
    <xf numFmtId="49" fontId="21" fillId="0" borderId="0" xfId="0" applyNumberFormat="1" applyFont="1" applyAlignment="1">
      <alignment wrapText="1"/>
    </xf>
    <xf numFmtId="0" fontId="18" fillId="0" borderId="17" xfId="0" applyFont="1" applyBorder="1" applyAlignment="1">
      <alignment vertical="top"/>
    </xf>
    <xf numFmtId="0" fontId="18" fillId="0" borderId="29" xfId="0" applyFont="1" applyBorder="1" applyAlignment="1">
      <alignment horizontal="left" vertical="top" wrapText="1"/>
    </xf>
    <xf numFmtId="0" fontId="18" fillId="0" borderId="29" xfId="0" applyFont="1" applyBorder="1" applyAlignment="1">
      <alignment vertical="top" shrinkToFit="1"/>
    </xf>
    <xf numFmtId="164" fontId="18" fillId="0" borderId="29" xfId="0" applyNumberFormat="1" applyFont="1" applyBorder="1" applyAlignment="1">
      <alignment vertical="top" shrinkToFit="1"/>
    </xf>
    <xf numFmtId="4" fontId="18" fillId="4" borderId="29" xfId="0" applyNumberFormat="1" applyFont="1" applyFill="1" applyBorder="1" applyAlignment="1" applyProtection="1">
      <alignment vertical="top" shrinkToFit="1"/>
      <protection locked="0"/>
    </xf>
    <xf numFmtId="4" fontId="18" fillId="0" borderId="29" xfId="0" applyNumberFormat="1" applyFont="1" applyBorder="1" applyAlignment="1">
      <alignment vertical="top" shrinkToFit="1"/>
    </xf>
    <xf numFmtId="0" fontId="18" fillId="0" borderId="17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3" fillId="3" borderId="16" xfId="0" applyFont="1" applyFill="1" applyBorder="1" applyAlignment="1">
      <alignment vertical="top"/>
    </xf>
    <xf numFmtId="49" fontId="3" fillId="3" borderId="12" xfId="0" applyNumberFormat="1" applyFont="1" applyFill="1" applyBorder="1" applyAlignment="1">
      <alignment vertical="top"/>
    </xf>
    <xf numFmtId="49" fontId="3" fillId="3" borderId="12" xfId="0" applyNumberFormat="1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vertical="top"/>
    </xf>
    <xf numFmtId="4" fontId="3" fillId="3" borderId="28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0" borderId="0" xfId="2" applyFont="1" applyFill="1" applyAlignment="1" applyProtection="1"/>
    <xf numFmtId="0" fontId="0" fillId="0" borderId="13" xfId="2" applyFont="1" applyFill="1" applyBorder="1" applyAlignment="1" applyProtection="1">
      <alignment vertical="center"/>
    </xf>
    <xf numFmtId="49" fontId="0" fillId="0" borderId="12" xfId="2" applyNumberFormat="1" applyFont="1" applyFill="1" applyBorder="1" applyAlignment="1" applyProtection="1">
      <alignment vertical="center"/>
    </xf>
    <xf numFmtId="0" fontId="0" fillId="3" borderId="13" xfId="2" applyFont="1" applyFill="1" applyBorder="1" applyAlignment="1" applyProtection="1"/>
    <xf numFmtId="49" fontId="0" fillId="3" borderId="12" xfId="2" applyNumberFormat="1" applyFont="1" applyFill="1" applyBorder="1" applyAlignment="1" applyProtection="1"/>
    <xf numFmtId="0" fontId="0" fillId="3" borderId="12" xfId="2" applyFont="1" applyFill="1" applyBorder="1" applyAlignment="1" applyProtection="1"/>
    <xf numFmtId="0" fontId="0" fillId="3" borderId="28" xfId="2" applyFont="1" applyFill="1" applyBorder="1" applyAlignment="1" applyProtection="1"/>
    <xf numFmtId="49" fontId="0" fillId="0" borderId="0" xfId="2" applyNumberFormat="1" applyFont="1" applyFill="1" applyAlignment="1" applyProtection="1"/>
    <xf numFmtId="0" fontId="0" fillId="3" borderId="27" xfId="2" applyFont="1" applyFill="1" applyBorder="1" applyAlignment="1" applyProtection="1"/>
    <xf numFmtId="49" fontId="0" fillId="3" borderId="27" xfId="2" applyNumberFormat="1" applyFont="1" applyFill="1" applyBorder="1" applyAlignment="1" applyProtection="1"/>
    <xf numFmtId="0" fontId="0" fillId="3" borderId="26" xfId="2" applyFont="1" applyFill="1" applyBorder="1" applyAlignment="1" applyProtection="1"/>
    <xf numFmtId="0" fontId="0" fillId="3" borderId="27" xfId="2" applyFont="1" applyFill="1" applyBorder="1" applyAlignment="1" applyProtection="1">
      <alignment wrapText="1"/>
    </xf>
    <xf numFmtId="0" fontId="0" fillId="3" borderId="16" xfId="2" applyFont="1" applyFill="1" applyBorder="1" applyAlignment="1" applyProtection="1">
      <alignment vertical="top"/>
    </xf>
    <xf numFmtId="49" fontId="0" fillId="3" borderId="16" xfId="2" applyNumberFormat="1" applyFont="1" applyFill="1" applyBorder="1" applyAlignment="1" applyProtection="1">
      <alignment vertical="top"/>
    </xf>
    <xf numFmtId="49" fontId="0" fillId="3" borderId="13" xfId="2" applyNumberFormat="1" applyFont="1" applyFill="1" applyBorder="1" applyAlignment="1" applyProtection="1">
      <alignment vertical="top"/>
    </xf>
    <xf numFmtId="0" fontId="0" fillId="3" borderId="28" xfId="2" applyFont="1" applyFill="1" applyBorder="1" applyAlignment="1" applyProtection="1">
      <alignment vertical="top"/>
    </xf>
    <xf numFmtId="164" fontId="0" fillId="3" borderId="13" xfId="2" applyNumberFormat="1" applyFont="1" applyFill="1" applyBorder="1" applyAlignment="1" applyProtection="1">
      <alignment vertical="top"/>
    </xf>
    <xf numFmtId="4" fontId="0" fillId="3" borderId="13" xfId="2" applyNumberFormat="1" applyFont="1" applyFill="1" applyBorder="1" applyAlignment="1" applyProtection="1">
      <alignment vertical="top"/>
    </xf>
    <xf numFmtId="0" fontId="0" fillId="3" borderId="13" xfId="2" applyFont="1" applyFill="1" applyBorder="1" applyAlignment="1" applyProtection="1">
      <alignment vertical="top"/>
    </xf>
    <xf numFmtId="0" fontId="18" fillId="0" borderId="25" xfId="2" applyFont="1" applyFill="1" applyBorder="1" applyAlignment="1" applyProtection="1">
      <alignment vertical="top"/>
    </xf>
    <xf numFmtId="0" fontId="18" fillId="0" borderId="30" xfId="2" applyFont="1" applyFill="1" applyBorder="1" applyAlignment="1" applyProtection="1">
      <alignment horizontal="left" vertical="top" wrapText="1"/>
    </xf>
    <xf numFmtId="0" fontId="18" fillId="0" borderId="31" xfId="2" applyFont="1" applyFill="1" applyBorder="1" applyAlignment="1" applyProtection="1">
      <alignment vertical="top" shrinkToFit="1"/>
    </xf>
    <xf numFmtId="164" fontId="18" fillId="0" borderId="30" xfId="2" applyNumberFormat="1" applyFont="1" applyFill="1" applyBorder="1" applyAlignment="1" applyProtection="1">
      <alignment vertical="top" shrinkToFit="1"/>
    </xf>
    <xf numFmtId="4" fontId="18" fillId="4" borderId="30" xfId="2" applyNumberFormat="1" applyFont="1" applyFill="1" applyBorder="1" applyAlignment="1" applyProtection="1">
      <alignment vertical="top" shrinkToFit="1"/>
      <protection locked="0"/>
    </xf>
    <xf numFmtId="4" fontId="18" fillId="0" borderId="30" xfId="2" applyNumberFormat="1" applyFont="1" applyFill="1" applyBorder="1" applyAlignment="1" applyProtection="1">
      <alignment vertical="top" shrinkToFit="1"/>
    </xf>
    <xf numFmtId="0" fontId="18" fillId="0" borderId="30" xfId="2" applyFont="1" applyFill="1" applyBorder="1" applyAlignment="1" applyProtection="1">
      <alignment vertical="top" shrinkToFit="1"/>
    </xf>
    <xf numFmtId="0" fontId="18" fillId="0" borderId="25" xfId="2" applyFont="1" applyFill="1" applyBorder="1" applyAlignment="1" applyProtection="1">
      <alignment vertical="top" shrinkToFit="1"/>
    </xf>
    <xf numFmtId="0" fontId="18" fillId="0" borderId="0" xfId="2" applyFont="1" applyFill="1" applyAlignment="1" applyProtection="1"/>
    <xf numFmtId="0" fontId="0" fillId="3" borderId="17" xfId="2" applyFont="1" applyFill="1" applyBorder="1" applyAlignment="1" applyProtection="1">
      <alignment vertical="top"/>
    </xf>
    <xf numFmtId="0" fontId="0" fillId="3" borderId="29" xfId="2" applyFont="1" applyFill="1" applyBorder="1" applyAlignment="1" applyProtection="1">
      <alignment horizontal="left" vertical="top" wrapText="1"/>
    </xf>
    <xf numFmtId="0" fontId="0" fillId="3" borderId="32" xfId="2" applyFont="1" applyFill="1" applyBorder="1" applyAlignment="1" applyProtection="1">
      <alignment vertical="top" shrinkToFit="1"/>
    </xf>
    <xf numFmtId="164" fontId="0" fillId="3" borderId="29" xfId="2" applyNumberFormat="1" applyFont="1" applyFill="1" applyBorder="1" applyAlignment="1" applyProtection="1">
      <alignment vertical="top" shrinkToFit="1"/>
    </xf>
    <xf numFmtId="4" fontId="0" fillId="3" borderId="29" xfId="2" applyNumberFormat="1" applyFont="1" applyFill="1" applyBorder="1" applyAlignment="1" applyProtection="1">
      <alignment vertical="top" shrinkToFit="1"/>
    </xf>
    <xf numFmtId="0" fontId="0" fillId="3" borderId="29" xfId="2" applyFont="1" applyFill="1" applyBorder="1" applyAlignment="1" applyProtection="1">
      <alignment vertical="top" shrinkToFit="1"/>
    </xf>
    <xf numFmtId="0" fontId="0" fillId="3" borderId="17" xfId="2" applyFont="1" applyFill="1" applyBorder="1" applyAlignment="1" applyProtection="1">
      <alignment vertical="top" shrinkToFit="1"/>
    </xf>
    <xf numFmtId="0" fontId="18" fillId="0" borderId="17" xfId="2" applyFont="1" applyFill="1" applyBorder="1" applyAlignment="1" applyProtection="1">
      <alignment vertical="top"/>
    </xf>
    <xf numFmtId="0" fontId="18" fillId="0" borderId="29" xfId="2" applyFont="1" applyFill="1" applyBorder="1" applyAlignment="1" applyProtection="1">
      <alignment horizontal="left" vertical="top" wrapText="1"/>
    </xf>
    <xf numFmtId="0" fontId="18" fillId="0" borderId="32" xfId="2" applyFont="1" applyFill="1" applyBorder="1" applyAlignment="1" applyProtection="1">
      <alignment vertical="top" shrinkToFit="1"/>
    </xf>
    <xf numFmtId="164" fontId="18" fillId="0" borderId="29" xfId="2" applyNumberFormat="1" applyFont="1" applyFill="1" applyBorder="1" applyAlignment="1" applyProtection="1">
      <alignment vertical="top" shrinkToFit="1"/>
    </xf>
    <xf numFmtId="4" fontId="18" fillId="4" borderId="29" xfId="2" applyNumberFormat="1" applyFont="1" applyFill="1" applyBorder="1" applyAlignment="1" applyProtection="1">
      <alignment vertical="top" shrinkToFit="1"/>
      <protection locked="0"/>
    </xf>
    <xf numFmtId="4" fontId="18" fillId="0" borderId="29" xfId="2" applyNumberFormat="1" applyFont="1" applyFill="1" applyBorder="1" applyAlignment="1" applyProtection="1">
      <alignment vertical="top" shrinkToFit="1"/>
    </xf>
    <xf numFmtId="0" fontId="18" fillId="0" borderId="29" xfId="2" applyFont="1" applyFill="1" applyBorder="1" applyAlignment="1" applyProtection="1">
      <alignment vertical="top" shrinkToFit="1"/>
    </xf>
    <xf numFmtId="0" fontId="18" fillId="0" borderId="17" xfId="2" applyFont="1" applyFill="1" applyBorder="1" applyAlignment="1" applyProtection="1">
      <alignment vertical="top" shrinkToFit="1"/>
    </xf>
    <xf numFmtId="0" fontId="0" fillId="0" borderId="0" xfId="2" applyFont="1" applyFill="1" applyAlignment="1" applyProtection="1">
      <alignment vertical="top"/>
    </xf>
    <xf numFmtId="49" fontId="0" fillId="0" borderId="0" xfId="2" applyNumberFormat="1" applyFont="1" applyFill="1" applyAlignment="1" applyProtection="1">
      <alignment vertical="top"/>
    </xf>
    <xf numFmtId="49" fontId="0" fillId="0" borderId="0" xfId="2" applyNumberFormat="1" applyFont="1" applyFill="1" applyAlignment="1" applyProtection="1">
      <alignment horizontal="left" vertical="top" wrapText="1"/>
    </xf>
    <xf numFmtId="0" fontId="3" fillId="3" borderId="16" xfId="2" applyFont="1" applyFill="1" applyBorder="1" applyAlignment="1" applyProtection="1">
      <alignment vertical="top"/>
    </xf>
    <xf numFmtId="49" fontId="3" fillId="3" borderId="12" xfId="2" applyNumberFormat="1" applyFont="1" applyFill="1" applyBorder="1" applyAlignment="1" applyProtection="1">
      <alignment vertical="top"/>
    </xf>
    <xf numFmtId="49" fontId="3" fillId="3" borderId="12" xfId="2" applyNumberFormat="1" applyFont="1" applyFill="1" applyBorder="1" applyAlignment="1" applyProtection="1">
      <alignment horizontal="left" vertical="top" wrapText="1"/>
    </xf>
    <xf numFmtId="0" fontId="3" fillId="3" borderId="12" xfId="2" applyFont="1" applyFill="1" applyBorder="1" applyAlignment="1" applyProtection="1">
      <alignment vertical="top"/>
    </xf>
    <xf numFmtId="4" fontId="3" fillId="3" borderId="28" xfId="2" applyNumberFormat="1" applyFont="1" applyFill="1" applyBorder="1" applyAlignment="1" applyProtection="1">
      <alignment vertical="top"/>
    </xf>
    <xf numFmtId="49" fontId="0" fillId="0" borderId="0" xfId="2" applyNumberFormat="1" applyFont="1" applyFill="1" applyAlignment="1" applyProtection="1">
      <alignment horizontal="left" wrapText="1"/>
    </xf>
    <xf numFmtId="0" fontId="2" fillId="0" borderId="0" xfId="3" applyFont="1" applyFill="1" applyAlignment="1" applyProtection="1">
      <alignment vertical="center"/>
    </xf>
    <xf numFmtId="0" fontId="2" fillId="0" borderId="25" xfId="3" applyFont="1" applyFill="1" applyBorder="1" applyAlignment="1" applyProtection="1">
      <alignment vertical="center"/>
    </xf>
    <xf numFmtId="49" fontId="23" fillId="0" borderId="36" xfId="3" applyNumberFormat="1" applyFont="1" applyFill="1" applyBorder="1" applyAlignment="1" applyProtection="1">
      <alignment horizontal="left" vertical="center"/>
    </xf>
    <xf numFmtId="49" fontId="23" fillId="0" borderId="37" xfId="3" applyNumberFormat="1" applyFont="1" applyFill="1" applyBorder="1" applyAlignment="1" applyProtection="1">
      <alignment horizontal="left" vertical="center"/>
    </xf>
    <xf numFmtId="49" fontId="23" fillId="0" borderId="37" xfId="3" applyNumberFormat="1" applyFont="1" applyFill="1" applyBorder="1" applyAlignment="1" applyProtection="1">
      <alignment horizontal="center" vertical="center"/>
    </xf>
    <xf numFmtId="49" fontId="23" fillId="0" borderId="38" xfId="3" applyNumberFormat="1" applyFont="1" applyFill="1" applyBorder="1" applyAlignment="1" applyProtection="1">
      <alignment horizontal="center" vertical="center"/>
    </xf>
    <xf numFmtId="49" fontId="23" fillId="0" borderId="39" xfId="3" applyNumberFormat="1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vertical="center"/>
    </xf>
    <xf numFmtId="49" fontId="2" fillId="0" borderId="40" xfId="3" applyNumberFormat="1" applyFont="1" applyFill="1" applyBorder="1" applyAlignment="1" applyProtection="1">
      <alignment horizontal="left" vertical="center"/>
    </xf>
    <xf numFmtId="49" fontId="2" fillId="0" borderId="41" xfId="3" applyNumberFormat="1" applyFont="1" applyFill="1" applyBorder="1" applyAlignment="1" applyProtection="1">
      <alignment horizontal="left" vertical="center"/>
    </xf>
    <xf numFmtId="49" fontId="23" fillId="0" borderId="42" xfId="3" applyNumberFormat="1" applyFont="1" applyFill="1" applyBorder="1" applyAlignment="1" applyProtection="1">
      <alignment horizontal="center" vertical="center"/>
    </xf>
    <xf numFmtId="49" fontId="23" fillId="0" borderId="43" xfId="3" applyNumberFormat="1" applyFont="1" applyFill="1" applyBorder="1" applyAlignment="1" applyProtection="1">
      <alignment horizontal="center" vertical="center"/>
    </xf>
    <xf numFmtId="49" fontId="23" fillId="0" borderId="44" xfId="3" applyNumberFormat="1" applyFont="1" applyFill="1" applyBorder="1" applyAlignment="1" applyProtection="1">
      <alignment horizontal="center" vertical="center"/>
    </xf>
    <xf numFmtId="49" fontId="23" fillId="0" borderId="45" xfId="3" applyNumberFormat="1" applyFont="1" applyFill="1" applyBorder="1" applyAlignment="1" applyProtection="1">
      <alignment horizontal="center" vertical="center"/>
    </xf>
    <xf numFmtId="49" fontId="23" fillId="0" borderId="46" xfId="3" applyNumberFormat="1" applyFont="1" applyFill="1" applyBorder="1" applyAlignment="1" applyProtection="1">
      <alignment horizontal="center" vertical="center"/>
    </xf>
    <xf numFmtId="49" fontId="24" fillId="6" borderId="0" xfId="3" applyNumberFormat="1" applyFont="1" applyFill="1" applyAlignment="1" applyProtection="1">
      <alignment horizontal="right" vertical="center"/>
    </xf>
    <xf numFmtId="49" fontId="25" fillId="6" borderId="47" xfId="3" applyNumberFormat="1" applyFont="1" applyFill="1" applyBorder="1" applyAlignment="1" applyProtection="1">
      <alignment horizontal="left" vertical="center"/>
    </xf>
    <xf numFmtId="49" fontId="24" fillId="6" borderId="47" xfId="3" applyNumberFormat="1" applyFont="1" applyFill="1" applyBorder="1" applyAlignment="1" applyProtection="1">
      <alignment horizontal="left" vertical="center"/>
    </xf>
    <xf numFmtId="4" fontId="24" fillId="6" borderId="47" xfId="3" applyNumberFormat="1" applyFont="1" applyFill="1" applyBorder="1" applyAlignment="1" applyProtection="1">
      <alignment horizontal="right" vertical="center"/>
    </xf>
    <xf numFmtId="49" fontId="24" fillId="6" borderId="47" xfId="3" applyNumberFormat="1" applyFont="1" applyFill="1" applyBorder="1" applyAlignment="1" applyProtection="1">
      <alignment horizontal="right" vertical="center"/>
    </xf>
    <xf numFmtId="4" fontId="24" fillId="6" borderId="0" xfId="3" applyNumberFormat="1" applyFont="1" applyFill="1" applyAlignment="1" applyProtection="1">
      <alignment horizontal="right" vertical="center"/>
    </xf>
    <xf numFmtId="49" fontId="26" fillId="0" borderId="0" xfId="3" applyNumberFormat="1" applyFont="1" applyFill="1" applyAlignment="1" applyProtection="1">
      <alignment horizontal="left" vertical="center"/>
    </xf>
    <xf numFmtId="4" fontId="26" fillId="0" borderId="0" xfId="3" applyNumberFormat="1" applyFont="1" applyFill="1" applyAlignment="1" applyProtection="1">
      <alignment horizontal="right" vertical="center"/>
    </xf>
    <xf numFmtId="49" fontId="26" fillId="0" borderId="0" xfId="3" applyNumberFormat="1" applyFont="1" applyFill="1" applyAlignment="1" applyProtection="1">
      <alignment horizontal="right" vertical="center"/>
    </xf>
    <xf numFmtId="4" fontId="2" fillId="0" borderId="0" xfId="3" applyNumberFormat="1" applyFont="1" applyFill="1" applyAlignment="1" applyProtection="1">
      <alignment horizontal="right" vertical="center"/>
    </xf>
    <xf numFmtId="49" fontId="2" fillId="0" borderId="0" xfId="3" applyNumberFormat="1" applyFont="1" applyFill="1" applyAlignment="1" applyProtection="1">
      <alignment horizontal="right" vertical="center"/>
    </xf>
    <xf numFmtId="49" fontId="25" fillId="6" borderId="0" xfId="3" applyNumberFormat="1" applyFont="1" applyFill="1" applyAlignment="1" applyProtection="1">
      <alignment horizontal="left" vertical="center"/>
    </xf>
    <xf numFmtId="49" fontId="24" fillId="6" borderId="0" xfId="3" applyNumberFormat="1" applyFont="1" applyFill="1" applyAlignment="1" applyProtection="1">
      <alignment horizontal="left" vertical="center"/>
    </xf>
    <xf numFmtId="49" fontId="28" fillId="0" borderId="0" xfId="3" applyNumberFormat="1" applyFont="1" applyFill="1" applyAlignment="1" applyProtection="1">
      <alignment horizontal="right" vertical="top"/>
    </xf>
    <xf numFmtId="49" fontId="29" fillId="0" borderId="0" xfId="3" applyNumberFormat="1" applyFont="1" applyFill="1" applyAlignment="1" applyProtection="1">
      <alignment horizontal="left" vertical="center"/>
    </xf>
    <xf numFmtId="4" fontId="29" fillId="0" borderId="0" xfId="3" applyNumberFormat="1" applyFont="1" applyFill="1" applyAlignment="1" applyProtection="1">
      <alignment horizontal="right" vertical="center"/>
    </xf>
    <xf numFmtId="49" fontId="29" fillId="0" borderId="0" xfId="3" applyNumberFormat="1" applyFont="1" applyFill="1" applyAlignment="1" applyProtection="1">
      <alignment horizontal="right" vertical="center"/>
    </xf>
    <xf numFmtId="49" fontId="29" fillId="0" borderId="7" xfId="3" applyNumberFormat="1" applyFont="1" applyFill="1" applyBorder="1" applyAlignment="1" applyProtection="1">
      <alignment horizontal="left" vertical="center"/>
    </xf>
    <xf numFmtId="4" fontId="29" fillId="0" borderId="7" xfId="3" applyNumberFormat="1" applyFont="1" applyFill="1" applyBorder="1" applyAlignment="1" applyProtection="1">
      <alignment horizontal="right" vertical="center"/>
    </xf>
    <xf numFmtId="49" fontId="29" fillId="0" borderId="7" xfId="3" applyNumberFormat="1" applyFont="1" applyFill="1" applyBorder="1" applyAlignment="1" applyProtection="1">
      <alignment horizontal="right" vertical="center"/>
    </xf>
    <xf numFmtId="0" fontId="29" fillId="0" borderId="7" xfId="3" applyFont="1" applyFill="1" applyBorder="1" applyAlignment="1" applyProtection="1">
      <alignment horizontal="left" vertical="center"/>
    </xf>
    <xf numFmtId="0" fontId="2" fillId="0" borderId="9" xfId="3" applyFont="1" applyFill="1" applyBorder="1" applyAlignment="1" applyProtection="1">
      <alignment vertical="center"/>
    </xf>
    <xf numFmtId="4" fontId="23" fillId="0" borderId="9" xfId="3" applyNumberFormat="1" applyFont="1" applyFill="1" applyBorder="1" applyAlignment="1" applyProtection="1">
      <alignment horizontal="right" vertical="center"/>
    </xf>
    <xf numFmtId="49" fontId="31" fillId="0" borderId="0" xfId="3" applyNumberFormat="1" applyFont="1" applyFill="1" applyAlignment="1" applyProtection="1">
      <alignment horizontal="left" vertical="center"/>
    </xf>
    <xf numFmtId="0" fontId="4" fillId="2" borderId="0" xfId="0" applyFont="1" applyFill="1" applyAlignment="1">
      <alignment horizontal="left" wrapText="1"/>
    </xf>
    <xf numFmtId="0" fontId="0" fillId="4" borderId="7" xfId="0" applyFill="1" applyBorder="1"/>
    <xf numFmtId="0" fontId="6" fillId="0" borderId="2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0" xfId="0" applyFill="1"/>
    <xf numFmtId="0" fontId="0" fillId="0" borderId="7" xfId="0" applyFill="1" applyBorder="1"/>
    <xf numFmtId="0" fontId="0" fillId="0" borderId="8" xfId="0" applyFill="1" applyBorder="1" applyAlignment="1">
      <alignment horizontal="right" indent="1"/>
    </xf>
    <xf numFmtId="0" fontId="0" fillId="0" borderId="13" xfId="0" applyFill="1" applyBorder="1"/>
    <xf numFmtId="4" fontId="10" fillId="0" borderId="14" xfId="0" applyNumberFormat="1" applyFont="1" applyFill="1" applyBorder="1" applyAlignment="1">
      <alignment horizontal="right" vertical="center" indent="1"/>
    </xf>
    <xf numFmtId="3" fontId="0" fillId="0" borderId="28" xfId="0" applyNumberFormat="1" applyFill="1" applyBorder="1"/>
    <xf numFmtId="4" fontId="11" fillId="0" borderId="14" xfId="0" applyNumberFormat="1" applyFont="1" applyFill="1" applyBorder="1" applyAlignment="1">
      <alignment horizontal="right" vertical="center" indent="1"/>
    </xf>
    <xf numFmtId="4" fontId="11" fillId="0" borderId="16" xfId="0" applyNumberFormat="1" applyFont="1" applyFill="1" applyBorder="1" applyAlignment="1">
      <alignment vertical="center"/>
    </xf>
    <xf numFmtId="4" fontId="11" fillId="0" borderId="16" xfId="0" applyNumberFormat="1" applyFont="1" applyFill="1" applyBorder="1" applyAlignment="1">
      <alignment horizontal="right" vertical="center"/>
    </xf>
    <xf numFmtId="4" fontId="11" fillId="0" borderId="18" xfId="0" applyNumberFormat="1" applyFont="1" applyFill="1" applyBorder="1" applyAlignment="1">
      <alignment horizontal="right" vertical="center"/>
    </xf>
    <xf numFmtId="2" fontId="14" fillId="3" borderId="20" xfId="0" applyNumberFormat="1" applyFont="1" applyFill="1" applyBorder="1" applyAlignment="1">
      <alignment horizontal="right" vertical="center"/>
    </xf>
    <xf numFmtId="4" fontId="14" fillId="3" borderId="20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/>
    </xf>
    <xf numFmtId="3" fontId="0" fillId="5" borderId="13" xfId="0" applyNumberFormat="1" applyFill="1" applyBorder="1"/>
    <xf numFmtId="0" fontId="0" fillId="0" borderId="0" xfId="0" applyAlignment="1">
      <alignment wrapText="1"/>
    </xf>
    <xf numFmtId="0" fontId="17" fillId="3" borderId="13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vertical="center" wrapText="1"/>
    </xf>
    <xf numFmtId="4" fontId="5" fillId="0" borderId="27" xfId="0" applyNumberFormat="1" applyFont="1" applyFill="1" applyBorder="1" applyAlignment="1">
      <alignment vertical="center"/>
    </xf>
    <xf numFmtId="49" fontId="5" fillId="0" borderId="30" xfId="0" applyNumberFormat="1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vertical="center"/>
    </xf>
    <xf numFmtId="49" fontId="5" fillId="0" borderId="29" xfId="0" applyNumberFormat="1" applyFont="1" applyFill="1" applyBorder="1" applyAlignment="1">
      <alignment vertical="center" wrapText="1"/>
    </xf>
    <xf numFmtId="4" fontId="5" fillId="0" borderId="29" xfId="0" applyNumberFormat="1" applyFont="1" applyFill="1" applyBorder="1" applyAlignment="1">
      <alignment vertical="center"/>
    </xf>
    <xf numFmtId="4" fontId="5" fillId="5" borderId="13" xfId="0" applyNumberFormat="1" applyFont="1" applyFill="1" applyBorder="1" applyAlignment="1"/>
    <xf numFmtId="0" fontId="8" fillId="0" borderId="0" xfId="0" applyFont="1" applyAlignment="1">
      <alignment horizontal="center" vertical="top"/>
    </xf>
    <xf numFmtId="0" fontId="0" fillId="0" borderId="28" xfId="0" applyFill="1" applyBorder="1"/>
    <xf numFmtId="0" fontId="0" fillId="4" borderId="13" xfId="0" applyFill="1" applyBorder="1"/>
    <xf numFmtId="0" fontId="8" fillId="0" borderId="0" xfId="0" applyFont="1" applyAlignment="1">
      <alignment horizontal="center"/>
    </xf>
    <xf numFmtId="49" fontId="0" fillId="0" borderId="28" xfId="0" applyNumberFormat="1" applyFill="1" applyBorder="1" applyAlignment="1">
      <alignment vertical="center"/>
    </xf>
    <xf numFmtId="0" fontId="20" fillId="0" borderId="31" xfId="1" applyFont="1" applyFill="1" applyBorder="1" applyAlignment="1"/>
    <xf numFmtId="0" fontId="0" fillId="0" borderId="0" xfId="0" applyAlignment="1">
      <alignment vertical="top"/>
    </xf>
    <xf numFmtId="0" fontId="8" fillId="0" borderId="7" xfId="2" applyFont="1" applyFill="1" applyBorder="1" applyAlignment="1" applyProtection="1">
      <alignment horizontal="center"/>
    </xf>
    <xf numFmtId="49" fontId="0" fillId="0" borderId="28" xfId="2" applyNumberFormat="1" applyFont="1" applyFill="1" applyBorder="1" applyAlignment="1" applyProtection="1">
      <alignment vertical="center"/>
    </xf>
    <xf numFmtId="0" fontId="0" fillId="0" borderId="7" xfId="2" applyFont="1" applyFill="1" applyBorder="1" applyAlignment="1" applyProtection="1">
      <alignment vertical="top"/>
    </xf>
    <xf numFmtId="49" fontId="22" fillId="0" borderId="7" xfId="3" applyNumberFormat="1" applyFont="1" applyFill="1" applyBorder="1" applyAlignment="1" applyProtection="1">
      <alignment horizontal="center"/>
    </xf>
    <xf numFmtId="0" fontId="2" fillId="0" borderId="26" xfId="3" applyFont="1" applyFill="1" applyBorder="1" applyAlignment="1" applyProtection="1">
      <alignment horizontal="left" vertical="center" wrapText="1"/>
    </xf>
    <xf numFmtId="0" fontId="23" fillId="0" borderId="9" xfId="3" applyFont="1" applyFill="1" applyBorder="1" applyAlignment="1" applyProtection="1">
      <alignment horizontal="left" vertical="center" wrapText="1"/>
    </xf>
    <xf numFmtId="49" fontId="2" fillId="0" borderId="9" xfId="3" applyNumberFormat="1" applyFont="1" applyFill="1" applyBorder="1" applyAlignment="1" applyProtection="1">
      <alignment horizontal="left" vertical="center"/>
    </xf>
    <xf numFmtId="0" fontId="2" fillId="0" borderId="9" xfId="3" applyFont="1" applyFill="1" applyBorder="1" applyAlignment="1" applyProtection="1">
      <alignment horizontal="left" vertical="center" wrapText="1"/>
    </xf>
    <xf numFmtId="165" fontId="2" fillId="0" borderId="33" xfId="3" applyNumberFormat="1" applyFont="1" applyFill="1" applyBorder="1" applyAlignment="1" applyProtection="1">
      <alignment horizontal="left" vertical="center" wrapText="1"/>
    </xf>
    <xf numFmtId="0" fontId="2" fillId="0" borderId="25" xfId="3" applyFont="1" applyFill="1" applyBorder="1" applyAlignment="1" applyProtection="1">
      <alignment horizontal="left" vertical="center" wrapText="1"/>
    </xf>
    <xf numFmtId="0" fontId="2" fillId="0" borderId="0" xfId="3" applyFont="1" applyFill="1" applyAlignment="1" applyProtection="1">
      <alignment horizontal="left" vertical="center" wrapText="1"/>
    </xf>
    <xf numFmtId="49" fontId="2" fillId="0" borderId="0" xfId="3" applyNumberFormat="1" applyFont="1" applyFill="1" applyAlignment="1" applyProtection="1">
      <alignment horizontal="left" vertical="center"/>
    </xf>
    <xf numFmtId="165" fontId="2" fillId="0" borderId="31" xfId="3" applyNumberFormat="1" applyFont="1" applyFill="1" applyBorder="1" applyAlignment="1" applyProtection="1">
      <alignment horizontal="left" vertical="center" wrapText="1"/>
    </xf>
    <xf numFmtId="49" fontId="23" fillId="0" borderId="37" xfId="3" applyNumberFormat="1" applyFont="1" applyFill="1" applyBorder="1" applyAlignment="1" applyProtection="1">
      <alignment horizontal="left" vertical="center"/>
    </xf>
    <xf numFmtId="49" fontId="23" fillId="0" borderId="2" xfId="3" applyNumberFormat="1" applyFont="1" applyFill="1" applyBorder="1" applyAlignment="1" applyProtection="1">
      <alignment horizontal="center" vertical="center"/>
    </xf>
    <xf numFmtId="49" fontId="23" fillId="0" borderId="41" xfId="3" applyNumberFormat="1" applyFont="1" applyFill="1" applyBorder="1" applyAlignment="1" applyProtection="1">
      <alignment horizontal="left" vertical="center"/>
    </xf>
    <xf numFmtId="49" fontId="24" fillId="6" borderId="47" xfId="3" applyNumberFormat="1" applyFont="1" applyFill="1" applyBorder="1" applyAlignment="1" applyProtection="1">
      <alignment horizontal="left" vertical="center"/>
    </xf>
    <xf numFmtId="49" fontId="26" fillId="0" borderId="0" xfId="3" applyNumberFormat="1" applyFont="1" applyFill="1" applyAlignment="1" applyProtection="1">
      <alignment horizontal="left" vertical="center"/>
    </xf>
    <xf numFmtId="0" fontId="27" fillId="0" borderId="0" xfId="3" applyFont="1" applyFill="1" applyAlignment="1" applyProtection="1">
      <alignment horizontal="left" vertical="center" wrapText="1"/>
    </xf>
    <xf numFmtId="0" fontId="2" fillId="0" borderId="34" xfId="3" applyFont="1" applyFill="1" applyBorder="1" applyAlignment="1" applyProtection="1">
      <alignment horizontal="left" vertical="center" wrapText="1"/>
    </xf>
    <xf numFmtId="165" fontId="2" fillId="0" borderId="23" xfId="3" applyNumberFormat="1" applyFont="1" applyFill="1" applyBorder="1" applyAlignment="1" applyProtection="1">
      <alignment horizontal="left" vertical="center" wrapText="1"/>
    </xf>
    <xf numFmtId="49" fontId="2" fillId="0" borderId="23" xfId="3" applyNumberFormat="1" applyFont="1" applyFill="1" applyBorder="1" applyAlignment="1" applyProtection="1">
      <alignment horizontal="left" vertical="center"/>
    </xf>
    <xf numFmtId="0" fontId="2" fillId="0" borderId="23" xfId="3" applyFont="1" applyFill="1" applyBorder="1" applyAlignment="1" applyProtection="1">
      <alignment horizontal="left" vertical="center" wrapText="1"/>
    </xf>
    <xf numFmtId="0" fontId="2" fillId="0" borderId="35" xfId="3" applyFont="1" applyFill="1" applyBorder="1" applyAlignment="1" applyProtection="1">
      <alignment horizontal="left" vertical="center" wrapText="1"/>
    </xf>
    <xf numFmtId="0" fontId="28" fillId="0" borderId="0" xfId="3" applyFont="1" applyFill="1" applyAlignment="1" applyProtection="1">
      <alignment horizontal="left" vertical="top" wrapText="1"/>
    </xf>
    <xf numFmtId="49" fontId="24" fillId="6" borderId="0" xfId="3" applyNumberFormat="1" applyFont="1" applyFill="1" applyAlignment="1" applyProtection="1">
      <alignment horizontal="left" vertical="center"/>
    </xf>
    <xf numFmtId="49" fontId="29" fillId="0" borderId="0" xfId="3" applyNumberFormat="1" applyFont="1" applyFill="1" applyAlignment="1" applyProtection="1">
      <alignment horizontal="left" vertical="center"/>
    </xf>
    <xf numFmtId="0" fontId="30" fillId="0" borderId="12" xfId="3" applyFont="1" applyFill="1" applyBorder="1" applyAlignment="1" applyProtection="1">
      <alignment horizontal="left" vertical="top" wrapText="1"/>
    </xf>
    <xf numFmtId="0" fontId="30" fillId="0" borderId="9" xfId="3" applyFont="1" applyFill="1" applyBorder="1" applyAlignment="1" applyProtection="1">
      <alignment horizontal="left" vertical="top" wrapText="1"/>
    </xf>
    <xf numFmtId="49" fontId="29" fillId="0" borderId="12" xfId="3" applyNumberFormat="1" applyFont="1" applyFill="1" applyBorder="1" applyAlignment="1" applyProtection="1">
      <alignment horizontal="left" vertical="center"/>
    </xf>
    <xf numFmtId="49" fontId="23" fillId="0" borderId="9" xfId="3" applyNumberFormat="1" applyFont="1" applyFill="1" applyBorder="1" applyAlignment="1" applyProtection="1">
      <alignment horizontal="left" vertical="center"/>
    </xf>
    <xf numFmtId="0" fontId="0" fillId="0" borderId="0" xfId="0" applyFill="1"/>
    <xf numFmtId="49" fontId="29" fillId="0" borderId="7" xfId="3" applyNumberFormat="1" applyFont="1" applyFill="1" applyBorder="1" applyAlignment="1" applyProtection="1">
      <alignment horizontal="left" vertical="center"/>
    </xf>
  </cellXfs>
  <cellStyles count="4">
    <cellStyle name="Normální" xfId="0" builtinId="0" customBuiltin="1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.%20Zak&#225;zky\02.ARCHIV\Archiv%202018\18017%20M&#218;%20&#268;esk&#225;%20L&#237;pa-infocentrum\2.%20P%20R%20O%20J%20E%20K%20T\2.%20ARCHIV%20-%20KOMPLETACE\V&#253;kaz%20v&#253;m&#283;r\UT%20polo&#382;kov&#253;%20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_list"/>
      <sheetName val="Rekapitulace"/>
      <sheetName val="VzorPolozky"/>
      <sheetName val="Krycí_lis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_pro_vyplnění"/>
      <sheetName val="Stavba"/>
      <sheetName val="VzorPolozky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I1" sqref="I1"/>
    </sheetView>
  </sheetViews>
  <sheetFormatPr defaultRowHeight="12.75" x14ac:dyDescent="0.2"/>
  <cols>
    <col min="1" max="1" width="9.140625" customWidth="1"/>
  </cols>
  <sheetData>
    <row r="1" spans="1:7" x14ac:dyDescent="0.2">
      <c r="A1" s="1" t="s">
        <v>0</v>
      </c>
    </row>
    <row r="2" spans="1:7" ht="57.75" customHeight="1" x14ac:dyDescent="0.2">
      <c r="A2" s="277" t="s">
        <v>1</v>
      </c>
      <c r="B2" s="277"/>
      <c r="C2" s="277"/>
      <c r="D2" s="277"/>
      <c r="E2" s="277"/>
      <c r="F2" s="277"/>
      <c r="G2" s="277"/>
    </row>
  </sheetData>
  <mergeCells count="1">
    <mergeCell ref="A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0"/>
  <sheetViews>
    <sheetView topLeftCell="B1" workbookViewId="0">
      <selection activeCell="K1" sqref="K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8" customWidth="1"/>
    <col min="8" max="8" width="12.7109375" customWidth="1"/>
    <col min="9" max="9" width="12.7109375" style="28" customWidth="1"/>
    <col min="10" max="10" width="6.7109375" style="28" customWidth="1"/>
    <col min="11" max="11" width="4.28515625" customWidth="1"/>
    <col min="12" max="15" width="10.7109375" customWidth="1"/>
    <col min="16" max="51" width="9" customWidth="1"/>
    <col min="52" max="52" width="93.140625" customWidth="1"/>
    <col min="53" max="53" width="9" customWidth="1"/>
  </cols>
  <sheetData>
    <row r="1" spans="1:15" ht="33.75" customHeight="1" x14ac:dyDescent="0.2">
      <c r="A1" s="2" t="s">
        <v>2</v>
      </c>
      <c r="B1" s="279" t="s">
        <v>3</v>
      </c>
      <c r="C1" s="279"/>
      <c r="D1" s="279"/>
      <c r="E1" s="279"/>
      <c r="F1" s="279"/>
      <c r="G1" s="279"/>
      <c r="H1" s="279"/>
      <c r="I1" s="279"/>
      <c r="J1" s="279"/>
    </row>
    <row r="2" spans="1:15" ht="23.25" customHeight="1" x14ac:dyDescent="0.2">
      <c r="A2" s="3"/>
      <c r="B2" s="4" t="s">
        <v>4</v>
      </c>
      <c r="C2" s="5"/>
      <c r="D2" s="280" t="s">
        <v>5</v>
      </c>
      <c r="E2" s="280"/>
      <c r="F2" s="280"/>
      <c r="G2" s="280"/>
      <c r="H2" s="280"/>
      <c r="I2" s="280"/>
      <c r="J2" s="280"/>
      <c r="O2" s="6"/>
    </row>
    <row r="3" spans="1:15" ht="23.25" customHeight="1" x14ac:dyDescent="0.2">
      <c r="A3" s="3"/>
      <c r="B3" s="7" t="s">
        <v>6</v>
      </c>
      <c r="C3" s="8"/>
      <c r="D3" s="281" t="s">
        <v>7</v>
      </c>
      <c r="E3" s="281"/>
      <c r="F3" s="281"/>
      <c r="G3" s="281"/>
      <c r="H3" s="281"/>
      <c r="I3" s="281"/>
      <c r="J3" s="281"/>
    </row>
    <row r="4" spans="1:15" ht="23.25" hidden="1" customHeight="1" x14ac:dyDescent="0.2">
      <c r="A4" s="3"/>
      <c r="B4" s="9" t="s">
        <v>8</v>
      </c>
      <c r="C4" s="10"/>
      <c r="D4" s="11"/>
      <c r="E4" s="11"/>
      <c r="F4" s="12"/>
      <c r="G4" s="13"/>
      <c r="H4" s="12"/>
      <c r="I4" s="13"/>
      <c r="J4" s="14"/>
    </row>
    <row r="5" spans="1:15" ht="24" customHeight="1" x14ac:dyDescent="0.2">
      <c r="A5" s="3"/>
      <c r="B5" s="15" t="s">
        <v>9</v>
      </c>
      <c r="D5" s="16"/>
      <c r="E5" s="17"/>
      <c r="F5" s="17"/>
      <c r="G5" s="17"/>
      <c r="H5" s="18" t="s">
        <v>10</v>
      </c>
      <c r="I5" s="16"/>
      <c r="J5" s="19"/>
    </row>
    <row r="6" spans="1:15" ht="15.75" customHeight="1" x14ac:dyDescent="0.2">
      <c r="A6" s="3"/>
      <c r="B6" s="20"/>
      <c r="C6" s="17"/>
      <c r="D6" s="16"/>
      <c r="E6" s="17"/>
      <c r="F6" s="17"/>
      <c r="G6" s="17"/>
      <c r="H6" s="18" t="s">
        <v>11</v>
      </c>
      <c r="I6" s="16"/>
      <c r="J6" s="19"/>
    </row>
    <row r="7" spans="1:15" ht="15.75" customHeight="1" x14ac:dyDescent="0.2">
      <c r="A7" s="3"/>
      <c r="B7" s="21"/>
      <c r="C7" s="22"/>
      <c r="D7" s="23"/>
      <c r="E7" s="24"/>
      <c r="F7" s="24"/>
      <c r="G7" s="24"/>
      <c r="H7" s="25"/>
      <c r="I7" s="24"/>
      <c r="J7" s="26"/>
    </row>
    <row r="8" spans="1:15" ht="24" hidden="1" customHeight="1" x14ac:dyDescent="0.2">
      <c r="A8" s="3"/>
      <c r="B8" s="15" t="s">
        <v>12</v>
      </c>
      <c r="D8" s="27"/>
      <c r="H8" s="18" t="s">
        <v>10</v>
      </c>
      <c r="I8" s="29"/>
      <c r="J8" s="19"/>
    </row>
    <row r="9" spans="1:15" ht="15.75" hidden="1" customHeight="1" x14ac:dyDescent="0.2">
      <c r="A9" s="3"/>
      <c r="B9" s="3"/>
      <c r="D9" s="27"/>
      <c r="H9" s="18" t="s">
        <v>11</v>
      </c>
      <c r="I9" s="29"/>
      <c r="J9" s="19"/>
    </row>
    <row r="10" spans="1:15" ht="15.75" hidden="1" customHeight="1" x14ac:dyDescent="0.2">
      <c r="A10" s="3"/>
      <c r="B10" s="30"/>
      <c r="C10" s="31"/>
      <c r="D10" s="32"/>
      <c r="E10" s="25"/>
      <c r="F10" s="25"/>
      <c r="G10" s="33"/>
      <c r="H10" s="33"/>
      <c r="I10" s="34"/>
      <c r="J10" s="26"/>
    </row>
    <row r="11" spans="1:15" ht="24" customHeight="1" x14ac:dyDescent="0.2">
      <c r="A11" s="3"/>
      <c r="B11" s="15" t="s">
        <v>13</v>
      </c>
      <c r="D11" s="282"/>
      <c r="E11" s="282"/>
      <c r="F11" s="282"/>
      <c r="G11" s="282"/>
      <c r="H11" s="18" t="s">
        <v>10</v>
      </c>
      <c r="I11" s="35"/>
      <c r="J11" s="19"/>
    </row>
    <row r="12" spans="1:15" ht="15.75" customHeight="1" x14ac:dyDescent="0.2">
      <c r="A12" s="3"/>
      <c r="B12" s="20"/>
      <c r="C12" s="17"/>
      <c r="D12" s="283"/>
      <c r="E12" s="283"/>
      <c r="F12" s="283"/>
      <c r="G12" s="283"/>
      <c r="H12" s="18" t="s">
        <v>11</v>
      </c>
      <c r="I12" s="35"/>
      <c r="J12" s="19"/>
    </row>
    <row r="13" spans="1:15" ht="15.75" customHeight="1" x14ac:dyDescent="0.2">
      <c r="A13" s="3"/>
      <c r="B13" s="21"/>
      <c r="C13" s="36"/>
      <c r="D13" s="278"/>
      <c r="E13" s="278"/>
      <c r="F13" s="278"/>
      <c r="G13" s="278"/>
      <c r="H13" s="37"/>
      <c r="I13" s="24"/>
      <c r="J13" s="26"/>
    </row>
    <row r="14" spans="1:15" ht="24" hidden="1" customHeight="1" x14ac:dyDescent="0.2">
      <c r="A14" s="3"/>
      <c r="B14" s="38" t="s">
        <v>14</v>
      </c>
      <c r="C14" s="39"/>
      <c r="D14" s="40"/>
      <c r="E14" s="41"/>
      <c r="F14" s="41"/>
      <c r="G14" s="41"/>
      <c r="H14" s="42"/>
      <c r="I14" s="41"/>
      <c r="J14" s="43"/>
    </row>
    <row r="15" spans="1:15" ht="32.25" customHeight="1" x14ac:dyDescent="0.2">
      <c r="A15" s="3"/>
      <c r="B15" s="30" t="s">
        <v>15</v>
      </c>
      <c r="C15" s="44"/>
      <c r="D15" s="33"/>
      <c r="E15" s="284"/>
      <c r="F15" s="284"/>
      <c r="G15" s="284"/>
      <c r="H15" s="284"/>
      <c r="I15" s="285" t="s">
        <v>16</v>
      </c>
      <c r="J15" s="285"/>
    </row>
    <row r="16" spans="1:15" ht="23.25" customHeight="1" x14ac:dyDescent="0.2">
      <c r="A16" s="45" t="s">
        <v>17</v>
      </c>
      <c r="B16" s="46" t="s">
        <v>17</v>
      </c>
      <c r="C16" s="47"/>
      <c r="D16" s="48"/>
      <c r="E16" s="286"/>
      <c r="F16" s="286"/>
      <c r="G16" s="286"/>
      <c r="H16" s="286"/>
      <c r="I16" s="287">
        <f>SUMIF(F50:F66,A16,I50:I66)+SUMIF(F50:F66,"PSU",I50:I66)</f>
        <v>0</v>
      </c>
      <c r="J16" s="287"/>
    </row>
    <row r="17" spans="1:10" ht="23.25" customHeight="1" x14ac:dyDescent="0.2">
      <c r="A17" s="45" t="s">
        <v>18</v>
      </c>
      <c r="B17" s="46" t="s">
        <v>18</v>
      </c>
      <c r="C17" s="47"/>
      <c r="D17" s="48"/>
      <c r="E17" s="286"/>
      <c r="F17" s="286"/>
      <c r="G17" s="286"/>
      <c r="H17" s="286"/>
      <c r="I17" s="287">
        <f>SUMIF(F50:F66,A17,I50:I66)</f>
        <v>0</v>
      </c>
      <c r="J17" s="287"/>
    </row>
    <row r="18" spans="1:10" ht="23.25" customHeight="1" x14ac:dyDescent="0.2">
      <c r="A18" s="45" t="s">
        <v>19</v>
      </c>
      <c r="B18" s="46" t="s">
        <v>19</v>
      </c>
      <c r="C18" s="47"/>
      <c r="D18" s="48"/>
      <c r="E18" s="286"/>
      <c r="F18" s="286"/>
      <c r="G18" s="286"/>
      <c r="H18" s="286"/>
      <c r="I18" s="287">
        <f>SUMIF(F50:F66,A18,I50:I66)</f>
        <v>0</v>
      </c>
      <c r="J18" s="287"/>
    </row>
    <row r="19" spans="1:10" ht="23.25" customHeight="1" x14ac:dyDescent="0.2">
      <c r="A19" s="45" t="s">
        <v>20</v>
      </c>
      <c r="B19" s="46" t="s">
        <v>21</v>
      </c>
      <c r="C19" s="47"/>
      <c r="D19" s="48"/>
      <c r="E19" s="286"/>
      <c r="F19" s="286"/>
      <c r="G19" s="286"/>
      <c r="H19" s="286"/>
      <c r="I19" s="287">
        <f>SUMIF(F50:F66,A19,I50:I66)</f>
        <v>0</v>
      </c>
      <c r="J19" s="287"/>
    </row>
    <row r="20" spans="1:10" ht="23.25" customHeight="1" x14ac:dyDescent="0.2">
      <c r="A20" s="45" t="s">
        <v>22</v>
      </c>
      <c r="B20" s="46" t="s">
        <v>23</v>
      </c>
      <c r="C20" s="47"/>
      <c r="D20" s="48"/>
      <c r="E20" s="286"/>
      <c r="F20" s="286"/>
      <c r="G20" s="286"/>
      <c r="H20" s="286"/>
      <c r="I20" s="287">
        <f>SUMIF(F50:F66,A20,I50:I66)</f>
        <v>0</v>
      </c>
      <c r="J20" s="287"/>
    </row>
    <row r="21" spans="1:10" ht="23.25" customHeight="1" x14ac:dyDescent="0.2">
      <c r="A21" s="3"/>
      <c r="B21" s="49" t="s">
        <v>16</v>
      </c>
      <c r="C21" s="50"/>
      <c r="D21" s="51"/>
      <c r="E21" s="286"/>
      <c r="F21" s="286"/>
      <c r="G21" s="286"/>
      <c r="H21" s="286"/>
      <c r="I21" s="289">
        <f>SUM(I16:J20)</f>
        <v>0</v>
      </c>
      <c r="J21" s="289"/>
    </row>
    <row r="22" spans="1:10" ht="33" customHeight="1" x14ac:dyDescent="0.2">
      <c r="A22" s="3"/>
      <c r="B22" s="52" t="s">
        <v>24</v>
      </c>
      <c r="C22" s="47"/>
      <c r="D22" s="48"/>
      <c r="E22" s="53"/>
      <c r="F22" s="54"/>
      <c r="G22" s="55"/>
      <c r="H22" s="55"/>
      <c r="I22" s="55"/>
      <c r="J22" s="56"/>
    </row>
    <row r="23" spans="1:10" ht="23.25" customHeight="1" x14ac:dyDescent="0.2">
      <c r="A23" s="3"/>
      <c r="B23" s="57" t="s">
        <v>25</v>
      </c>
      <c r="C23" s="47"/>
      <c r="D23" s="48"/>
      <c r="E23" s="58">
        <v>15</v>
      </c>
      <c r="F23" s="54" t="s">
        <v>26</v>
      </c>
      <c r="G23" s="290">
        <f>ZakladDPHSniVypocet</f>
        <v>0</v>
      </c>
      <c r="H23" s="290"/>
      <c r="I23" s="290"/>
      <c r="J23" s="56" t="str">
        <f t="shared" ref="J23:J28" si="0">Mena</f>
        <v>CZK</v>
      </c>
    </row>
    <row r="24" spans="1:10" ht="23.25" customHeight="1" x14ac:dyDescent="0.2">
      <c r="A24" s="3"/>
      <c r="B24" s="57" t="s">
        <v>28</v>
      </c>
      <c r="C24" s="47"/>
      <c r="D24" s="48"/>
      <c r="E24" s="58">
        <f>SazbaDPH1</f>
        <v>15</v>
      </c>
      <c r="F24" s="54" t="s">
        <v>26</v>
      </c>
      <c r="G24" s="291">
        <f>ZakladDPHSni*SazbaDPH1/100</f>
        <v>0</v>
      </c>
      <c r="H24" s="291"/>
      <c r="I24" s="291"/>
      <c r="J24" s="56" t="str">
        <f t="shared" si="0"/>
        <v>CZK</v>
      </c>
    </row>
    <row r="25" spans="1:10" ht="23.25" customHeight="1" x14ac:dyDescent="0.2">
      <c r="A25" s="3"/>
      <c r="B25" s="57" t="s">
        <v>29</v>
      </c>
      <c r="C25" s="47"/>
      <c r="D25" s="48"/>
      <c r="E25" s="58">
        <v>21</v>
      </c>
      <c r="F25" s="54" t="s">
        <v>26</v>
      </c>
      <c r="G25" s="290">
        <f>ZakladDPHZaklVypocet</f>
        <v>0</v>
      </c>
      <c r="H25" s="290"/>
      <c r="I25" s="290"/>
      <c r="J25" s="56" t="str">
        <f t="shared" si="0"/>
        <v>CZK</v>
      </c>
    </row>
    <row r="26" spans="1:10" ht="23.25" customHeight="1" x14ac:dyDescent="0.2">
      <c r="A26" s="3"/>
      <c r="B26" s="59" t="s">
        <v>30</v>
      </c>
      <c r="C26" s="60"/>
      <c r="D26" s="61"/>
      <c r="E26" s="62">
        <f>SazbaDPH2</f>
        <v>21</v>
      </c>
      <c r="F26" s="63" t="s">
        <v>26</v>
      </c>
      <c r="G26" s="291">
        <f>ZakladDPHZakl*SazbaDPH2/100</f>
        <v>0</v>
      </c>
      <c r="H26" s="291"/>
      <c r="I26" s="291"/>
      <c r="J26" s="64" t="str">
        <f t="shared" si="0"/>
        <v>CZK</v>
      </c>
    </row>
    <row r="27" spans="1:10" ht="23.25" customHeight="1" thickBot="1" x14ac:dyDescent="0.25">
      <c r="A27" s="3"/>
      <c r="B27" s="15" t="s">
        <v>31</v>
      </c>
      <c r="C27" s="65"/>
      <c r="D27" s="66"/>
      <c r="E27" s="65"/>
      <c r="F27" s="67"/>
      <c r="G27" s="292">
        <f>0</f>
        <v>0</v>
      </c>
      <c r="H27" s="292"/>
      <c r="I27" s="292"/>
      <c r="J27" s="68" t="str">
        <f t="shared" si="0"/>
        <v>CZK</v>
      </c>
    </row>
    <row r="28" spans="1:10" ht="27.75" hidden="1" customHeight="1" thickBot="1" x14ac:dyDescent="0.25">
      <c r="A28" s="3"/>
      <c r="B28" s="69" t="s">
        <v>32</v>
      </c>
      <c r="C28" s="70"/>
      <c r="D28" s="70"/>
      <c r="E28" s="71"/>
      <c r="F28" s="72"/>
      <c r="G28" s="293">
        <f>ZakladDPHSniVypocet+ZakladDPHZaklVypocet</f>
        <v>0</v>
      </c>
      <c r="H28" s="293"/>
      <c r="I28" s="293"/>
      <c r="J28" s="73" t="str">
        <f t="shared" si="0"/>
        <v>CZK</v>
      </c>
    </row>
    <row r="29" spans="1:10" ht="27.75" customHeight="1" thickBot="1" x14ac:dyDescent="0.25">
      <c r="A29" s="3"/>
      <c r="B29" s="69" t="s">
        <v>33</v>
      </c>
      <c r="C29" s="74"/>
      <c r="D29" s="74"/>
      <c r="E29" s="74"/>
      <c r="F29" s="74"/>
      <c r="G29" s="294">
        <f>ZakladDPHSni+DPHSni+ZakladDPHZakl+DPHZakl+Zaokrouhleni</f>
        <v>0</v>
      </c>
      <c r="H29" s="294"/>
      <c r="I29" s="294"/>
      <c r="J29" s="75" t="s">
        <v>27</v>
      </c>
    </row>
    <row r="30" spans="1:10" ht="12.75" customHeight="1" x14ac:dyDescent="0.2">
      <c r="A30" s="3"/>
      <c r="B30" s="3"/>
      <c r="J30" s="76"/>
    </row>
    <row r="31" spans="1:10" ht="30" customHeight="1" x14ac:dyDescent="0.2">
      <c r="A31" s="3"/>
      <c r="B31" s="3"/>
      <c r="J31" s="76"/>
    </row>
    <row r="32" spans="1:10" ht="18.75" customHeight="1" x14ac:dyDescent="0.2">
      <c r="A32" s="3"/>
      <c r="B32" s="77"/>
      <c r="C32" s="78" t="s">
        <v>34</v>
      </c>
      <c r="D32" s="79"/>
      <c r="E32" s="79"/>
      <c r="F32" s="78" t="s">
        <v>35</v>
      </c>
      <c r="G32" s="79"/>
      <c r="H32" s="80">
        <f ca="1">TODAY()</f>
        <v>43595</v>
      </c>
      <c r="I32" s="79"/>
      <c r="J32" s="76"/>
    </row>
    <row r="33" spans="1:52" ht="47.25" customHeight="1" x14ac:dyDescent="0.2">
      <c r="A33" s="3"/>
      <c r="B33" s="3"/>
      <c r="J33" s="76"/>
    </row>
    <row r="34" spans="1:52" s="1" customFormat="1" ht="18.75" customHeight="1" x14ac:dyDescent="0.2">
      <c r="A34" s="81"/>
      <c r="B34" s="81"/>
      <c r="D34" s="82"/>
      <c r="E34" s="82"/>
      <c r="G34" s="83"/>
      <c r="H34" s="82"/>
      <c r="I34" s="83"/>
      <c r="J34" s="84"/>
    </row>
    <row r="35" spans="1:52" ht="12.75" customHeight="1" x14ac:dyDescent="0.2">
      <c r="A35" s="3"/>
      <c r="B35" s="3"/>
      <c r="D35" s="295" t="s">
        <v>36</v>
      </c>
      <c r="E35" s="295"/>
      <c r="H35" s="85" t="s">
        <v>37</v>
      </c>
      <c r="J35" s="76"/>
    </row>
    <row r="36" spans="1:52" ht="13.5" customHeight="1" thickBot="1" x14ac:dyDescent="0.25">
      <c r="A36" s="86"/>
      <c r="B36" s="86"/>
      <c r="C36" s="87"/>
      <c r="D36" s="87"/>
      <c r="E36" s="87"/>
      <c r="F36" s="87"/>
      <c r="G36" s="88"/>
      <c r="H36" s="87"/>
      <c r="I36" s="88"/>
      <c r="J36" s="89"/>
    </row>
    <row r="37" spans="1:52" ht="27" hidden="1" customHeight="1" x14ac:dyDescent="0.25">
      <c r="B37" s="90" t="s">
        <v>38</v>
      </c>
      <c r="C37" s="91"/>
      <c r="D37" s="91"/>
      <c r="E37" s="91"/>
      <c r="F37" s="92"/>
      <c r="G37" s="92"/>
      <c r="H37" s="92"/>
      <c r="I37" s="92"/>
      <c r="J37" s="91"/>
    </row>
    <row r="38" spans="1:52" ht="25.5" hidden="1" customHeight="1" x14ac:dyDescent="0.2">
      <c r="A38" s="93" t="s">
        <v>39</v>
      </c>
      <c r="B38" s="94" t="s">
        <v>40</v>
      </c>
      <c r="C38" s="95" t="s">
        <v>41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42</v>
      </c>
      <c r="I38" s="98" t="s">
        <v>43</v>
      </c>
      <c r="J38" s="99" t="s">
        <v>26</v>
      </c>
    </row>
    <row r="39" spans="1:52" ht="25.5" hidden="1" customHeight="1" x14ac:dyDescent="0.2">
      <c r="A39" s="93">
        <v>0</v>
      </c>
      <c r="B39" s="100" t="s">
        <v>44</v>
      </c>
      <c r="C39" s="288" t="s">
        <v>5</v>
      </c>
      <c r="D39" s="288"/>
      <c r="E39" s="288"/>
      <c r="F39" s="101">
        <f>Celk_vč_stavební_části!AC132</f>
        <v>0</v>
      </c>
      <c r="G39" s="102">
        <f>Celk_vč_stavební_části!AD132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3"/>
      <c r="B40" s="296" t="s">
        <v>45</v>
      </c>
      <c r="C40" s="296"/>
      <c r="D40" s="296"/>
      <c r="E40" s="296"/>
      <c r="F40" s="105">
        <f>SUMIF(A39:A39,"=1",F39:F39)</f>
        <v>0</v>
      </c>
      <c r="G40" s="106">
        <f>SUMIF(A39:A39,"=1",G39:G39)</f>
        <v>0</v>
      </c>
      <c r="H40" s="106">
        <f>SUMIF(A39:A39,"=1",H39:H39)</f>
        <v>0</v>
      </c>
      <c r="I40" s="106">
        <f>SUMIF(A39:A39,"=1",I39:I39)</f>
        <v>0</v>
      </c>
      <c r="J40" s="107">
        <f>SUMIF(A39:A39,"=1",J39:J39)</f>
        <v>0</v>
      </c>
    </row>
    <row r="42" spans="1:52" x14ac:dyDescent="0.2">
      <c r="B42" t="s">
        <v>46</v>
      </c>
    </row>
    <row r="43" spans="1:52" x14ac:dyDescent="0.2">
      <c r="B43" s="297" t="s">
        <v>47</v>
      </c>
      <c r="C43" s="297"/>
      <c r="D43" s="297"/>
      <c r="E43" s="297"/>
      <c r="F43" s="297"/>
      <c r="G43" s="297"/>
      <c r="H43" s="297"/>
      <c r="I43" s="297"/>
      <c r="J43" s="297"/>
      <c r="AZ43" s="108" t="str">
        <f>B43</f>
        <v>ZÁKLADNÍ USTANOVENÍ PRO STANOVENÍ CENY DÍLA:</v>
      </c>
    </row>
    <row r="44" spans="1:52" ht="76.5" x14ac:dyDescent="0.2">
      <c r="B44" s="297" t="s">
        <v>48</v>
      </c>
      <c r="C44" s="297"/>
      <c r="D44" s="297"/>
      <c r="E44" s="297"/>
      <c r="F44" s="297"/>
      <c r="G44" s="297"/>
      <c r="H44" s="297"/>
      <c r="I44" s="297"/>
      <c r="J44" s="297"/>
      <c r="AZ44" s="108" t="str">
        <f>B44</f>
        <v>Předmětem díla je provedení všech činností, prací a dodávek obsažených ve výchozích podkladech, a to bez ohledu na to, v kterém z těchto výchozích podkladů jsou uvedeny, resp. z kterého z nich vyplývají. Předmětem díla jsou rovněž činnosti, práce a dodávky, které nejsou ve výchozích podkladech obsaženy, ale o kterých zhotovitel věděl, nebo podle svých odborných znalostí a zkušeností vědět měl a nebo mohl, že jsou k řádnému a kvalitnímu provedení díla dané povahy třeba a to i s přihlédnutím ke standardní praxi při realizaci děl analogického charakteru.</v>
      </c>
    </row>
    <row r="47" spans="1:52" ht="15.75" x14ac:dyDescent="0.25">
      <c r="B47" s="109" t="s">
        <v>49</v>
      </c>
    </row>
    <row r="49" spans="1:10" ht="25.5" customHeight="1" x14ac:dyDescent="0.2">
      <c r="A49" s="110"/>
      <c r="B49" s="111" t="s">
        <v>40</v>
      </c>
      <c r="C49" s="111" t="s">
        <v>41</v>
      </c>
      <c r="D49" s="112"/>
      <c r="E49" s="112"/>
      <c r="F49" s="113" t="s">
        <v>50</v>
      </c>
      <c r="G49" s="113"/>
      <c r="H49" s="113"/>
      <c r="I49" s="298" t="s">
        <v>16</v>
      </c>
      <c r="J49" s="298"/>
    </row>
    <row r="50" spans="1:10" ht="25.5" customHeight="1" x14ac:dyDescent="0.2">
      <c r="A50" s="114"/>
      <c r="B50" s="115" t="s">
        <v>51</v>
      </c>
      <c r="C50" s="299" t="s">
        <v>52</v>
      </c>
      <c r="D50" s="299"/>
      <c r="E50" s="299"/>
      <c r="F50" s="116" t="s">
        <v>17</v>
      </c>
      <c r="G50" s="117"/>
      <c r="H50" s="117"/>
      <c r="I50" s="300">
        <f>Celk_vč_stavební_části!G8</f>
        <v>0</v>
      </c>
      <c r="J50" s="300"/>
    </row>
    <row r="51" spans="1:10" ht="25.5" customHeight="1" x14ac:dyDescent="0.2">
      <c r="A51" s="114"/>
      <c r="B51" s="118" t="s">
        <v>53</v>
      </c>
      <c r="C51" s="301" t="s">
        <v>54</v>
      </c>
      <c r="D51" s="301"/>
      <c r="E51" s="301"/>
      <c r="F51" s="119" t="s">
        <v>17</v>
      </c>
      <c r="G51" s="120"/>
      <c r="H51" s="120"/>
      <c r="I51" s="302">
        <f>Celk_vč_stavební_části!G11</f>
        <v>0</v>
      </c>
      <c r="J51" s="302"/>
    </row>
    <row r="52" spans="1:10" ht="25.5" customHeight="1" x14ac:dyDescent="0.2">
      <c r="A52" s="114"/>
      <c r="B52" s="118" t="s">
        <v>55</v>
      </c>
      <c r="C52" s="301" t="s">
        <v>56</v>
      </c>
      <c r="D52" s="301"/>
      <c r="E52" s="301"/>
      <c r="F52" s="119" t="s">
        <v>17</v>
      </c>
      <c r="G52" s="120"/>
      <c r="H52" s="120"/>
      <c r="I52" s="302">
        <f>Celk_vč_stavební_části!G14</f>
        <v>0</v>
      </c>
      <c r="J52" s="302"/>
    </row>
    <row r="53" spans="1:10" ht="25.5" customHeight="1" x14ac:dyDescent="0.2">
      <c r="A53" s="114"/>
      <c r="B53" s="118" t="s">
        <v>57</v>
      </c>
      <c r="C53" s="301" t="s">
        <v>58</v>
      </c>
      <c r="D53" s="301"/>
      <c r="E53" s="301"/>
      <c r="F53" s="119" t="s">
        <v>17</v>
      </c>
      <c r="G53" s="120"/>
      <c r="H53" s="120"/>
      <c r="I53" s="302">
        <f>Celk_vč_stavební_části!G22</f>
        <v>0</v>
      </c>
      <c r="J53" s="302"/>
    </row>
    <row r="54" spans="1:10" ht="25.5" customHeight="1" x14ac:dyDescent="0.2">
      <c r="A54" s="114"/>
      <c r="B54" s="118" t="s">
        <v>59</v>
      </c>
      <c r="C54" s="301" t="s">
        <v>60</v>
      </c>
      <c r="D54" s="301"/>
      <c r="E54" s="301"/>
      <c r="F54" s="119" t="s">
        <v>17</v>
      </c>
      <c r="G54" s="120"/>
      <c r="H54" s="120"/>
      <c r="I54" s="302">
        <f>Celk_vč_stavební_části!G42</f>
        <v>0</v>
      </c>
      <c r="J54" s="302"/>
    </row>
    <row r="55" spans="1:10" ht="25.5" customHeight="1" x14ac:dyDescent="0.2">
      <c r="A55" s="114"/>
      <c r="B55" s="118" t="s">
        <v>61</v>
      </c>
      <c r="C55" s="301" t="s">
        <v>62</v>
      </c>
      <c r="D55" s="301"/>
      <c r="E55" s="301"/>
      <c r="F55" s="119" t="s">
        <v>17</v>
      </c>
      <c r="G55" s="120"/>
      <c r="H55" s="120"/>
      <c r="I55" s="302">
        <f>Celk_vč_stavební_části!G44</f>
        <v>0</v>
      </c>
      <c r="J55" s="302"/>
    </row>
    <row r="56" spans="1:10" ht="25.5" customHeight="1" x14ac:dyDescent="0.2">
      <c r="A56" s="114"/>
      <c r="B56" s="118" t="s">
        <v>63</v>
      </c>
      <c r="C56" s="301" t="s">
        <v>64</v>
      </c>
      <c r="D56" s="301"/>
      <c r="E56" s="301"/>
      <c r="F56" s="119" t="s">
        <v>17</v>
      </c>
      <c r="G56" s="120"/>
      <c r="H56" s="120"/>
      <c r="I56" s="302">
        <f>Celk_vč_stavební_části!G51</f>
        <v>0</v>
      </c>
      <c r="J56" s="302"/>
    </row>
    <row r="57" spans="1:10" ht="25.5" customHeight="1" x14ac:dyDescent="0.2">
      <c r="A57" s="114"/>
      <c r="B57" s="118" t="s">
        <v>65</v>
      </c>
      <c r="C57" s="301" t="s">
        <v>66</v>
      </c>
      <c r="D57" s="301"/>
      <c r="E57" s="301"/>
      <c r="F57" s="119" t="s">
        <v>17</v>
      </c>
      <c r="G57" s="120"/>
      <c r="H57" s="120"/>
      <c r="I57" s="302">
        <f>Celk_vč_stavební_části!G70</f>
        <v>0</v>
      </c>
      <c r="J57" s="302"/>
    </row>
    <row r="58" spans="1:10" ht="25.5" customHeight="1" x14ac:dyDescent="0.2">
      <c r="A58" s="114"/>
      <c r="B58" s="118" t="s">
        <v>67</v>
      </c>
      <c r="C58" s="301" t="s">
        <v>68</v>
      </c>
      <c r="D58" s="301"/>
      <c r="E58" s="301"/>
      <c r="F58" s="119" t="s">
        <v>18</v>
      </c>
      <c r="G58" s="120"/>
      <c r="H58" s="120"/>
      <c r="I58" s="302">
        <f>Celk_vč_stavební_části!G72</f>
        <v>0</v>
      </c>
      <c r="J58" s="302"/>
    </row>
    <row r="59" spans="1:10" ht="25.5" customHeight="1" x14ac:dyDescent="0.2">
      <c r="A59" s="114"/>
      <c r="B59" s="118" t="s">
        <v>69</v>
      </c>
      <c r="C59" s="301" t="s">
        <v>70</v>
      </c>
      <c r="D59" s="301"/>
      <c r="E59" s="301"/>
      <c r="F59" s="119" t="s">
        <v>18</v>
      </c>
      <c r="G59" s="120"/>
      <c r="H59" s="120"/>
      <c r="I59" s="302">
        <f>Celk_vč_stavební_části!G75</f>
        <v>0</v>
      </c>
      <c r="J59" s="302"/>
    </row>
    <row r="60" spans="1:10" ht="25.5" customHeight="1" x14ac:dyDescent="0.2">
      <c r="A60" s="114"/>
      <c r="B60" s="118" t="s">
        <v>71</v>
      </c>
      <c r="C60" s="301" t="s">
        <v>72</v>
      </c>
      <c r="D60" s="301"/>
      <c r="E60" s="301"/>
      <c r="F60" s="119" t="s">
        <v>18</v>
      </c>
      <c r="G60" s="120"/>
      <c r="H60" s="120"/>
      <c r="I60" s="302">
        <f>Celk_vč_stavební_části!G81</f>
        <v>0</v>
      </c>
      <c r="J60" s="302"/>
    </row>
    <row r="61" spans="1:10" ht="25.5" customHeight="1" x14ac:dyDescent="0.2">
      <c r="A61" s="114"/>
      <c r="B61" s="118" t="s">
        <v>73</v>
      </c>
      <c r="C61" s="301" t="s">
        <v>74</v>
      </c>
      <c r="D61" s="301"/>
      <c r="E61" s="301"/>
      <c r="F61" s="119" t="s">
        <v>18</v>
      </c>
      <c r="G61" s="120"/>
      <c r="H61" s="120"/>
      <c r="I61" s="302">
        <f>Celk_vč_stavební_části!G99</f>
        <v>0</v>
      </c>
      <c r="J61" s="302"/>
    </row>
    <row r="62" spans="1:10" ht="25.5" customHeight="1" x14ac:dyDescent="0.2">
      <c r="A62" s="114"/>
      <c r="B62" s="118" t="s">
        <v>75</v>
      </c>
      <c r="C62" s="301" t="s">
        <v>76</v>
      </c>
      <c r="D62" s="301"/>
      <c r="E62" s="301"/>
      <c r="F62" s="119" t="s">
        <v>18</v>
      </c>
      <c r="G62" s="120"/>
      <c r="H62" s="120"/>
      <c r="I62" s="302">
        <f>Celk_vč_stavební_části!G102</f>
        <v>0</v>
      </c>
      <c r="J62" s="302"/>
    </row>
    <row r="63" spans="1:10" ht="25.5" customHeight="1" x14ac:dyDescent="0.2">
      <c r="A63" s="114"/>
      <c r="B63" s="118" t="s">
        <v>77</v>
      </c>
      <c r="C63" s="301" t="s">
        <v>78</v>
      </c>
      <c r="D63" s="301"/>
      <c r="E63" s="301"/>
      <c r="F63" s="119" t="s">
        <v>18</v>
      </c>
      <c r="G63" s="120"/>
      <c r="H63" s="120"/>
      <c r="I63" s="302">
        <f>Celk_vč_stavební_části!G108</f>
        <v>0</v>
      </c>
      <c r="J63" s="302"/>
    </row>
    <row r="64" spans="1:10" ht="25.5" customHeight="1" x14ac:dyDescent="0.2">
      <c r="A64" s="114"/>
      <c r="B64" s="118" t="s">
        <v>79</v>
      </c>
      <c r="C64" s="301" t="s">
        <v>80</v>
      </c>
      <c r="D64" s="301"/>
      <c r="E64" s="301"/>
      <c r="F64" s="119" t="s">
        <v>19</v>
      </c>
      <c r="G64" s="120"/>
      <c r="H64" s="120"/>
      <c r="I64" s="302">
        <f>Celk_vč_stavební_části!G117</f>
        <v>0</v>
      </c>
      <c r="J64" s="302"/>
    </row>
    <row r="65" spans="1:10" ht="25.5" customHeight="1" x14ac:dyDescent="0.2">
      <c r="A65" s="114"/>
      <c r="B65" s="118" t="s">
        <v>81</v>
      </c>
      <c r="C65" s="301" t="s">
        <v>82</v>
      </c>
      <c r="D65" s="301"/>
      <c r="E65" s="301"/>
      <c r="F65" s="119" t="s">
        <v>19</v>
      </c>
      <c r="G65" s="120"/>
      <c r="H65" s="120"/>
      <c r="I65" s="302">
        <f>Celk_vč_stavební_části!G119</f>
        <v>0</v>
      </c>
      <c r="J65" s="302"/>
    </row>
    <row r="66" spans="1:10" ht="25.5" customHeight="1" x14ac:dyDescent="0.2">
      <c r="A66" s="114"/>
      <c r="B66" s="121" t="s">
        <v>20</v>
      </c>
      <c r="C66" s="303" t="s">
        <v>21</v>
      </c>
      <c r="D66" s="303"/>
      <c r="E66" s="303"/>
      <c r="F66" s="122" t="s">
        <v>20</v>
      </c>
      <c r="G66" s="123"/>
      <c r="H66" s="123"/>
      <c r="I66" s="304">
        <f>Celk_vč_stavební_části!G128</f>
        <v>0</v>
      </c>
      <c r="J66" s="304"/>
    </row>
    <row r="67" spans="1:10" ht="25.5" customHeight="1" x14ac:dyDescent="0.2">
      <c r="A67" s="124"/>
      <c r="B67" s="125" t="s">
        <v>43</v>
      </c>
      <c r="C67" s="125"/>
      <c r="D67" s="126"/>
      <c r="E67" s="126"/>
      <c r="F67" s="127"/>
      <c r="G67" s="128"/>
      <c r="H67" s="128"/>
      <c r="I67" s="305">
        <f>SUM(I50:I66)</f>
        <v>0</v>
      </c>
      <c r="J67" s="305"/>
    </row>
    <row r="68" spans="1:10" x14ac:dyDescent="0.2">
      <c r="F68" s="129"/>
      <c r="G68" s="130"/>
      <c r="H68" s="129"/>
      <c r="I68" s="130"/>
      <c r="J68" s="130"/>
    </row>
    <row r="69" spans="1:10" x14ac:dyDescent="0.2">
      <c r="F69" s="129"/>
      <c r="G69" s="130"/>
      <c r="H69" s="129"/>
      <c r="I69" s="130"/>
      <c r="J69" s="130"/>
    </row>
    <row r="70" spans="1:10" x14ac:dyDescent="0.2">
      <c r="F70" s="129"/>
      <c r="G70" s="130"/>
      <c r="H70" s="129"/>
      <c r="I70" s="130"/>
      <c r="J70" s="130"/>
    </row>
  </sheetData>
  <mergeCells count="75">
    <mergeCell ref="C66:E66"/>
    <mergeCell ref="I66:J66"/>
    <mergeCell ref="I67:J67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B40:E40"/>
    <mergeCell ref="B43:J43"/>
    <mergeCell ref="B44:J44"/>
    <mergeCell ref="I49:J49"/>
    <mergeCell ref="C50:E50"/>
    <mergeCell ref="I50:J50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505" right="0.19685039370078702" top="0.59055118110236182" bottom="0.39370078740157405" header="0" footer="0.19685039370078702"/>
  <pageSetup paperSize="0" fitToWidth="0" fitToHeight="0" orientation="portrait" horizontalDpi="0" verticalDpi="0" copies="0"/>
  <headerFooter alignWithMargins="0">
    <oddFooter>&amp;L&amp;9Zpracováno programem &amp;"Calibri,Bold"RTS Stavitel +,  © RTS, a.s.&amp;R&amp;9Stránka &amp;P z 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workbookViewId="0"/>
  </sheetViews>
  <sheetFormatPr defaultRowHeight="12.75" x14ac:dyDescent="0.2"/>
  <cols>
    <col min="1" max="1" width="4.28515625" style="132" customWidth="1"/>
    <col min="2" max="2" width="14.42578125" style="132" customWidth="1"/>
    <col min="3" max="3" width="38.28515625" style="138" customWidth="1"/>
    <col min="4" max="4" width="4.5703125" style="132" customWidth="1"/>
    <col min="5" max="5" width="10.5703125" style="132" customWidth="1"/>
    <col min="6" max="6" width="9.85546875" style="132" customWidth="1"/>
    <col min="7" max="7" width="12.7109375" style="132" customWidth="1"/>
    <col min="8" max="8" width="9.140625" style="132" customWidth="1"/>
    <col min="9" max="16384" width="9.140625" style="132"/>
  </cols>
  <sheetData>
    <row r="1" spans="1:7" ht="15.75" x14ac:dyDescent="0.2">
      <c r="A1" s="306" t="s">
        <v>83</v>
      </c>
      <c r="B1" s="306"/>
      <c r="C1" s="306"/>
      <c r="D1" s="306"/>
      <c r="E1" s="306"/>
      <c r="F1" s="306"/>
      <c r="G1" s="306"/>
    </row>
    <row r="2" spans="1:7" ht="24.95" customHeight="1" x14ac:dyDescent="0.2">
      <c r="A2" s="133" t="s">
        <v>84</v>
      </c>
      <c r="B2" s="134"/>
      <c r="C2" s="307"/>
      <c r="D2" s="307"/>
      <c r="E2" s="307"/>
      <c r="F2" s="307"/>
      <c r="G2" s="307"/>
    </row>
    <row r="3" spans="1:7" ht="24.95" hidden="1" customHeight="1" x14ac:dyDescent="0.2">
      <c r="A3" s="133" t="s">
        <v>85</v>
      </c>
      <c r="B3" s="134"/>
      <c r="C3" s="307"/>
      <c r="D3" s="307"/>
      <c r="E3" s="307"/>
      <c r="F3" s="307"/>
      <c r="G3" s="307"/>
    </row>
    <row r="4" spans="1:7" ht="24.95" hidden="1" customHeight="1" x14ac:dyDescent="0.2">
      <c r="A4" s="133" t="s">
        <v>86</v>
      </c>
      <c r="B4" s="134"/>
      <c r="C4" s="307"/>
      <c r="D4" s="307"/>
      <c r="E4" s="307"/>
      <c r="F4" s="307"/>
      <c r="G4" s="307"/>
    </row>
    <row r="5" spans="1:7" hidden="1" x14ac:dyDescent="0.2">
      <c r="B5" s="135"/>
      <c r="C5" s="136"/>
      <c r="D5" s="137"/>
    </row>
  </sheetData>
  <mergeCells count="4">
    <mergeCell ref="A1:G1"/>
    <mergeCell ref="C2:G2"/>
    <mergeCell ref="C3:G3"/>
    <mergeCell ref="C4:G4"/>
  </mergeCells>
  <pageMargins left="0.59055118110236182" right="0.39370078740157505" top="0.59055118110236204" bottom="0.98425196850393704" header="0.19685039370078702" footer="0.511811023622047"/>
  <pageSetup paperSize="0" fitToWidth="0" fitToHeight="0" orientation="portrait" horizontalDpi="0" verticalDpi="0" copies="0"/>
  <headerFooter alignWithMargins="0">
    <oddFooter>&amp;L&amp;9Zpracováno programem &amp;"Calibri,Bold"RTS Stavitel +,  © RTS, a.s.&amp;R&amp;"Arial,Regular"Strana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42"/>
  <sheetViews>
    <sheetView tabSelected="1" topLeftCell="A120" workbookViewId="0">
      <selection activeCell="C142" sqref="C142"/>
    </sheetView>
  </sheetViews>
  <sheetFormatPr defaultRowHeight="12.75" outlineLevelRow="1" x14ac:dyDescent="0.2"/>
  <cols>
    <col min="1" max="1" width="4.28515625" customWidth="1"/>
    <col min="2" max="2" width="14.42578125" style="143" customWidth="1"/>
    <col min="3" max="3" width="38.28515625" style="14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2" max="28" width="9.140625" customWidth="1"/>
    <col min="29" max="39" width="0" hidden="1" customWidth="1"/>
    <col min="40" max="52" width="9.140625" customWidth="1"/>
    <col min="53" max="53" width="73.42578125" customWidth="1"/>
    <col min="54" max="54" width="9.140625" customWidth="1"/>
  </cols>
  <sheetData>
    <row r="1" spans="1:60" ht="15.75" customHeight="1" x14ac:dyDescent="0.25">
      <c r="A1" s="309" t="s">
        <v>83</v>
      </c>
      <c r="B1" s="309"/>
      <c r="C1" s="309"/>
      <c r="D1" s="309"/>
      <c r="E1" s="309"/>
      <c r="F1" s="309"/>
      <c r="G1" s="309"/>
      <c r="AE1" t="s">
        <v>87</v>
      </c>
    </row>
    <row r="2" spans="1:60" ht="24.95" customHeight="1" x14ac:dyDescent="0.2">
      <c r="A2" s="133" t="s">
        <v>88</v>
      </c>
      <c r="B2" s="134"/>
      <c r="C2" s="310" t="s">
        <v>5</v>
      </c>
      <c r="D2" s="310"/>
      <c r="E2" s="310"/>
      <c r="F2" s="310"/>
      <c r="G2" s="310"/>
      <c r="AE2" t="s">
        <v>89</v>
      </c>
    </row>
    <row r="3" spans="1:60" ht="24.95" customHeight="1" x14ac:dyDescent="0.2">
      <c r="A3" s="133" t="s">
        <v>85</v>
      </c>
      <c r="B3" s="134"/>
      <c r="C3" s="310" t="s">
        <v>7</v>
      </c>
      <c r="D3" s="310"/>
      <c r="E3" s="310"/>
      <c r="F3" s="310"/>
      <c r="G3" s="310"/>
      <c r="AE3" t="s">
        <v>90</v>
      </c>
    </row>
    <row r="4" spans="1:60" ht="24.95" hidden="1" customHeight="1" x14ac:dyDescent="0.2">
      <c r="A4" s="133" t="s">
        <v>86</v>
      </c>
      <c r="B4" s="134"/>
      <c r="C4" s="307"/>
      <c r="D4" s="307"/>
      <c r="E4" s="307"/>
      <c r="F4" s="307"/>
      <c r="G4" s="307"/>
      <c r="AE4" t="s">
        <v>91</v>
      </c>
    </row>
    <row r="5" spans="1:60" hidden="1" x14ac:dyDescent="0.2">
      <c r="A5" s="131" t="s">
        <v>92</v>
      </c>
      <c r="B5" s="139"/>
      <c r="C5" s="140"/>
      <c r="D5" s="141"/>
      <c r="E5" s="141"/>
      <c r="F5" s="141"/>
      <c r="G5" s="142"/>
      <c r="AE5" t="s">
        <v>93</v>
      </c>
    </row>
    <row r="7" spans="1:60" ht="38.25" x14ac:dyDescent="0.2">
      <c r="A7" s="144" t="s">
        <v>94</v>
      </c>
      <c r="B7" s="145" t="s">
        <v>95</v>
      </c>
      <c r="C7" s="145" t="s">
        <v>96</v>
      </c>
      <c r="D7" s="144" t="s">
        <v>97</v>
      </c>
      <c r="E7" s="144" t="s">
        <v>98</v>
      </c>
      <c r="F7" s="146" t="s">
        <v>99</v>
      </c>
      <c r="G7" s="144" t="s">
        <v>16</v>
      </c>
      <c r="H7" s="147" t="s">
        <v>100</v>
      </c>
      <c r="I7" s="147" t="s">
        <v>101</v>
      </c>
      <c r="J7" s="147" t="s">
        <v>102</v>
      </c>
      <c r="K7" s="147" t="s">
        <v>103</v>
      </c>
      <c r="L7" s="147" t="s">
        <v>104</v>
      </c>
      <c r="M7" s="147" t="s">
        <v>105</v>
      </c>
      <c r="N7" s="147" t="s">
        <v>106</v>
      </c>
      <c r="O7" s="147" t="s">
        <v>107</v>
      </c>
      <c r="P7" s="147" t="s">
        <v>108</v>
      </c>
      <c r="Q7" s="147" t="s">
        <v>109</v>
      </c>
      <c r="R7" s="147" t="s">
        <v>110</v>
      </c>
      <c r="S7" s="147" t="s">
        <v>111</v>
      </c>
      <c r="T7" s="147" t="s">
        <v>112</v>
      </c>
      <c r="U7" s="147" t="s">
        <v>113</v>
      </c>
    </row>
    <row r="8" spans="1:60" x14ac:dyDescent="0.2">
      <c r="A8" s="148" t="s">
        <v>114</v>
      </c>
      <c r="B8" s="149" t="s">
        <v>51</v>
      </c>
      <c r="C8" s="150" t="s">
        <v>52</v>
      </c>
      <c r="D8" s="151"/>
      <c r="E8" s="152"/>
      <c r="F8" s="153"/>
      <c r="G8" s="153">
        <f>SUMIF(AE9:AE10,"&lt;&gt;NOR",G9:G10)</f>
        <v>0</v>
      </c>
      <c r="H8" s="153"/>
      <c r="I8" s="153">
        <f>SUM(I9:I10)</f>
        <v>0</v>
      </c>
      <c r="J8" s="153"/>
      <c r="K8" s="153">
        <f>SUM(K9:K10)</f>
        <v>0</v>
      </c>
      <c r="L8" s="153"/>
      <c r="M8" s="153">
        <f>SUM(M9:M10)</f>
        <v>0</v>
      </c>
      <c r="N8" s="151"/>
      <c r="O8" s="151">
        <f>SUM(O9:O10)</f>
        <v>4.4667300000000001</v>
      </c>
      <c r="P8" s="151"/>
      <c r="Q8" s="151">
        <f>SUM(Q9:Q10)</f>
        <v>0</v>
      </c>
      <c r="R8" s="151"/>
      <c r="S8" s="151"/>
      <c r="T8" s="148"/>
      <c r="U8" s="151">
        <f>SUM(U9:U10)</f>
        <v>8.7899999999999991</v>
      </c>
      <c r="AE8" t="s">
        <v>115</v>
      </c>
    </row>
    <row r="9" spans="1:60" outlineLevel="1" x14ac:dyDescent="0.2">
      <c r="A9" s="154">
        <v>1</v>
      </c>
      <c r="B9" s="154" t="s">
        <v>116</v>
      </c>
      <c r="C9" s="155" t="s">
        <v>117</v>
      </c>
      <c r="D9" s="156" t="s">
        <v>118</v>
      </c>
      <c r="E9" s="157">
        <v>2.2879999999999998</v>
      </c>
      <c r="F9" s="158"/>
      <c r="G9" s="159">
        <f>ROUND(E9*F9,2)</f>
        <v>0</v>
      </c>
      <c r="H9" s="158"/>
      <c r="I9" s="159">
        <f>ROUND(E9*H9,2)</f>
        <v>0</v>
      </c>
      <c r="J9" s="158"/>
      <c r="K9" s="159">
        <f>ROUND(E9*J9,2)</f>
        <v>0</v>
      </c>
      <c r="L9" s="159">
        <v>21</v>
      </c>
      <c r="M9" s="159">
        <f>G9*(1+L9/100)</f>
        <v>0</v>
      </c>
      <c r="N9" s="156">
        <v>1.95224</v>
      </c>
      <c r="O9" s="156">
        <f>ROUND(E9*N9,5)</f>
        <v>4.4667300000000001</v>
      </c>
      <c r="P9" s="156">
        <v>0</v>
      </c>
      <c r="Q9" s="156">
        <f>ROUND(E9*P9,5)</f>
        <v>0</v>
      </c>
      <c r="R9" s="156"/>
      <c r="S9" s="156"/>
      <c r="T9" s="160">
        <v>3.8420000000000001</v>
      </c>
      <c r="U9" s="156">
        <f>ROUND(E9*T9,2)</f>
        <v>8.7899999999999991</v>
      </c>
      <c r="V9" s="161"/>
      <c r="W9" s="161"/>
      <c r="X9" s="161"/>
      <c r="Y9" s="161"/>
      <c r="Z9" s="161"/>
      <c r="AA9" s="161"/>
      <c r="AB9" s="161"/>
      <c r="AC9" s="161"/>
      <c r="AD9" s="161"/>
      <c r="AE9" s="161" t="s">
        <v>119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54"/>
      <c r="B10" s="154"/>
      <c r="C10" s="162" t="s">
        <v>120</v>
      </c>
      <c r="D10" s="163"/>
      <c r="E10" s="164">
        <v>2.2879999999999998</v>
      </c>
      <c r="F10" s="159"/>
      <c r="G10" s="159"/>
      <c r="H10" s="159"/>
      <c r="I10" s="159"/>
      <c r="J10" s="159"/>
      <c r="K10" s="159"/>
      <c r="L10" s="159"/>
      <c r="M10" s="159"/>
      <c r="N10" s="156"/>
      <c r="O10" s="156"/>
      <c r="P10" s="156"/>
      <c r="Q10" s="156"/>
      <c r="R10" s="156"/>
      <c r="S10" s="156"/>
      <c r="T10" s="160"/>
      <c r="U10" s="156"/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121</v>
      </c>
      <c r="AF10" s="161">
        <v>0</v>
      </c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x14ac:dyDescent="0.2">
      <c r="A11" s="165" t="s">
        <v>114</v>
      </c>
      <c r="B11" s="165" t="s">
        <v>53</v>
      </c>
      <c r="C11" s="166" t="s">
        <v>54</v>
      </c>
      <c r="D11" s="167"/>
      <c r="E11" s="168"/>
      <c r="F11" s="169"/>
      <c r="G11" s="169">
        <f>SUMIF(AE12:AE13,"&lt;&gt;NOR",G12:G13)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7"/>
      <c r="O11" s="167">
        <f>SUM(O12:O13)</f>
        <v>0.13671</v>
      </c>
      <c r="P11" s="167"/>
      <c r="Q11" s="167">
        <f>SUM(Q12:Q13)</f>
        <v>0</v>
      </c>
      <c r="R11" s="167"/>
      <c r="S11" s="167"/>
      <c r="T11" s="170"/>
      <c r="U11" s="167">
        <f>SUM(U12:U13)</f>
        <v>7.6</v>
      </c>
      <c r="AE11" t="s">
        <v>115</v>
      </c>
    </row>
    <row r="12" spans="1:60" outlineLevel="1" x14ac:dyDescent="0.2">
      <c r="A12" s="154">
        <v>2</v>
      </c>
      <c r="B12" s="154" t="s">
        <v>122</v>
      </c>
      <c r="C12" s="155" t="s">
        <v>123</v>
      </c>
      <c r="D12" s="156" t="s">
        <v>124</v>
      </c>
      <c r="E12" s="157">
        <v>31</v>
      </c>
      <c r="F12" s="158"/>
      <c r="G12" s="159">
        <f>ROUND(E12*F12,2)</f>
        <v>0</v>
      </c>
      <c r="H12" s="158"/>
      <c r="I12" s="159">
        <f>ROUND(E12*H12,2)</f>
        <v>0</v>
      </c>
      <c r="J12" s="158"/>
      <c r="K12" s="159">
        <f>ROUND(E12*J12,2)</f>
        <v>0</v>
      </c>
      <c r="L12" s="159">
        <v>21</v>
      </c>
      <c r="M12" s="159">
        <f>G12*(1+L12/100)</f>
        <v>0</v>
      </c>
      <c r="N12" s="156">
        <v>4.4099999999999999E-3</v>
      </c>
      <c r="O12" s="156">
        <f>ROUND(E12*N12,5)</f>
        <v>0.13671</v>
      </c>
      <c r="P12" s="156">
        <v>0</v>
      </c>
      <c r="Q12" s="156">
        <f>ROUND(E12*P12,5)</f>
        <v>0</v>
      </c>
      <c r="R12" s="156"/>
      <c r="S12" s="156"/>
      <c r="T12" s="160">
        <v>0.245</v>
      </c>
      <c r="U12" s="156">
        <f>ROUND(E12*T12,2)</f>
        <v>7.6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 t="s">
        <v>119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54"/>
      <c r="B13" s="154"/>
      <c r="C13" s="162" t="s">
        <v>125</v>
      </c>
      <c r="D13" s="163"/>
      <c r="E13" s="164">
        <v>31</v>
      </c>
      <c r="F13" s="159"/>
      <c r="G13" s="159"/>
      <c r="H13" s="159"/>
      <c r="I13" s="159"/>
      <c r="J13" s="159"/>
      <c r="K13" s="159"/>
      <c r="L13" s="159"/>
      <c r="M13" s="159"/>
      <c r="N13" s="156"/>
      <c r="O13" s="156"/>
      <c r="P13" s="156"/>
      <c r="Q13" s="156"/>
      <c r="R13" s="156"/>
      <c r="S13" s="156"/>
      <c r="T13" s="160"/>
      <c r="U13" s="156"/>
      <c r="V13" s="161"/>
      <c r="W13" s="161"/>
      <c r="X13" s="161"/>
      <c r="Y13" s="161"/>
      <c r="Z13" s="161"/>
      <c r="AA13" s="161"/>
      <c r="AB13" s="161"/>
      <c r="AC13" s="161"/>
      <c r="AD13" s="161"/>
      <c r="AE13" s="161" t="s">
        <v>121</v>
      </c>
      <c r="AF13" s="161">
        <v>0</v>
      </c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x14ac:dyDescent="0.2">
      <c r="A14" s="165" t="s">
        <v>114</v>
      </c>
      <c r="B14" s="165" t="s">
        <v>55</v>
      </c>
      <c r="C14" s="166" t="s">
        <v>56</v>
      </c>
      <c r="D14" s="167"/>
      <c r="E14" s="168"/>
      <c r="F14" s="169"/>
      <c r="G14" s="169">
        <f>SUMIF(AE15:AE21,"&lt;&gt;NOR",G15:G21)</f>
        <v>0</v>
      </c>
      <c r="H14" s="169"/>
      <c r="I14" s="169">
        <f>SUM(I15:I21)</f>
        <v>0</v>
      </c>
      <c r="J14" s="169"/>
      <c r="K14" s="169">
        <f>SUM(K15:K21)</f>
        <v>0</v>
      </c>
      <c r="L14" s="169"/>
      <c r="M14" s="169">
        <f>SUM(M15:M21)</f>
        <v>0</v>
      </c>
      <c r="N14" s="167"/>
      <c r="O14" s="167">
        <f>SUM(O15:O21)</f>
        <v>1.45756</v>
      </c>
      <c r="P14" s="167"/>
      <c r="Q14" s="167">
        <f>SUM(Q15:Q21)</f>
        <v>0.68799999999999994</v>
      </c>
      <c r="R14" s="167"/>
      <c r="S14" s="167"/>
      <c r="T14" s="170"/>
      <c r="U14" s="167">
        <f>SUM(U15:U21)</f>
        <v>63.83</v>
      </c>
      <c r="AE14" t="s">
        <v>115</v>
      </c>
    </row>
    <row r="15" spans="1:60" ht="22.5" outlineLevel="1" x14ac:dyDescent="0.2">
      <c r="A15" s="154">
        <v>3</v>
      </c>
      <c r="B15" s="154" t="s">
        <v>126</v>
      </c>
      <c r="C15" s="155" t="s">
        <v>127</v>
      </c>
      <c r="D15" s="156" t="s">
        <v>124</v>
      </c>
      <c r="E15" s="157">
        <v>110</v>
      </c>
      <c r="F15" s="158"/>
      <c r="G15" s="159">
        <f>ROUND(E15*F15,2)</f>
        <v>0</v>
      </c>
      <c r="H15" s="158"/>
      <c r="I15" s="159">
        <f>ROUND(E15*H15,2)</f>
        <v>0</v>
      </c>
      <c r="J15" s="158"/>
      <c r="K15" s="159">
        <f>ROUND(E15*J15,2)</f>
        <v>0</v>
      </c>
      <c r="L15" s="159">
        <v>21</v>
      </c>
      <c r="M15" s="159">
        <f>G15*(1+L15/100)</f>
        <v>0</v>
      </c>
      <c r="N15" s="156">
        <v>5.8199999999999997E-3</v>
      </c>
      <c r="O15" s="156">
        <f>ROUND(E15*N15,5)</f>
        <v>0.64019999999999999</v>
      </c>
      <c r="P15" s="156">
        <v>4.0000000000000001E-3</v>
      </c>
      <c r="Q15" s="156">
        <f>ROUND(E15*P15,5)</f>
        <v>0.44</v>
      </c>
      <c r="R15" s="156"/>
      <c r="S15" s="156"/>
      <c r="T15" s="160">
        <v>0.32634999999999997</v>
      </c>
      <c r="U15" s="156">
        <f>ROUND(E15*T15,2)</f>
        <v>35.9</v>
      </c>
      <c r="V15" s="161"/>
      <c r="W15" s="161"/>
      <c r="X15" s="161"/>
      <c r="Y15" s="161"/>
      <c r="Z15" s="161"/>
      <c r="AA15" s="161"/>
      <c r="AB15" s="161"/>
      <c r="AC15" s="161"/>
      <c r="AD15" s="161"/>
      <c r="AE15" s="161" t="s">
        <v>128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54"/>
      <c r="B16" s="154"/>
      <c r="C16" s="162" t="s">
        <v>129</v>
      </c>
      <c r="D16" s="163"/>
      <c r="E16" s="164">
        <v>110</v>
      </c>
      <c r="F16" s="159"/>
      <c r="G16" s="159"/>
      <c r="H16" s="159"/>
      <c r="I16" s="159"/>
      <c r="J16" s="159"/>
      <c r="K16" s="159"/>
      <c r="L16" s="159"/>
      <c r="M16" s="159"/>
      <c r="N16" s="156"/>
      <c r="O16" s="156"/>
      <c r="P16" s="156"/>
      <c r="Q16" s="156"/>
      <c r="R16" s="156"/>
      <c r="S16" s="156"/>
      <c r="T16" s="160"/>
      <c r="U16" s="156"/>
      <c r="V16" s="161"/>
      <c r="W16" s="161"/>
      <c r="X16" s="161"/>
      <c r="Y16" s="161"/>
      <c r="Z16" s="161"/>
      <c r="AA16" s="161"/>
      <c r="AB16" s="161"/>
      <c r="AC16" s="161"/>
      <c r="AD16" s="161"/>
      <c r="AE16" s="161" t="s">
        <v>121</v>
      </c>
      <c r="AF16" s="161">
        <v>0</v>
      </c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ht="33.75" outlineLevel="1" x14ac:dyDescent="0.2">
      <c r="A17" s="154">
        <v>4</v>
      </c>
      <c r="B17" s="154" t="s">
        <v>130</v>
      </c>
      <c r="C17" s="155" t="s">
        <v>131</v>
      </c>
      <c r="D17" s="156" t="s">
        <v>124</v>
      </c>
      <c r="E17" s="157">
        <v>62</v>
      </c>
      <c r="F17" s="158"/>
      <c r="G17" s="159">
        <f>ROUND(E17*F17,2)</f>
        <v>0</v>
      </c>
      <c r="H17" s="158"/>
      <c r="I17" s="159">
        <f>ROUND(E17*H17,2)</f>
        <v>0</v>
      </c>
      <c r="J17" s="158"/>
      <c r="K17" s="159">
        <f>ROUND(E17*J17,2)</f>
        <v>0</v>
      </c>
      <c r="L17" s="159">
        <v>21</v>
      </c>
      <c r="M17" s="159">
        <f>G17*(1+L17/100)</f>
        <v>0</v>
      </c>
      <c r="N17" s="156">
        <v>6.4799999999999996E-3</v>
      </c>
      <c r="O17" s="156">
        <f>ROUND(E17*N17,5)</f>
        <v>0.40176000000000001</v>
      </c>
      <c r="P17" s="156">
        <v>4.0000000000000001E-3</v>
      </c>
      <c r="Q17" s="156">
        <f>ROUND(E17*P17,5)</f>
        <v>0.248</v>
      </c>
      <c r="R17" s="156"/>
      <c r="S17" s="156"/>
      <c r="T17" s="160">
        <v>0.35138000000000003</v>
      </c>
      <c r="U17" s="156">
        <f>ROUND(E17*T17,2)</f>
        <v>21.79</v>
      </c>
      <c r="V17" s="161"/>
      <c r="W17" s="161"/>
      <c r="X17" s="161"/>
      <c r="Y17" s="161"/>
      <c r="Z17" s="161"/>
      <c r="AA17" s="161"/>
      <c r="AB17" s="161"/>
      <c r="AC17" s="161"/>
      <c r="AD17" s="161"/>
      <c r="AE17" s="161" t="s">
        <v>128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54"/>
      <c r="B18" s="154"/>
      <c r="C18" s="162" t="s">
        <v>132</v>
      </c>
      <c r="D18" s="163"/>
      <c r="E18" s="164">
        <v>62</v>
      </c>
      <c r="F18" s="159"/>
      <c r="G18" s="159"/>
      <c r="H18" s="159"/>
      <c r="I18" s="159"/>
      <c r="J18" s="159"/>
      <c r="K18" s="159"/>
      <c r="L18" s="159"/>
      <c r="M18" s="159"/>
      <c r="N18" s="156"/>
      <c r="O18" s="156"/>
      <c r="P18" s="156"/>
      <c r="Q18" s="156"/>
      <c r="R18" s="156"/>
      <c r="S18" s="156"/>
      <c r="T18" s="160"/>
      <c r="U18" s="156"/>
      <c r="V18" s="161"/>
      <c r="W18" s="161"/>
      <c r="X18" s="161"/>
      <c r="Y18" s="161"/>
      <c r="Z18" s="161"/>
      <c r="AA18" s="161"/>
      <c r="AB18" s="161"/>
      <c r="AC18" s="161"/>
      <c r="AD18" s="161"/>
      <c r="AE18" s="161" t="s">
        <v>121</v>
      </c>
      <c r="AF18" s="161">
        <v>0</v>
      </c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54">
        <v>5</v>
      </c>
      <c r="B19" s="154" t="s">
        <v>133</v>
      </c>
      <c r="C19" s="155" t="s">
        <v>134</v>
      </c>
      <c r="D19" s="156" t="s">
        <v>124</v>
      </c>
      <c r="E19" s="157">
        <v>5.72</v>
      </c>
      <c r="F19" s="158"/>
      <c r="G19" s="159">
        <f>ROUND(E19*F19,2)</f>
        <v>0</v>
      </c>
      <c r="H19" s="158"/>
      <c r="I19" s="159">
        <f>ROUND(E19*H19,2)</f>
        <v>0</v>
      </c>
      <c r="J19" s="158"/>
      <c r="K19" s="159">
        <f>ROUND(E19*J19,2)</f>
        <v>0</v>
      </c>
      <c r="L19" s="159">
        <v>21</v>
      </c>
      <c r="M19" s="159">
        <f>G19*(1+L19/100)</f>
        <v>0</v>
      </c>
      <c r="N19" s="156">
        <v>4.7660000000000001E-2</v>
      </c>
      <c r="O19" s="156">
        <f>ROUND(E19*N19,5)</f>
        <v>0.27261999999999997</v>
      </c>
      <c r="P19" s="156">
        <v>0</v>
      </c>
      <c r="Q19" s="156">
        <f>ROUND(E19*P19,5)</f>
        <v>0</v>
      </c>
      <c r="R19" s="156"/>
      <c r="S19" s="156"/>
      <c r="T19" s="160">
        <v>0.65600000000000003</v>
      </c>
      <c r="U19" s="156">
        <f>ROUND(E19*T19,2)</f>
        <v>3.75</v>
      </c>
      <c r="V19" s="161"/>
      <c r="W19" s="161"/>
      <c r="X19" s="161"/>
      <c r="Y19" s="161"/>
      <c r="Z19" s="161"/>
      <c r="AA19" s="161"/>
      <c r="AB19" s="161"/>
      <c r="AC19" s="161"/>
      <c r="AD19" s="161"/>
      <c r="AE19" s="161" t="s">
        <v>119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54"/>
      <c r="B20" s="154"/>
      <c r="C20" s="162" t="s">
        <v>135</v>
      </c>
      <c r="D20" s="163"/>
      <c r="E20" s="164">
        <v>5.72</v>
      </c>
      <c r="F20" s="159"/>
      <c r="G20" s="159"/>
      <c r="H20" s="159"/>
      <c r="I20" s="159"/>
      <c r="J20" s="159"/>
      <c r="K20" s="159"/>
      <c r="L20" s="159"/>
      <c r="M20" s="159"/>
      <c r="N20" s="156"/>
      <c r="O20" s="156"/>
      <c r="P20" s="156"/>
      <c r="Q20" s="156"/>
      <c r="R20" s="156"/>
      <c r="S20" s="156"/>
      <c r="T20" s="160"/>
      <c r="U20" s="156"/>
      <c r="V20" s="161"/>
      <c r="W20" s="161"/>
      <c r="X20" s="161"/>
      <c r="Y20" s="161"/>
      <c r="Z20" s="161"/>
      <c r="AA20" s="161"/>
      <c r="AB20" s="161"/>
      <c r="AC20" s="161"/>
      <c r="AD20" s="161"/>
      <c r="AE20" s="161" t="s">
        <v>121</v>
      </c>
      <c r="AF20" s="161">
        <v>0</v>
      </c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2.5" outlineLevel="1" x14ac:dyDescent="0.2">
      <c r="A21" s="154">
        <v>6</v>
      </c>
      <c r="B21" s="154" t="s">
        <v>136</v>
      </c>
      <c r="C21" s="155" t="s">
        <v>137</v>
      </c>
      <c r="D21" s="156" t="s">
        <v>124</v>
      </c>
      <c r="E21" s="157">
        <v>3</v>
      </c>
      <c r="F21" s="158"/>
      <c r="G21" s="159">
        <f>ROUND(E21*F21,2)</f>
        <v>0</v>
      </c>
      <c r="H21" s="158"/>
      <c r="I21" s="159">
        <f>ROUND(E21*H21,2)</f>
        <v>0</v>
      </c>
      <c r="J21" s="158"/>
      <c r="K21" s="159">
        <f>ROUND(E21*J21,2)</f>
        <v>0</v>
      </c>
      <c r="L21" s="159">
        <v>21</v>
      </c>
      <c r="M21" s="159">
        <f>G21*(1+L21/100)</f>
        <v>0</v>
      </c>
      <c r="N21" s="156">
        <v>4.7660000000000001E-2</v>
      </c>
      <c r="O21" s="156">
        <f>ROUND(E21*N21,5)</f>
        <v>0.14298</v>
      </c>
      <c r="P21" s="156">
        <v>0</v>
      </c>
      <c r="Q21" s="156">
        <f>ROUND(E21*P21,5)</f>
        <v>0</v>
      </c>
      <c r="R21" s="156"/>
      <c r="S21" s="156"/>
      <c r="T21" s="160">
        <v>0.79800000000000004</v>
      </c>
      <c r="U21" s="156">
        <f>ROUND(E21*T21,2)</f>
        <v>2.39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61" t="s">
        <v>119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x14ac:dyDescent="0.2">
      <c r="A22" s="165" t="s">
        <v>114</v>
      </c>
      <c r="B22" s="165" t="s">
        <v>57</v>
      </c>
      <c r="C22" s="166" t="s">
        <v>58</v>
      </c>
      <c r="D22" s="167"/>
      <c r="E22" s="168"/>
      <c r="F22" s="169"/>
      <c r="G22" s="169">
        <f>SUMIF(AE23:AE41,"&lt;&gt;NOR",G23:G41)</f>
        <v>0</v>
      </c>
      <c r="H22" s="169"/>
      <c r="I22" s="169">
        <f>SUM(I23:I41)</f>
        <v>0</v>
      </c>
      <c r="J22" s="169"/>
      <c r="K22" s="169">
        <f>SUM(K23:K41)</f>
        <v>0</v>
      </c>
      <c r="L22" s="169"/>
      <c r="M22" s="169">
        <f>SUM(M23:M41)</f>
        <v>0</v>
      </c>
      <c r="N22" s="167"/>
      <c r="O22" s="167">
        <f>SUM(O23:O41)</f>
        <v>7.8165700000000005</v>
      </c>
      <c r="P22" s="167"/>
      <c r="Q22" s="167">
        <f>SUM(Q23:Q41)</f>
        <v>0.6804</v>
      </c>
      <c r="R22" s="167"/>
      <c r="S22" s="167"/>
      <c r="T22" s="170"/>
      <c r="U22" s="167">
        <f>SUM(U23:U41)</f>
        <v>50.760000000000005</v>
      </c>
      <c r="AE22" t="s">
        <v>115</v>
      </c>
    </row>
    <row r="23" spans="1:60" ht="22.5" outlineLevel="1" x14ac:dyDescent="0.2">
      <c r="A23" s="154">
        <v>7</v>
      </c>
      <c r="B23" s="154" t="s">
        <v>138</v>
      </c>
      <c r="C23" s="155" t="s">
        <v>139</v>
      </c>
      <c r="D23" s="156" t="s">
        <v>124</v>
      </c>
      <c r="E23" s="157">
        <v>3.1539999999999999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21</v>
      </c>
      <c r="M23" s="159">
        <f>G23*(1+L23/100)</f>
        <v>0</v>
      </c>
      <c r="N23" s="156">
        <v>0.54600000000000004</v>
      </c>
      <c r="O23" s="156">
        <f>ROUND(E23*N23,5)</f>
        <v>1.7220800000000001</v>
      </c>
      <c r="P23" s="156">
        <v>0</v>
      </c>
      <c r="Q23" s="156">
        <f>ROUND(E23*P23,5)</f>
        <v>0</v>
      </c>
      <c r="R23" s="156"/>
      <c r="S23" s="156"/>
      <c r="T23" s="160">
        <v>0.93400000000000005</v>
      </c>
      <c r="U23" s="156">
        <f>ROUND(E23*T23,2)</f>
        <v>2.95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1" t="s">
        <v>119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54"/>
      <c r="B24" s="154"/>
      <c r="C24" s="162" t="s">
        <v>140</v>
      </c>
      <c r="D24" s="163"/>
      <c r="E24" s="164">
        <v>3.1539999999999999</v>
      </c>
      <c r="F24" s="159"/>
      <c r="G24" s="159"/>
      <c r="H24" s="159"/>
      <c r="I24" s="159"/>
      <c r="J24" s="159"/>
      <c r="K24" s="159"/>
      <c r="L24" s="159"/>
      <c r="M24" s="159"/>
      <c r="N24" s="156"/>
      <c r="O24" s="156"/>
      <c r="P24" s="156"/>
      <c r="Q24" s="156"/>
      <c r="R24" s="156"/>
      <c r="S24" s="156"/>
      <c r="T24" s="160"/>
      <c r="U24" s="156"/>
      <c r="V24" s="161"/>
      <c r="W24" s="161"/>
      <c r="X24" s="161"/>
      <c r="Y24" s="161"/>
      <c r="Z24" s="161"/>
      <c r="AA24" s="161"/>
      <c r="AB24" s="161"/>
      <c r="AC24" s="161"/>
      <c r="AD24" s="161"/>
      <c r="AE24" s="161" t="s">
        <v>121</v>
      </c>
      <c r="AF24" s="161">
        <v>0</v>
      </c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2.5" outlineLevel="1" x14ac:dyDescent="0.2">
      <c r="A25" s="154">
        <v>8</v>
      </c>
      <c r="B25" s="154" t="s">
        <v>141</v>
      </c>
      <c r="C25" s="155" t="s">
        <v>142</v>
      </c>
      <c r="D25" s="156" t="s">
        <v>143</v>
      </c>
      <c r="E25" s="157">
        <v>1.9</v>
      </c>
      <c r="F25" s="158"/>
      <c r="G25" s="159">
        <f>ROUND(E25*F25,2)</f>
        <v>0</v>
      </c>
      <c r="H25" s="158"/>
      <c r="I25" s="159">
        <f>ROUND(E25*H25,2)</f>
        <v>0</v>
      </c>
      <c r="J25" s="158"/>
      <c r="K25" s="159">
        <f>ROUND(E25*J25,2)</f>
        <v>0</v>
      </c>
      <c r="L25" s="159">
        <v>21</v>
      </c>
      <c r="M25" s="159">
        <f>G25*(1+L25/100)</f>
        <v>0</v>
      </c>
      <c r="N25" s="156">
        <v>0</v>
      </c>
      <c r="O25" s="156">
        <f>ROUND(E25*N25,5)</f>
        <v>0</v>
      </c>
      <c r="P25" s="156">
        <v>0</v>
      </c>
      <c r="Q25" s="156">
        <f>ROUND(E25*P25,5)</f>
        <v>0</v>
      </c>
      <c r="R25" s="156"/>
      <c r="S25" s="156"/>
      <c r="T25" s="160">
        <v>0.375</v>
      </c>
      <c r="U25" s="156">
        <f>ROUND(E25*T25,2)</f>
        <v>0.71</v>
      </c>
      <c r="V25" s="161"/>
      <c r="W25" s="161"/>
      <c r="X25" s="161"/>
      <c r="Y25" s="161"/>
      <c r="Z25" s="161"/>
      <c r="AA25" s="161"/>
      <c r="AB25" s="161"/>
      <c r="AC25" s="161"/>
      <c r="AD25" s="161"/>
      <c r="AE25" s="161" t="s">
        <v>119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ht="22.5" outlineLevel="1" x14ac:dyDescent="0.2">
      <c r="A26" s="154">
        <v>9</v>
      </c>
      <c r="B26" s="154" t="s">
        <v>144</v>
      </c>
      <c r="C26" s="155" t="s">
        <v>145</v>
      </c>
      <c r="D26" s="156" t="s">
        <v>143</v>
      </c>
      <c r="E26" s="157">
        <v>7.6</v>
      </c>
      <c r="F26" s="158"/>
      <c r="G26" s="159">
        <f>ROUND(E26*F26,2)</f>
        <v>0</v>
      </c>
      <c r="H26" s="158"/>
      <c r="I26" s="159">
        <f>ROUND(E26*H26,2)</f>
        <v>0</v>
      </c>
      <c r="J26" s="158"/>
      <c r="K26" s="159">
        <f>ROUND(E26*J26,2)</f>
        <v>0</v>
      </c>
      <c r="L26" s="159">
        <v>21</v>
      </c>
      <c r="M26" s="159">
        <f>G26*(1+L26/100)</f>
        <v>0</v>
      </c>
      <c r="N26" s="156">
        <v>6.0999999999999997E-4</v>
      </c>
      <c r="O26" s="156">
        <f>ROUND(E26*N26,5)</f>
        <v>4.64E-3</v>
      </c>
      <c r="P26" s="156">
        <v>0</v>
      </c>
      <c r="Q26" s="156">
        <f>ROUND(E26*P26,5)</f>
        <v>0</v>
      </c>
      <c r="R26" s="156"/>
      <c r="S26" s="156"/>
      <c r="T26" s="160">
        <v>9.0999999999999998E-2</v>
      </c>
      <c r="U26" s="156">
        <f>ROUND(E26*T26,2)</f>
        <v>0.69</v>
      </c>
      <c r="V26" s="161"/>
      <c r="W26" s="161"/>
      <c r="X26" s="161"/>
      <c r="Y26" s="161"/>
      <c r="Z26" s="161"/>
      <c r="AA26" s="161"/>
      <c r="AB26" s="161"/>
      <c r="AC26" s="161"/>
      <c r="AD26" s="161"/>
      <c r="AE26" s="161" t="s">
        <v>119</v>
      </c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54"/>
      <c r="B27" s="154"/>
      <c r="C27" s="162" t="s">
        <v>146</v>
      </c>
      <c r="D27" s="163"/>
      <c r="E27" s="164">
        <v>7.6</v>
      </c>
      <c r="F27" s="159"/>
      <c r="G27" s="159"/>
      <c r="H27" s="159"/>
      <c r="I27" s="159"/>
      <c r="J27" s="159"/>
      <c r="K27" s="159"/>
      <c r="L27" s="159"/>
      <c r="M27" s="159"/>
      <c r="N27" s="156"/>
      <c r="O27" s="156"/>
      <c r="P27" s="156"/>
      <c r="Q27" s="156"/>
      <c r="R27" s="156"/>
      <c r="S27" s="156"/>
      <c r="T27" s="160"/>
      <c r="U27" s="156"/>
      <c r="V27" s="161"/>
      <c r="W27" s="161"/>
      <c r="X27" s="161"/>
      <c r="Y27" s="161"/>
      <c r="Z27" s="161"/>
      <c r="AA27" s="161"/>
      <c r="AB27" s="161"/>
      <c r="AC27" s="161"/>
      <c r="AD27" s="161"/>
      <c r="AE27" s="161" t="s">
        <v>121</v>
      </c>
      <c r="AF27" s="161">
        <v>0</v>
      </c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54">
        <v>10</v>
      </c>
      <c r="B28" s="154" t="s">
        <v>147</v>
      </c>
      <c r="C28" s="155" t="s">
        <v>148</v>
      </c>
      <c r="D28" s="156" t="s">
        <v>124</v>
      </c>
      <c r="E28" s="157">
        <v>2.1114000000000002</v>
      </c>
      <c r="F28" s="158"/>
      <c r="G28" s="159">
        <f>ROUND(E28*F28,2)</f>
        <v>0</v>
      </c>
      <c r="H28" s="158"/>
      <c r="I28" s="159">
        <f>ROUND(E28*H28,2)</f>
        <v>0</v>
      </c>
      <c r="J28" s="158"/>
      <c r="K28" s="159">
        <f>ROUND(E28*J28,2)</f>
        <v>0</v>
      </c>
      <c r="L28" s="159">
        <v>21</v>
      </c>
      <c r="M28" s="159">
        <f>G28*(1+L28/100)</f>
        <v>0</v>
      </c>
      <c r="N28" s="156">
        <v>1.6930000000000001E-2</v>
      </c>
      <c r="O28" s="156">
        <f>ROUND(E28*N28,5)</f>
        <v>3.5749999999999997E-2</v>
      </c>
      <c r="P28" s="156">
        <v>0</v>
      </c>
      <c r="Q28" s="156">
        <f>ROUND(E28*P28,5)</f>
        <v>0</v>
      </c>
      <c r="R28" s="156"/>
      <c r="S28" s="156"/>
      <c r="T28" s="160">
        <v>1.5396000000000001</v>
      </c>
      <c r="U28" s="156">
        <f>ROUND(E28*T28,2)</f>
        <v>3.25</v>
      </c>
      <c r="V28" s="161"/>
      <c r="W28" s="161"/>
      <c r="X28" s="161"/>
      <c r="Y28" s="161"/>
      <c r="Z28" s="161"/>
      <c r="AA28" s="161"/>
      <c r="AB28" s="161"/>
      <c r="AC28" s="161"/>
      <c r="AD28" s="161"/>
      <c r="AE28" s="161" t="s">
        <v>119</v>
      </c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54"/>
      <c r="B29" s="154"/>
      <c r="C29" s="162" t="s">
        <v>149</v>
      </c>
      <c r="D29" s="163"/>
      <c r="E29" s="164">
        <v>1.615</v>
      </c>
      <c r="F29" s="159"/>
      <c r="G29" s="159"/>
      <c r="H29" s="159"/>
      <c r="I29" s="159"/>
      <c r="J29" s="159"/>
      <c r="K29" s="159"/>
      <c r="L29" s="159"/>
      <c r="M29" s="159"/>
      <c r="N29" s="156"/>
      <c r="O29" s="156"/>
      <c r="P29" s="156"/>
      <c r="Q29" s="156"/>
      <c r="R29" s="156"/>
      <c r="S29" s="156"/>
      <c r="T29" s="160"/>
      <c r="U29" s="156"/>
      <c r="V29" s="161"/>
      <c r="W29" s="161"/>
      <c r="X29" s="161"/>
      <c r="Y29" s="161"/>
      <c r="Z29" s="161"/>
      <c r="AA29" s="161"/>
      <c r="AB29" s="161"/>
      <c r="AC29" s="161"/>
      <c r="AD29" s="161"/>
      <c r="AE29" s="161" t="s">
        <v>121</v>
      </c>
      <c r="AF29" s="161">
        <v>0</v>
      </c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54"/>
      <c r="B30" s="154"/>
      <c r="C30" s="162" t="s">
        <v>150</v>
      </c>
      <c r="D30" s="163"/>
      <c r="E30" s="164">
        <v>0.49640000000000001</v>
      </c>
      <c r="F30" s="159"/>
      <c r="G30" s="159"/>
      <c r="H30" s="159"/>
      <c r="I30" s="159"/>
      <c r="J30" s="159"/>
      <c r="K30" s="159"/>
      <c r="L30" s="159"/>
      <c r="M30" s="159"/>
      <c r="N30" s="156"/>
      <c r="O30" s="156"/>
      <c r="P30" s="156"/>
      <c r="Q30" s="156"/>
      <c r="R30" s="156"/>
      <c r="S30" s="156"/>
      <c r="T30" s="160"/>
      <c r="U30" s="156"/>
      <c r="V30" s="161"/>
      <c r="W30" s="161"/>
      <c r="X30" s="161"/>
      <c r="Y30" s="161"/>
      <c r="Z30" s="161"/>
      <c r="AA30" s="161"/>
      <c r="AB30" s="161"/>
      <c r="AC30" s="161"/>
      <c r="AD30" s="161"/>
      <c r="AE30" s="161" t="s">
        <v>121</v>
      </c>
      <c r="AF30" s="161">
        <v>0</v>
      </c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54">
        <v>11</v>
      </c>
      <c r="B31" s="154" t="s">
        <v>151</v>
      </c>
      <c r="C31" s="155" t="s">
        <v>152</v>
      </c>
      <c r="D31" s="156" t="s">
        <v>124</v>
      </c>
      <c r="E31" s="157">
        <v>2.1114000000000002</v>
      </c>
      <c r="F31" s="158"/>
      <c r="G31" s="159">
        <f>ROUND(E31*F31,2)</f>
        <v>0</v>
      </c>
      <c r="H31" s="158"/>
      <c r="I31" s="159">
        <f>ROUND(E31*H31,2)</f>
        <v>0</v>
      </c>
      <c r="J31" s="158"/>
      <c r="K31" s="159">
        <f>ROUND(E31*J31,2)</f>
        <v>0</v>
      </c>
      <c r="L31" s="159">
        <v>21</v>
      </c>
      <c r="M31" s="159">
        <f>G31*(1+L31/100)</f>
        <v>0</v>
      </c>
      <c r="N31" s="156">
        <v>0</v>
      </c>
      <c r="O31" s="156">
        <f>ROUND(E31*N31,5)</f>
        <v>0</v>
      </c>
      <c r="P31" s="156">
        <v>0</v>
      </c>
      <c r="Q31" s="156">
        <f>ROUND(E31*P31,5)</f>
        <v>0</v>
      </c>
      <c r="R31" s="156"/>
      <c r="S31" s="156"/>
      <c r="T31" s="160">
        <v>0.26</v>
      </c>
      <c r="U31" s="156">
        <f>ROUND(E31*T31,2)</f>
        <v>0.55000000000000004</v>
      </c>
      <c r="V31" s="161"/>
      <c r="W31" s="161"/>
      <c r="X31" s="161"/>
      <c r="Y31" s="161"/>
      <c r="Z31" s="161"/>
      <c r="AA31" s="161"/>
      <c r="AB31" s="161"/>
      <c r="AC31" s="161"/>
      <c r="AD31" s="161"/>
      <c r="AE31" s="161" t="s">
        <v>119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ht="22.5" outlineLevel="1" x14ac:dyDescent="0.2">
      <c r="A32" s="154">
        <v>12</v>
      </c>
      <c r="B32" s="154" t="s">
        <v>153</v>
      </c>
      <c r="C32" s="155" t="s">
        <v>154</v>
      </c>
      <c r="D32" s="156" t="s">
        <v>124</v>
      </c>
      <c r="E32" s="157">
        <v>54</v>
      </c>
      <c r="F32" s="158"/>
      <c r="G32" s="159">
        <f>ROUND(E32*F32,2)</f>
        <v>0</v>
      </c>
      <c r="H32" s="158"/>
      <c r="I32" s="159">
        <f>ROUND(E32*H32,2)</f>
        <v>0</v>
      </c>
      <c r="J32" s="158"/>
      <c r="K32" s="159">
        <f>ROUND(E32*J32,2)</f>
        <v>0</v>
      </c>
      <c r="L32" s="159">
        <v>21</v>
      </c>
      <c r="M32" s="159">
        <f>G32*(1+L32/100)</f>
        <v>0</v>
      </c>
      <c r="N32" s="156">
        <v>0.105</v>
      </c>
      <c r="O32" s="156">
        <f>ROUND(E32*N32,5)</f>
        <v>5.67</v>
      </c>
      <c r="P32" s="156">
        <v>0</v>
      </c>
      <c r="Q32" s="156">
        <f>ROUND(E32*P32,5)</f>
        <v>0</v>
      </c>
      <c r="R32" s="156"/>
      <c r="S32" s="156"/>
      <c r="T32" s="160">
        <v>0.153</v>
      </c>
      <c r="U32" s="156">
        <f>ROUND(E32*T32,2)</f>
        <v>8.26</v>
      </c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119</v>
      </c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54"/>
      <c r="B33" s="154"/>
      <c r="C33" s="162" t="s">
        <v>155</v>
      </c>
      <c r="D33" s="163"/>
      <c r="E33" s="164">
        <v>54</v>
      </c>
      <c r="F33" s="159"/>
      <c r="G33" s="159"/>
      <c r="H33" s="159"/>
      <c r="I33" s="159"/>
      <c r="J33" s="159"/>
      <c r="K33" s="159"/>
      <c r="L33" s="159"/>
      <c r="M33" s="159"/>
      <c r="N33" s="156"/>
      <c r="O33" s="156"/>
      <c r="P33" s="156"/>
      <c r="Q33" s="156"/>
      <c r="R33" s="156"/>
      <c r="S33" s="156"/>
      <c r="T33" s="160"/>
      <c r="U33" s="156"/>
      <c r="V33" s="161"/>
      <c r="W33" s="161"/>
      <c r="X33" s="161"/>
      <c r="Y33" s="161"/>
      <c r="Z33" s="161"/>
      <c r="AA33" s="161"/>
      <c r="AB33" s="161"/>
      <c r="AC33" s="161"/>
      <c r="AD33" s="161"/>
      <c r="AE33" s="161" t="s">
        <v>121</v>
      </c>
      <c r="AF33" s="161">
        <v>0</v>
      </c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ht="22.5" outlineLevel="1" x14ac:dyDescent="0.2">
      <c r="A34" s="154">
        <v>13</v>
      </c>
      <c r="B34" s="154" t="s">
        <v>156</v>
      </c>
      <c r="C34" s="155" t="s">
        <v>157</v>
      </c>
      <c r="D34" s="156" t="s">
        <v>143</v>
      </c>
      <c r="E34" s="157">
        <v>48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21</v>
      </c>
      <c r="M34" s="159">
        <f>G34*(1+L34/100)</f>
        <v>0</v>
      </c>
      <c r="N34" s="156">
        <v>0</v>
      </c>
      <c r="O34" s="156">
        <f>ROUND(E34*N34,5)</f>
        <v>0</v>
      </c>
      <c r="P34" s="156">
        <v>0</v>
      </c>
      <c r="Q34" s="156">
        <f>ROUND(E34*P34,5)</f>
        <v>0</v>
      </c>
      <c r="R34" s="156"/>
      <c r="S34" s="156"/>
      <c r="T34" s="160">
        <v>0</v>
      </c>
      <c r="U34" s="156">
        <f>ROUND(E34*T34,2)</f>
        <v>0</v>
      </c>
      <c r="V34" s="161"/>
      <c r="W34" s="161"/>
      <c r="X34" s="161"/>
      <c r="Y34" s="161"/>
      <c r="Z34" s="161"/>
      <c r="AA34" s="161"/>
      <c r="AB34" s="161"/>
      <c r="AC34" s="161"/>
      <c r="AD34" s="161"/>
      <c r="AE34" s="161" t="s">
        <v>158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54"/>
      <c r="B35" s="154"/>
      <c r="C35" s="162" t="s">
        <v>159</v>
      </c>
      <c r="D35" s="163"/>
      <c r="E35" s="164">
        <v>48</v>
      </c>
      <c r="F35" s="159"/>
      <c r="G35" s="159"/>
      <c r="H35" s="159"/>
      <c r="I35" s="159"/>
      <c r="J35" s="159"/>
      <c r="K35" s="159"/>
      <c r="L35" s="159"/>
      <c r="M35" s="159"/>
      <c r="N35" s="156"/>
      <c r="O35" s="156"/>
      <c r="P35" s="156"/>
      <c r="Q35" s="156"/>
      <c r="R35" s="156"/>
      <c r="S35" s="156"/>
      <c r="T35" s="160"/>
      <c r="U35" s="156"/>
      <c r="V35" s="161"/>
      <c r="W35" s="161"/>
      <c r="X35" s="161"/>
      <c r="Y35" s="161"/>
      <c r="Z35" s="161"/>
      <c r="AA35" s="161"/>
      <c r="AB35" s="161"/>
      <c r="AC35" s="161"/>
      <c r="AD35" s="161"/>
      <c r="AE35" s="161" t="s">
        <v>121</v>
      </c>
      <c r="AF35" s="161">
        <v>0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54">
        <v>14</v>
      </c>
      <c r="B36" s="154" t="s">
        <v>160</v>
      </c>
      <c r="C36" s="155" t="s">
        <v>161</v>
      </c>
      <c r="D36" s="156" t="s">
        <v>124</v>
      </c>
      <c r="E36" s="157">
        <v>54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21</v>
      </c>
      <c r="M36" s="159">
        <f>G36*(1+L36/100)</f>
        <v>0</v>
      </c>
      <c r="N36" s="156">
        <v>0</v>
      </c>
      <c r="O36" s="156">
        <f>ROUND(E36*N36,5)</f>
        <v>0</v>
      </c>
      <c r="P36" s="156">
        <v>1.26E-2</v>
      </c>
      <c r="Q36" s="156">
        <f>ROUND(E36*P36,5)</f>
        <v>0.6804</v>
      </c>
      <c r="R36" s="156"/>
      <c r="S36" s="156"/>
      <c r="T36" s="160">
        <v>0.33</v>
      </c>
      <c r="U36" s="156">
        <f>ROUND(E36*T36,2)</f>
        <v>17.82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 t="s">
        <v>119</v>
      </c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2.5" outlineLevel="1" x14ac:dyDescent="0.2">
      <c r="A37" s="154">
        <v>15</v>
      </c>
      <c r="B37" s="154" t="s">
        <v>162</v>
      </c>
      <c r="C37" s="155" t="s">
        <v>163</v>
      </c>
      <c r="D37" s="156" t="s">
        <v>143</v>
      </c>
      <c r="E37" s="157">
        <v>1.9</v>
      </c>
      <c r="F37" s="158"/>
      <c r="G37" s="159">
        <f>ROUND(E37*F37,2)</f>
        <v>0</v>
      </c>
      <c r="H37" s="158"/>
      <c r="I37" s="159">
        <f>ROUND(E37*H37,2)</f>
        <v>0</v>
      </c>
      <c r="J37" s="158"/>
      <c r="K37" s="159">
        <f>ROUND(E37*J37,2)</f>
        <v>0</v>
      </c>
      <c r="L37" s="159">
        <v>21</v>
      </c>
      <c r="M37" s="159">
        <f>G37*(1+L37/100)</f>
        <v>0</v>
      </c>
      <c r="N37" s="156">
        <v>2.47E-3</v>
      </c>
      <c r="O37" s="156">
        <f>ROUND(E37*N37,5)</f>
        <v>4.6899999999999997E-3</v>
      </c>
      <c r="P37" s="156">
        <v>0</v>
      </c>
      <c r="Q37" s="156">
        <f>ROUND(E37*P37,5)</f>
        <v>0</v>
      </c>
      <c r="R37" s="156"/>
      <c r="S37" s="156"/>
      <c r="T37" s="160">
        <v>0.18099999999999999</v>
      </c>
      <c r="U37" s="156">
        <f>ROUND(E37*T37,2)</f>
        <v>0.34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 t="s">
        <v>119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ht="22.5" outlineLevel="1" x14ac:dyDescent="0.2">
      <c r="A38" s="154">
        <v>16</v>
      </c>
      <c r="B38" s="154" t="s">
        <v>164</v>
      </c>
      <c r="C38" s="155" t="s">
        <v>165</v>
      </c>
      <c r="D38" s="156" t="s">
        <v>124</v>
      </c>
      <c r="E38" s="157">
        <v>54</v>
      </c>
      <c r="F38" s="158"/>
      <c r="G38" s="159">
        <f>ROUND(E38*F38,2)</f>
        <v>0</v>
      </c>
      <c r="H38" s="158"/>
      <c r="I38" s="159">
        <f>ROUND(E38*H38,2)</f>
        <v>0</v>
      </c>
      <c r="J38" s="158"/>
      <c r="K38" s="159">
        <f>ROUND(E38*J38,2)</f>
        <v>0</v>
      </c>
      <c r="L38" s="159">
        <v>21</v>
      </c>
      <c r="M38" s="159">
        <f>G38*(1+L38/100)</f>
        <v>0</v>
      </c>
      <c r="N38" s="156">
        <v>7.0000000000000001E-3</v>
      </c>
      <c r="O38" s="156">
        <f>ROUND(E38*N38,5)</f>
        <v>0.378</v>
      </c>
      <c r="P38" s="156">
        <v>0</v>
      </c>
      <c r="Q38" s="156">
        <f>ROUND(E38*P38,5)</f>
        <v>0</v>
      </c>
      <c r="R38" s="156"/>
      <c r="S38" s="156"/>
      <c r="T38" s="160">
        <v>0.254</v>
      </c>
      <c r="U38" s="156">
        <f>ROUND(E38*T38,2)</f>
        <v>13.72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 t="s">
        <v>119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54"/>
      <c r="B39" s="154"/>
      <c r="C39" s="162" t="s">
        <v>155</v>
      </c>
      <c r="D39" s="163"/>
      <c r="E39" s="164">
        <v>54</v>
      </c>
      <c r="F39" s="159"/>
      <c r="G39" s="159"/>
      <c r="H39" s="159"/>
      <c r="I39" s="159"/>
      <c r="J39" s="159"/>
      <c r="K39" s="159"/>
      <c r="L39" s="159"/>
      <c r="M39" s="159"/>
      <c r="N39" s="156"/>
      <c r="O39" s="156"/>
      <c r="P39" s="156"/>
      <c r="Q39" s="156"/>
      <c r="R39" s="156"/>
      <c r="S39" s="156"/>
      <c r="T39" s="160"/>
      <c r="U39" s="156"/>
      <c r="V39" s="161"/>
      <c r="W39" s="161"/>
      <c r="X39" s="161"/>
      <c r="Y39" s="161"/>
      <c r="Z39" s="161"/>
      <c r="AA39" s="161"/>
      <c r="AB39" s="161"/>
      <c r="AC39" s="161"/>
      <c r="AD39" s="161"/>
      <c r="AE39" s="161" t="s">
        <v>121</v>
      </c>
      <c r="AF39" s="161">
        <v>0</v>
      </c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22.5" outlineLevel="1" x14ac:dyDescent="0.2">
      <c r="A40" s="154">
        <v>17</v>
      </c>
      <c r="B40" s="154" t="s">
        <v>166</v>
      </c>
      <c r="C40" s="155" t="s">
        <v>167</v>
      </c>
      <c r="D40" s="156" t="s">
        <v>143</v>
      </c>
      <c r="E40" s="157">
        <v>35.35</v>
      </c>
      <c r="F40" s="158"/>
      <c r="G40" s="159">
        <f>ROUND(E40*F40,2)</f>
        <v>0</v>
      </c>
      <c r="H40" s="158"/>
      <c r="I40" s="159">
        <f>ROUND(E40*H40,2)</f>
        <v>0</v>
      </c>
      <c r="J40" s="158"/>
      <c r="K40" s="159">
        <f>ROUND(E40*J40,2)</f>
        <v>0</v>
      </c>
      <c r="L40" s="159">
        <v>21</v>
      </c>
      <c r="M40" s="159">
        <f>G40*(1+L40/100)</f>
        <v>0</v>
      </c>
      <c r="N40" s="156">
        <v>4.0000000000000003E-5</v>
      </c>
      <c r="O40" s="156">
        <f>ROUND(E40*N40,5)</f>
        <v>1.41E-3</v>
      </c>
      <c r="P40" s="156">
        <v>0</v>
      </c>
      <c r="Q40" s="156">
        <f>ROUND(E40*P40,5)</f>
        <v>0</v>
      </c>
      <c r="R40" s="156"/>
      <c r="S40" s="156"/>
      <c r="T40" s="160">
        <v>7.0000000000000007E-2</v>
      </c>
      <c r="U40" s="156">
        <f>ROUND(E40*T40,2)</f>
        <v>2.4700000000000002</v>
      </c>
      <c r="V40" s="161"/>
      <c r="W40" s="161"/>
      <c r="X40" s="161"/>
      <c r="Y40" s="161"/>
      <c r="Z40" s="161"/>
      <c r="AA40" s="161"/>
      <c r="AB40" s="161"/>
      <c r="AC40" s="161"/>
      <c r="AD40" s="161"/>
      <c r="AE40" s="161" t="s">
        <v>119</v>
      </c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54"/>
      <c r="B41" s="154"/>
      <c r="C41" s="162" t="s">
        <v>168</v>
      </c>
      <c r="D41" s="163"/>
      <c r="E41" s="164">
        <v>35.35</v>
      </c>
      <c r="F41" s="159"/>
      <c r="G41" s="159"/>
      <c r="H41" s="159"/>
      <c r="I41" s="159"/>
      <c r="J41" s="159"/>
      <c r="K41" s="159"/>
      <c r="L41" s="159"/>
      <c r="M41" s="159"/>
      <c r="N41" s="156"/>
      <c r="O41" s="156"/>
      <c r="P41" s="156"/>
      <c r="Q41" s="156"/>
      <c r="R41" s="156"/>
      <c r="S41" s="156"/>
      <c r="T41" s="160"/>
      <c r="U41" s="156"/>
      <c r="V41" s="161"/>
      <c r="W41" s="161"/>
      <c r="X41" s="161"/>
      <c r="Y41" s="161"/>
      <c r="Z41" s="161"/>
      <c r="AA41" s="161"/>
      <c r="AB41" s="161"/>
      <c r="AC41" s="161"/>
      <c r="AD41" s="161"/>
      <c r="AE41" s="161" t="s">
        <v>121</v>
      </c>
      <c r="AF41" s="161">
        <v>0</v>
      </c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x14ac:dyDescent="0.2">
      <c r="A42" s="165" t="s">
        <v>114</v>
      </c>
      <c r="B42" s="165" t="s">
        <v>59</v>
      </c>
      <c r="C42" s="166" t="s">
        <v>60</v>
      </c>
      <c r="D42" s="167"/>
      <c r="E42" s="168"/>
      <c r="F42" s="169"/>
      <c r="G42" s="169">
        <f>SUMIF(AE43:AE43,"&lt;&gt;NOR",G43:G43)</f>
        <v>0</v>
      </c>
      <c r="H42" s="169"/>
      <c r="I42" s="169">
        <f>SUM(I43:I43)</f>
        <v>0</v>
      </c>
      <c r="J42" s="169"/>
      <c r="K42" s="169">
        <f>SUM(K43:K43)</f>
        <v>0</v>
      </c>
      <c r="L42" s="169"/>
      <c r="M42" s="169">
        <f>SUM(M43:M43)</f>
        <v>0</v>
      </c>
      <c r="N42" s="167"/>
      <c r="O42" s="167">
        <f>SUM(O43:O43)</f>
        <v>0.35520000000000002</v>
      </c>
      <c r="P42" s="167"/>
      <c r="Q42" s="167">
        <f>SUM(Q43:Q43)</f>
        <v>0</v>
      </c>
      <c r="R42" s="167"/>
      <c r="S42" s="167"/>
      <c r="T42" s="170"/>
      <c r="U42" s="167">
        <f>SUM(U43:U43)</f>
        <v>15.6</v>
      </c>
      <c r="AE42" t="s">
        <v>115</v>
      </c>
    </row>
    <row r="43" spans="1:60" outlineLevel="1" x14ac:dyDescent="0.2">
      <c r="A43" s="154">
        <v>18</v>
      </c>
      <c r="B43" s="154" t="s">
        <v>169</v>
      </c>
      <c r="C43" s="155" t="s">
        <v>170</v>
      </c>
      <c r="D43" s="156" t="s">
        <v>124</v>
      </c>
      <c r="E43" s="157">
        <v>60</v>
      </c>
      <c r="F43" s="158"/>
      <c r="G43" s="159">
        <f>ROUND(E43*F43,2)</f>
        <v>0</v>
      </c>
      <c r="H43" s="158"/>
      <c r="I43" s="159">
        <f>ROUND(E43*H43,2)</f>
        <v>0</v>
      </c>
      <c r="J43" s="158"/>
      <c r="K43" s="159">
        <f>ROUND(E43*J43,2)</f>
        <v>0</v>
      </c>
      <c r="L43" s="159">
        <v>21</v>
      </c>
      <c r="M43" s="159">
        <f>G43*(1+L43/100)</f>
        <v>0</v>
      </c>
      <c r="N43" s="156">
        <v>5.9199999999999999E-3</v>
      </c>
      <c r="O43" s="156">
        <f>ROUND(E43*N43,5)</f>
        <v>0.35520000000000002</v>
      </c>
      <c r="P43" s="156">
        <v>0</v>
      </c>
      <c r="Q43" s="156">
        <f>ROUND(E43*P43,5)</f>
        <v>0</v>
      </c>
      <c r="R43" s="156"/>
      <c r="S43" s="156"/>
      <c r="T43" s="160">
        <v>0.26</v>
      </c>
      <c r="U43" s="156">
        <f>ROUND(E43*T43,2)</f>
        <v>15.6</v>
      </c>
      <c r="V43" s="161"/>
      <c r="W43" s="161"/>
      <c r="X43" s="161"/>
      <c r="Y43" s="161"/>
      <c r="Z43" s="161"/>
      <c r="AA43" s="161"/>
      <c r="AB43" s="161"/>
      <c r="AC43" s="161"/>
      <c r="AD43" s="161"/>
      <c r="AE43" s="161" t="s">
        <v>119</v>
      </c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x14ac:dyDescent="0.2">
      <c r="A44" s="165" t="s">
        <v>114</v>
      </c>
      <c r="B44" s="165" t="s">
        <v>61</v>
      </c>
      <c r="C44" s="166" t="s">
        <v>62</v>
      </c>
      <c r="D44" s="167"/>
      <c r="E44" s="168"/>
      <c r="F44" s="169"/>
      <c r="G44" s="169">
        <f>SUMIF(AE45:AE50,"&lt;&gt;NOR",G45:G50)</f>
        <v>0</v>
      </c>
      <c r="H44" s="169"/>
      <c r="I44" s="169">
        <f>SUM(I45:I50)</f>
        <v>0</v>
      </c>
      <c r="J44" s="169"/>
      <c r="K44" s="169">
        <f>SUM(K45:K50)</f>
        <v>0</v>
      </c>
      <c r="L44" s="169"/>
      <c r="M44" s="169">
        <f>SUM(M45:M50)</f>
        <v>0</v>
      </c>
      <c r="N44" s="167"/>
      <c r="O44" s="167">
        <f>SUM(O45:O50)</f>
        <v>5.1229999999999998E-2</v>
      </c>
      <c r="P44" s="167"/>
      <c r="Q44" s="167">
        <f>SUM(Q45:Q50)</f>
        <v>0</v>
      </c>
      <c r="R44" s="167"/>
      <c r="S44" s="167"/>
      <c r="T44" s="170"/>
      <c r="U44" s="167">
        <f>SUM(U45:U50)</f>
        <v>0.62</v>
      </c>
      <c r="AE44" t="s">
        <v>115</v>
      </c>
    </row>
    <row r="45" spans="1:60" outlineLevel="1" x14ac:dyDescent="0.2">
      <c r="A45" s="154">
        <v>19</v>
      </c>
      <c r="B45" s="154" t="s">
        <v>171</v>
      </c>
      <c r="C45" s="155" t="s">
        <v>172</v>
      </c>
      <c r="D45" s="156" t="s">
        <v>173</v>
      </c>
      <c r="E45" s="157">
        <v>1</v>
      </c>
      <c r="F45" s="158"/>
      <c r="G45" s="159">
        <f>ROUND(E45*F45,2)</f>
        <v>0</v>
      </c>
      <c r="H45" s="158"/>
      <c r="I45" s="159">
        <f>ROUND(E45*H45,2)</f>
        <v>0</v>
      </c>
      <c r="J45" s="158"/>
      <c r="K45" s="159">
        <f>ROUND(E45*J45,2)</f>
        <v>0</v>
      </c>
      <c r="L45" s="159">
        <v>21</v>
      </c>
      <c r="M45" s="159">
        <f>G45*(1+L45/100)</f>
        <v>0</v>
      </c>
      <c r="N45" s="156">
        <v>2.5000000000000001E-4</v>
      </c>
      <c r="O45" s="156">
        <f>ROUND(E45*N45,5)</f>
        <v>2.5000000000000001E-4</v>
      </c>
      <c r="P45" s="156">
        <v>0</v>
      </c>
      <c r="Q45" s="156">
        <f>ROUND(E45*P45,5)</f>
        <v>0</v>
      </c>
      <c r="R45" s="156"/>
      <c r="S45" s="156"/>
      <c r="T45" s="160">
        <v>0.5</v>
      </c>
      <c r="U45" s="156">
        <f>ROUND(E45*T45,2)</f>
        <v>0.5</v>
      </c>
      <c r="V45" s="161"/>
      <c r="W45" s="161"/>
      <c r="X45" s="161"/>
      <c r="Y45" s="161"/>
      <c r="Z45" s="161"/>
      <c r="AA45" s="161"/>
      <c r="AB45" s="161"/>
      <c r="AC45" s="161"/>
      <c r="AD45" s="161"/>
      <c r="AE45" s="161" t="s">
        <v>119</v>
      </c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54"/>
      <c r="B46" s="154"/>
      <c r="C46" s="162" t="s">
        <v>174</v>
      </c>
      <c r="D46" s="163"/>
      <c r="E46" s="164">
        <v>1</v>
      </c>
      <c r="F46" s="159"/>
      <c r="G46" s="159"/>
      <c r="H46" s="159"/>
      <c r="I46" s="159"/>
      <c r="J46" s="159"/>
      <c r="K46" s="159"/>
      <c r="L46" s="159"/>
      <c r="M46" s="159"/>
      <c r="N46" s="156"/>
      <c r="O46" s="156"/>
      <c r="P46" s="156"/>
      <c r="Q46" s="156"/>
      <c r="R46" s="156"/>
      <c r="S46" s="156"/>
      <c r="T46" s="160"/>
      <c r="U46" s="156"/>
      <c r="V46" s="161"/>
      <c r="W46" s="161"/>
      <c r="X46" s="161"/>
      <c r="Y46" s="161"/>
      <c r="Z46" s="161"/>
      <c r="AA46" s="161"/>
      <c r="AB46" s="161"/>
      <c r="AC46" s="161"/>
      <c r="AD46" s="161"/>
      <c r="AE46" s="161" t="s">
        <v>121</v>
      </c>
      <c r="AF46" s="161">
        <v>0</v>
      </c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54">
        <v>20</v>
      </c>
      <c r="B47" s="154" t="s">
        <v>175</v>
      </c>
      <c r="C47" s="155" t="s">
        <v>176</v>
      </c>
      <c r="D47" s="156" t="s">
        <v>177</v>
      </c>
      <c r="E47" s="157">
        <v>9.1255999999999993E-3</v>
      </c>
      <c r="F47" s="158"/>
      <c r="G47" s="159">
        <f>ROUND(E47*F47,2)</f>
        <v>0</v>
      </c>
      <c r="H47" s="158"/>
      <c r="I47" s="159">
        <f>ROUND(E47*H47,2)</f>
        <v>0</v>
      </c>
      <c r="J47" s="158"/>
      <c r="K47" s="159">
        <f>ROUND(E47*J47,2)</f>
        <v>0</v>
      </c>
      <c r="L47" s="159">
        <v>21</v>
      </c>
      <c r="M47" s="159">
        <f>G47*(1+L47/100)</f>
        <v>0</v>
      </c>
      <c r="N47" s="156">
        <v>1</v>
      </c>
      <c r="O47" s="156">
        <f>ROUND(E47*N47,5)</f>
        <v>9.1299999999999992E-3</v>
      </c>
      <c r="P47" s="156">
        <v>0</v>
      </c>
      <c r="Q47" s="156">
        <f>ROUND(E47*P47,5)</f>
        <v>0</v>
      </c>
      <c r="R47" s="156"/>
      <c r="S47" s="156"/>
      <c r="T47" s="160">
        <v>0</v>
      </c>
      <c r="U47" s="156">
        <f>ROUND(E47*T47,2)</f>
        <v>0</v>
      </c>
      <c r="V47" s="161"/>
      <c r="W47" s="161"/>
      <c r="X47" s="161"/>
      <c r="Y47" s="161"/>
      <c r="Z47" s="161"/>
      <c r="AA47" s="161"/>
      <c r="AB47" s="161"/>
      <c r="AC47" s="161"/>
      <c r="AD47" s="161"/>
      <c r="AE47" s="161" t="s">
        <v>158</v>
      </c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54"/>
      <c r="B48" s="154"/>
      <c r="C48" s="162" t="s">
        <v>178</v>
      </c>
      <c r="D48" s="163"/>
      <c r="E48" s="164">
        <v>9.1255999999999993E-3</v>
      </c>
      <c r="F48" s="159"/>
      <c r="G48" s="159"/>
      <c r="H48" s="159"/>
      <c r="I48" s="159"/>
      <c r="J48" s="159"/>
      <c r="K48" s="159"/>
      <c r="L48" s="159"/>
      <c r="M48" s="159"/>
      <c r="N48" s="156"/>
      <c r="O48" s="156"/>
      <c r="P48" s="156"/>
      <c r="Q48" s="156"/>
      <c r="R48" s="156"/>
      <c r="S48" s="156"/>
      <c r="T48" s="160"/>
      <c r="U48" s="156"/>
      <c r="V48" s="161"/>
      <c r="W48" s="161"/>
      <c r="X48" s="161"/>
      <c r="Y48" s="161"/>
      <c r="Z48" s="161"/>
      <c r="AA48" s="161"/>
      <c r="AB48" s="161"/>
      <c r="AC48" s="161"/>
      <c r="AD48" s="161"/>
      <c r="AE48" s="161" t="s">
        <v>121</v>
      </c>
      <c r="AF48" s="161">
        <v>0</v>
      </c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54">
        <v>21</v>
      </c>
      <c r="B49" s="154" t="s">
        <v>179</v>
      </c>
      <c r="C49" s="155" t="s">
        <v>180</v>
      </c>
      <c r="D49" s="156" t="s">
        <v>124</v>
      </c>
      <c r="E49" s="157">
        <v>2.3250000000000002</v>
      </c>
      <c r="F49" s="158"/>
      <c r="G49" s="159">
        <f>ROUND(E49*F49,2)</f>
        <v>0</v>
      </c>
      <c r="H49" s="158"/>
      <c r="I49" s="159">
        <f>ROUND(E49*H49,2)</f>
        <v>0</v>
      </c>
      <c r="J49" s="158"/>
      <c r="K49" s="159">
        <f>ROUND(E49*J49,2)</f>
        <v>0</v>
      </c>
      <c r="L49" s="159">
        <v>21</v>
      </c>
      <c r="M49" s="159">
        <f>G49*(1+L49/100)</f>
        <v>0</v>
      </c>
      <c r="N49" s="156">
        <v>1.7999999999999999E-2</v>
      </c>
      <c r="O49" s="156">
        <f>ROUND(E49*N49,5)</f>
        <v>4.1849999999999998E-2</v>
      </c>
      <c r="P49" s="156">
        <v>0</v>
      </c>
      <c r="Q49" s="156">
        <f>ROUND(E49*P49,5)</f>
        <v>0</v>
      </c>
      <c r="R49" s="156"/>
      <c r="S49" s="156"/>
      <c r="T49" s="160">
        <v>0.05</v>
      </c>
      <c r="U49" s="156">
        <f>ROUND(E49*T49,2)</f>
        <v>0.12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 t="s">
        <v>119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54"/>
      <c r="B50" s="154"/>
      <c r="C50" s="162" t="s">
        <v>181</v>
      </c>
      <c r="D50" s="163"/>
      <c r="E50" s="164">
        <v>2.3250000000000002</v>
      </c>
      <c r="F50" s="159"/>
      <c r="G50" s="159"/>
      <c r="H50" s="159"/>
      <c r="I50" s="159"/>
      <c r="J50" s="159"/>
      <c r="K50" s="159"/>
      <c r="L50" s="159"/>
      <c r="M50" s="159"/>
      <c r="N50" s="156"/>
      <c r="O50" s="156"/>
      <c r="P50" s="156"/>
      <c r="Q50" s="156"/>
      <c r="R50" s="156"/>
      <c r="S50" s="156"/>
      <c r="T50" s="160"/>
      <c r="U50" s="156"/>
      <c r="V50" s="161"/>
      <c r="W50" s="161"/>
      <c r="X50" s="161"/>
      <c r="Y50" s="161"/>
      <c r="Z50" s="161"/>
      <c r="AA50" s="161"/>
      <c r="AB50" s="161"/>
      <c r="AC50" s="161"/>
      <c r="AD50" s="161"/>
      <c r="AE50" s="161" t="s">
        <v>121</v>
      </c>
      <c r="AF50" s="161">
        <v>0</v>
      </c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x14ac:dyDescent="0.2">
      <c r="A51" s="165" t="s">
        <v>114</v>
      </c>
      <c r="B51" s="165" t="s">
        <v>63</v>
      </c>
      <c r="C51" s="166" t="s">
        <v>64</v>
      </c>
      <c r="D51" s="167"/>
      <c r="E51" s="168"/>
      <c r="F51" s="169"/>
      <c r="G51" s="169">
        <f>SUMIF(AE52:AE69,"&lt;&gt;NOR",G52:G69)</f>
        <v>0</v>
      </c>
      <c r="H51" s="169"/>
      <c r="I51" s="169">
        <f>SUM(I52:I69)</f>
        <v>0</v>
      </c>
      <c r="J51" s="169"/>
      <c r="K51" s="169">
        <f>SUM(K52:K69)</f>
        <v>0</v>
      </c>
      <c r="L51" s="169"/>
      <c r="M51" s="169">
        <f>SUM(M52:M69)</f>
        <v>0</v>
      </c>
      <c r="N51" s="167"/>
      <c r="O51" s="167">
        <f>SUM(O52:O69)</f>
        <v>29.118120000000005</v>
      </c>
      <c r="P51" s="167"/>
      <c r="Q51" s="167">
        <f>SUM(Q52:Q69)</f>
        <v>29.207660000000004</v>
      </c>
      <c r="R51" s="167"/>
      <c r="S51" s="167"/>
      <c r="T51" s="170"/>
      <c r="U51" s="167">
        <f>SUM(U52:U69)</f>
        <v>166.2</v>
      </c>
      <c r="AE51" t="s">
        <v>115</v>
      </c>
    </row>
    <row r="52" spans="1:60" outlineLevel="1" x14ac:dyDescent="0.2">
      <c r="A52" s="154">
        <v>22</v>
      </c>
      <c r="B52" s="154" t="s">
        <v>182</v>
      </c>
      <c r="C52" s="155" t="s">
        <v>183</v>
      </c>
      <c r="D52" s="156" t="s">
        <v>143</v>
      </c>
      <c r="E52" s="157">
        <v>29.65</v>
      </c>
      <c r="F52" s="158"/>
      <c r="G52" s="159">
        <f>ROUND(E52*F52,2)</f>
        <v>0</v>
      </c>
      <c r="H52" s="158"/>
      <c r="I52" s="159">
        <f>ROUND(E52*H52,2)</f>
        <v>0</v>
      </c>
      <c r="J52" s="158"/>
      <c r="K52" s="159">
        <f>ROUND(E52*J52,2)</f>
        <v>0</v>
      </c>
      <c r="L52" s="159">
        <v>21</v>
      </c>
      <c r="M52" s="159">
        <f>G52*(1+L52/100)</f>
        <v>0</v>
      </c>
      <c r="N52" s="156">
        <v>4.0000000000000002E-4</v>
      </c>
      <c r="O52" s="156">
        <f>ROUND(E52*N52,5)</f>
        <v>1.1860000000000001E-2</v>
      </c>
      <c r="P52" s="156">
        <v>4.0000000000000002E-4</v>
      </c>
      <c r="Q52" s="156">
        <f>ROUND(E52*P52,5)</f>
        <v>1.1860000000000001E-2</v>
      </c>
      <c r="R52" s="156"/>
      <c r="S52" s="156"/>
      <c r="T52" s="160">
        <v>7.0000000000000007E-2</v>
      </c>
      <c r="U52" s="156">
        <f>ROUND(E52*T52,2)</f>
        <v>2.08</v>
      </c>
      <c r="V52" s="161"/>
      <c r="W52" s="161"/>
      <c r="X52" s="161"/>
      <c r="Y52" s="161"/>
      <c r="Z52" s="161"/>
      <c r="AA52" s="161"/>
      <c r="AB52" s="161"/>
      <c r="AC52" s="161"/>
      <c r="AD52" s="161"/>
      <c r="AE52" s="161" t="s">
        <v>119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54"/>
      <c r="B53" s="154"/>
      <c r="C53" s="162" t="s">
        <v>184</v>
      </c>
      <c r="D53" s="163"/>
      <c r="E53" s="164">
        <v>29.65</v>
      </c>
      <c r="F53" s="159"/>
      <c r="G53" s="159"/>
      <c r="H53" s="159"/>
      <c r="I53" s="159"/>
      <c r="J53" s="159"/>
      <c r="K53" s="159"/>
      <c r="L53" s="159"/>
      <c r="M53" s="159"/>
      <c r="N53" s="156"/>
      <c r="O53" s="156"/>
      <c r="P53" s="156"/>
      <c r="Q53" s="156"/>
      <c r="R53" s="156"/>
      <c r="S53" s="156"/>
      <c r="T53" s="160"/>
      <c r="U53" s="156"/>
      <c r="V53" s="161"/>
      <c r="W53" s="161"/>
      <c r="X53" s="161"/>
      <c r="Y53" s="161"/>
      <c r="Z53" s="161"/>
      <c r="AA53" s="161"/>
      <c r="AB53" s="161"/>
      <c r="AC53" s="161"/>
      <c r="AD53" s="161"/>
      <c r="AE53" s="161" t="s">
        <v>121</v>
      </c>
      <c r="AF53" s="161">
        <v>0</v>
      </c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ht="22.5" outlineLevel="1" x14ac:dyDescent="0.2">
      <c r="A54" s="154">
        <v>23</v>
      </c>
      <c r="B54" s="154" t="s">
        <v>185</v>
      </c>
      <c r="C54" s="155" t="s">
        <v>186</v>
      </c>
      <c r="D54" s="156" t="s">
        <v>124</v>
      </c>
      <c r="E54" s="157">
        <v>68.847999999999999</v>
      </c>
      <c r="F54" s="158"/>
      <c r="G54" s="159">
        <f>ROUND(E54*F54,2)</f>
        <v>0</v>
      </c>
      <c r="H54" s="158"/>
      <c r="I54" s="159">
        <f>ROUND(E54*H54,2)</f>
        <v>0</v>
      </c>
      <c r="J54" s="158"/>
      <c r="K54" s="159">
        <f>ROUND(E54*J54,2)</f>
        <v>0</v>
      </c>
      <c r="L54" s="159">
        <v>21</v>
      </c>
      <c r="M54" s="159">
        <f>G54*(1+L54/100)</f>
        <v>0</v>
      </c>
      <c r="N54" s="156">
        <v>0.02</v>
      </c>
      <c r="O54" s="156">
        <f>ROUND(E54*N54,5)</f>
        <v>1.37696</v>
      </c>
      <c r="P54" s="156">
        <v>0.02</v>
      </c>
      <c r="Q54" s="156">
        <f>ROUND(E54*P54,5)</f>
        <v>1.37696</v>
      </c>
      <c r="R54" s="156"/>
      <c r="S54" s="156"/>
      <c r="T54" s="160">
        <v>7.8E-2</v>
      </c>
      <c r="U54" s="156">
        <f>ROUND(E54*T54,2)</f>
        <v>5.37</v>
      </c>
      <c r="V54" s="161"/>
      <c r="W54" s="161"/>
      <c r="X54" s="161"/>
      <c r="Y54" s="161"/>
      <c r="Z54" s="161"/>
      <c r="AA54" s="161"/>
      <c r="AB54" s="161"/>
      <c r="AC54" s="161"/>
      <c r="AD54" s="161"/>
      <c r="AE54" s="161" t="s">
        <v>119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1" x14ac:dyDescent="0.2">
      <c r="A55" s="154"/>
      <c r="B55" s="154"/>
      <c r="C55" s="162" t="s">
        <v>187</v>
      </c>
      <c r="D55" s="163"/>
      <c r="E55" s="164">
        <v>68.847999999999999</v>
      </c>
      <c r="F55" s="159"/>
      <c r="G55" s="159"/>
      <c r="H55" s="159"/>
      <c r="I55" s="159"/>
      <c r="J55" s="159"/>
      <c r="K55" s="159"/>
      <c r="L55" s="159"/>
      <c r="M55" s="159"/>
      <c r="N55" s="156"/>
      <c r="O55" s="156"/>
      <c r="P55" s="156"/>
      <c r="Q55" s="156"/>
      <c r="R55" s="156"/>
      <c r="S55" s="156"/>
      <c r="T55" s="160"/>
      <c r="U55" s="156"/>
      <c r="V55" s="161"/>
      <c r="W55" s="161"/>
      <c r="X55" s="161"/>
      <c r="Y55" s="161"/>
      <c r="Z55" s="161"/>
      <c r="AA55" s="161"/>
      <c r="AB55" s="161"/>
      <c r="AC55" s="161"/>
      <c r="AD55" s="161"/>
      <c r="AE55" s="161" t="s">
        <v>121</v>
      </c>
      <c r="AF55" s="161">
        <v>0</v>
      </c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outlineLevel="1" x14ac:dyDescent="0.2">
      <c r="A56" s="154">
        <v>24</v>
      </c>
      <c r="B56" s="154" t="s">
        <v>188</v>
      </c>
      <c r="C56" s="155" t="s">
        <v>189</v>
      </c>
      <c r="D56" s="156" t="s">
        <v>173</v>
      </c>
      <c r="E56" s="157">
        <v>1</v>
      </c>
      <c r="F56" s="158"/>
      <c r="G56" s="159">
        <f>ROUND(E56*F56,2)</f>
        <v>0</v>
      </c>
      <c r="H56" s="158"/>
      <c r="I56" s="159">
        <f>ROUND(E56*H56,2)</f>
        <v>0</v>
      </c>
      <c r="J56" s="158"/>
      <c r="K56" s="159">
        <f>ROUND(E56*J56,2)</f>
        <v>0</v>
      </c>
      <c r="L56" s="159">
        <v>21</v>
      </c>
      <c r="M56" s="159">
        <f>G56*(1+L56/100)</f>
        <v>0</v>
      </c>
      <c r="N56" s="156">
        <v>0</v>
      </c>
      <c r="O56" s="156">
        <f>ROUND(E56*N56,5)</f>
        <v>0</v>
      </c>
      <c r="P56" s="156">
        <v>0</v>
      </c>
      <c r="Q56" s="156">
        <f>ROUND(E56*P56,5)</f>
        <v>0</v>
      </c>
      <c r="R56" s="156"/>
      <c r="S56" s="156"/>
      <c r="T56" s="160">
        <v>0.09</v>
      </c>
      <c r="U56" s="156">
        <f>ROUND(E56*T56,2)</f>
        <v>0.09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 t="s">
        <v>119</v>
      </c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outlineLevel="1" x14ac:dyDescent="0.2">
      <c r="A57" s="154"/>
      <c r="B57" s="154"/>
      <c r="C57" s="162" t="s">
        <v>190</v>
      </c>
      <c r="D57" s="163"/>
      <c r="E57" s="164">
        <v>1</v>
      </c>
      <c r="F57" s="159"/>
      <c r="G57" s="159"/>
      <c r="H57" s="159"/>
      <c r="I57" s="159"/>
      <c r="J57" s="159"/>
      <c r="K57" s="159"/>
      <c r="L57" s="159"/>
      <c r="M57" s="159"/>
      <c r="N57" s="156"/>
      <c r="O57" s="156"/>
      <c r="P57" s="156"/>
      <c r="Q57" s="156"/>
      <c r="R57" s="156"/>
      <c r="S57" s="156"/>
      <c r="T57" s="160"/>
      <c r="U57" s="156"/>
      <c r="V57" s="161"/>
      <c r="W57" s="161"/>
      <c r="X57" s="161"/>
      <c r="Y57" s="161"/>
      <c r="Z57" s="161"/>
      <c r="AA57" s="161"/>
      <c r="AB57" s="161"/>
      <c r="AC57" s="161"/>
      <c r="AD57" s="161"/>
      <c r="AE57" s="161" t="s">
        <v>121</v>
      </c>
      <c r="AF57" s="161">
        <v>0</v>
      </c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</row>
    <row r="58" spans="1:60" outlineLevel="1" x14ac:dyDescent="0.2">
      <c r="A58" s="154">
        <v>25</v>
      </c>
      <c r="B58" s="154" t="s">
        <v>191</v>
      </c>
      <c r="C58" s="155" t="s">
        <v>192</v>
      </c>
      <c r="D58" s="156" t="s">
        <v>124</v>
      </c>
      <c r="E58" s="157">
        <v>2.42</v>
      </c>
      <c r="F58" s="158"/>
      <c r="G58" s="159">
        <f>ROUND(E58*F58,2)</f>
        <v>0</v>
      </c>
      <c r="H58" s="158"/>
      <c r="I58" s="159">
        <f>ROUND(E58*H58,2)</f>
        <v>0</v>
      </c>
      <c r="J58" s="158"/>
      <c r="K58" s="159">
        <f>ROUND(E58*J58,2)</f>
        <v>0</v>
      </c>
      <c r="L58" s="159">
        <v>21</v>
      </c>
      <c r="M58" s="159">
        <f>G58*(1+L58/100)</f>
        <v>0</v>
      </c>
      <c r="N58" s="156">
        <v>0.03</v>
      </c>
      <c r="O58" s="156">
        <f>ROUND(E58*N58,5)</f>
        <v>7.2599999999999998E-2</v>
      </c>
      <c r="P58" s="156">
        <v>6.7000000000000004E-2</v>
      </c>
      <c r="Q58" s="156">
        <f>ROUND(E58*P58,5)</f>
        <v>0.16214000000000001</v>
      </c>
      <c r="R58" s="156"/>
      <c r="S58" s="156"/>
      <c r="T58" s="160">
        <v>0.53300000000000003</v>
      </c>
      <c r="U58" s="156">
        <f>ROUND(E58*T58,2)</f>
        <v>1.29</v>
      </c>
      <c r="V58" s="161"/>
      <c r="W58" s="161"/>
      <c r="X58" s="161"/>
      <c r="Y58" s="161"/>
      <c r="Z58" s="161"/>
      <c r="AA58" s="161"/>
      <c r="AB58" s="161"/>
      <c r="AC58" s="161"/>
      <c r="AD58" s="161"/>
      <c r="AE58" s="161" t="s">
        <v>119</v>
      </c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54"/>
      <c r="B59" s="154"/>
      <c r="C59" s="162" t="s">
        <v>193</v>
      </c>
      <c r="D59" s="163"/>
      <c r="E59" s="164">
        <v>2.42</v>
      </c>
      <c r="F59" s="159"/>
      <c r="G59" s="159"/>
      <c r="H59" s="159"/>
      <c r="I59" s="159"/>
      <c r="J59" s="159"/>
      <c r="K59" s="159"/>
      <c r="L59" s="159"/>
      <c r="M59" s="159"/>
      <c r="N59" s="156"/>
      <c r="O59" s="156"/>
      <c r="P59" s="156"/>
      <c r="Q59" s="156"/>
      <c r="R59" s="156"/>
      <c r="S59" s="156"/>
      <c r="T59" s="160"/>
      <c r="U59" s="156"/>
      <c r="V59" s="161"/>
      <c r="W59" s="161"/>
      <c r="X59" s="161"/>
      <c r="Y59" s="161"/>
      <c r="Z59" s="161"/>
      <c r="AA59" s="161"/>
      <c r="AB59" s="161"/>
      <c r="AC59" s="161"/>
      <c r="AD59" s="161"/>
      <c r="AE59" s="161" t="s">
        <v>121</v>
      </c>
      <c r="AF59" s="161">
        <v>0</v>
      </c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ht="22.5" outlineLevel="1" x14ac:dyDescent="0.2">
      <c r="A60" s="154">
        <v>26</v>
      </c>
      <c r="B60" s="154" t="s">
        <v>194</v>
      </c>
      <c r="C60" s="155" t="s">
        <v>195</v>
      </c>
      <c r="D60" s="156" t="s">
        <v>118</v>
      </c>
      <c r="E60" s="157">
        <v>5.9584999999999999</v>
      </c>
      <c r="F60" s="158"/>
      <c r="G60" s="159">
        <f>ROUND(E60*F60,2)</f>
        <v>0</v>
      </c>
      <c r="H60" s="158"/>
      <c r="I60" s="159">
        <f>ROUND(E60*H60,2)</f>
        <v>0</v>
      </c>
      <c r="J60" s="158"/>
      <c r="K60" s="159">
        <f>ROUND(E60*J60,2)</f>
        <v>0</v>
      </c>
      <c r="L60" s="159">
        <v>21</v>
      </c>
      <c r="M60" s="159">
        <f>G60*(1+L60/100)</f>
        <v>0</v>
      </c>
      <c r="N60" s="156">
        <v>2.2000000000000002</v>
      </c>
      <c r="O60" s="156">
        <f>ROUND(E60*N60,5)</f>
        <v>13.108700000000001</v>
      </c>
      <c r="P60" s="156">
        <v>2.2000000000000002</v>
      </c>
      <c r="Q60" s="156">
        <f>ROUND(E60*P60,5)</f>
        <v>13.108700000000001</v>
      </c>
      <c r="R60" s="156"/>
      <c r="S60" s="156"/>
      <c r="T60" s="160">
        <v>5.867</v>
      </c>
      <c r="U60" s="156">
        <f>ROUND(E60*T60,2)</f>
        <v>34.96</v>
      </c>
      <c r="V60" s="161"/>
      <c r="W60" s="161"/>
      <c r="X60" s="161"/>
      <c r="Y60" s="161"/>
      <c r="Z60" s="161"/>
      <c r="AA60" s="161"/>
      <c r="AB60" s="161"/>
      <c r="AC60" s="161"/>
      <c r="AD60" s="161"/>
      <c r="AE60" s="161" t="s">
        <v>119</v>
      </c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ht="22.5" outlineLevel="1" x14ac:dyDescent="0.2">
      <c r="A61" s="154"/>
      <c r="B61" s="154"/>
      <c r="C61" s="162" t="s">
        <v>196</v>
      </c>
      <c r="D61" s="163"/>
      <c r="E61" s="164">
        <v>5.9584999999999999</v>
      </c>
      <c r="F61" s="159"/>
      <c r="G61" s="159"/>
      <c r="H61" s="159"/>
      <c r="I61" s="159"/>
      <c r="J61" s="159"/>
      <c r="K61" s="159"/>
      <c r="L61" s="159"/>
      <c r="M61" s="159"/>
      <c r="N61" s="156"/>
      <c r="O61" s="156"/>
      <c r="P61" s="156"/>
      <c r="Q61" s="156"/>
      <c r="R61" s="156"/>
      <c r="S61" s="156"/>
      <c r="T61" s="160"/>
      <c r="U61" s="156"/>
      <c r="V61" s="161"/>
      <c r="W61" s="161"/>
      <c r="X61" s="161"/>
      <c r="Y61" s="161"/>
      <c r="Z61" s="161"/>
      <c r="AA61" s="161"/>
      <c r="AB61" s="161"/>
      <c r="AC61" s="161"/>
      <c r="AD61" s="161"/>
      <c r="AE61" s="161" t="s">
        <v>121</v>
      </c>
      <c r="AF61" s="161">
        <v>0</v>
      </c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outlineLevel="1" x14ac:dyDescent="0.2">
      <c r="A62" s="154">
        <v>27</v>
      </c>
      <c r="B62" s="154" t="s">
        <v>197</v>
      </c>
      <c r="C62" s="155" t="s">
        <v>198</v>
      </c>
      <c r="D62" s="156" t="s">
        <v>118</v>
      </c>
      <c r="E62" s="157">
        <v>6.3</v>
      </c>
      <c r="F62" s="158"/>
      <c r="G62" s="159">
        <f>ROUND(E62*F62,2)</f>
        <v>0</v>
      </c>
      <c r="H62" s="158"/>
      <c r="I62" s="159">
        <f>ROUND(E62*H62,2)</f>
        <v>0</v>
      </c>
      <c r="J62" s="158"/>
      <c r="K62" s="159">
        <f>ROUND(E62*J62,2)</f>
        <v>0</v>
      </c>
      <c r="L62" s="159">
        <v>21</v>
      </c>
      <c r="M62" s="159">
        <f>G62*(1+L62/100)</f>
        <v>0</v>
      </c>
      <c r="N62" s="156">
        <v>2.2000000000000002</v>
      </c>
      <c r="O62" s="156">
        <f>ROUND(E62*N62,5)</f>
        <v>13.86</v>
      </c>
      <c r="P62" s="156">
        <v>2.2000000000000002</v>
      </c>
      <c r="Q62" s="156">
        <f>ROUND(E62*P62,5)</f>
        <v>13.86</v>
      </c>
      <c r="R62" s="156"/>
      <c r="S62" s="156"/>
      <c r="T62" s="160">
        <v>7.1950000000000003</v>
      </c>
      <c r="U62" s="156">
        <f>ROUND(E62*T62,2)</f>
        <v>45.33</v>
      </c>
      <c r="V62" s="161"/>
      <c r="W62" s="161"/>
      <c r="X62" s="161"/>
      <c r="Y62" s="161"/>
      <c r="Z62" s="161"/>
      <c r="AA62" s="161"/>
      <c r="AB62" s="161"/>
      <c r="AC62" s="161"/>
      <c r="AD62" s="161"/>
      <c r="AE62" s="161" t="s">
        <v>119</v>
      </c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</row>
    <row r="63" spans="1:60" outlineLevel="1" x14ac:dyDescent="0.2">
      <c r="A63" s="154"/>
      <c r="B63" s="154"/>
      <c r="C63" s="162" t="s">
        <v>199</v>
      </c>
      <c r="D63" s="163"/>
      <c r="E63" s="164">
        <v>6.3</v>
      </c>
      <c r="F63" s="159"/>
      <c r="G63" s="159"/>
      <c r="H63" s="159"/>
      <c r="I63" s="159"/>
      <c r="J63" s="159"/>
      <c r="K63" s="159"/>
      <c r="L63" s="159"/>
      <c r="M63" s="159"/>
      <c r="N63" s="156"/>
      <c r="O63" s="156"/>
      <c r="P63" s="156"/>
      <c r="Q63" s="156"/>
      <c r="R63" s="156"/>
      <c r="S63" s="156"/>
      <c r="T63" s="160"/>
      <c r="U63" s="156"/>
      <c r="V63" s="161"/>
      <c r="W63" s="161"/>
      <c r="X63" s="161"/>
      <c r="Y63" s="161"/>
      <c r="Z63" s="161"/>
      <c r="AA63" s="161"/>
      <c r="AB63" s="161"/>
      <c r="AC63" s="161"/>
      <c r="AD63" s="161"/>
      <c r="AE63" s="161" t="s">
        <v>121</v>
      </c>
      <c r="AF63" s="161">
        <v>0</v>
      </c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outlineLevel="1" x14ac:dyDescent="0.2">
      <c r="A64" s="154">
        <v>28</v>
      </c>
      <c r="B64" s="154" t="s">
        <v>200</v>
      </c>
      <c r="C64" s="155" t="s">
        <v>201</v>
      </c>
      <c r="D64" s="156" t="s">
        <v>124</v>
      </c>
      <c r="E64" s="157">
        <v>62</v>
      </c>
      <c r="F64" s="158"/>
      <c r="G64" s="159">
        <f>ROUND(E64*F64,2)</f>
        <v>0</v>
      </c>
      <c r="H64" s="158"/>
      <c r="I64" s="159">
        <f>ROUND(E64*H64,2)</f>
        <v>0</v>
      </c>
      <c r="J64" s="158"/>
      <c r="K64" s="159">
        <f>ROUND(E64*J64,2)</f>
        <v>0</v>
      </c>
      <c r="L64" s="159">
        <v>21</v>
      </c>
      <c r="M64" s="159">
        <f>G64*(1+L64/100)</f>
        <v>0</v>
      </c>
      <c r="N64" s="156">
        <v>4.0000000000000001E-3</v>
      </c>
      <c r="O64" s="156">
        <f>ROUND(E64*N64,5)</f>
        <v>0.248</v>
      </c>
      <c r="P64" s="156">
        <v>4.0000000000000001E-3</v>
      </c>
      <c r="Q64" s="156">
        <f>ROUND(E64*P64,5)</f>
        <v>0.248</v>
      </c>
      <c r="R64" s="156"/>
      <c r="S64" s="156"/>
      <c r="T64" s="160">
        <v>0.03</v>
      </c>
      <c r="U64" s="156">
        <f>ROUND(E64*T64,2)</f>
        <v>1.86</v>
      </c>
      <c r="V64" s="161"/>
      <c r="W64" s="161"/>
      <c r="X64" s="161"/>
      <c r="Y64" s="161"/>
      <c r="Z64" s="161"/>
      <c r="AA64" s="161"/>
      <c r="AB64" s="161"/>
      <c r="AC64" s="161"/>
      <c r="AD64" s="161"/>
      <c r="AE64" s="161" t="s">
        <v>119</v>
      </c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</row>
    <row r="65" spans="1:60" outlineLevel="1" x14ac:dyDescent="0.2">
      <c r="A65" s="154"/>
      <c r="B65" s="154"/>
      <c r="C65" s="162" t="s">
        <v>132</v>
      </c>
      <c r="D65" s="163"/>
      <c r="E65" s="164">
        <v>62</v>
      </c>
      <c r="F65" s="159"/>
      <c r="G65" s="159"/>
      <c r="H65" s="159"/>
      <c r="I65" s="159"/>
      <c r="J65" s="159"/>
      <c r="K65" s="159"/>
      <c r="L65" s="159"/>
      <c r="M65" s="159"/>
      <c r="N65" s="156"/>
      <c r="O65" s="156"/>
      <c r="P65" s="156"/>
      <c r="Q65" s="156"/>
      <c r="R65" s="156"/>
      <c r="S65" s="156"/>
      <c r="T65" s="160"/>
      <c r="U65" s="156"/>
      <c r="V65" s="161"/>
      <c r="W65" s="161"/>
      <c r="X65" s="161"/>
      <c r="Y65" s="161"/>
      <c r="Z65" s="161"/>
      <c r="AA65" s="161"/>
      <c r="AB65" s="161"/>
      <c r="AC65" s="161"/>
      <c r="AD65" s="161"/>
      <c r="AE65" s="161" t="s">
        <v>121</v>
      </c>
      <c r="AF65" s="161">
        <v>0</v>
      </c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outlineLevel="1" x14ac:dyDescent="0.2">
      <c r="A66" s="154">
        <v>29</v>
      </c>
      <c r="B66" s="154" t="s">
        <v>202</v>
      </c>
      <c r="C66" s="155" t="s">
        <v>203</v>
      </c>
      <c r="D66" s="156" t="s">
        <v>124</v>
      </c>
      <c r="E66" s="157">
        <v>110</v>
      </c>
      <c r="F66" s="158"/>
      <c r="G66" s="159">
        <f>ROUND(E66*F66,2)</f>
        <v>0</v>
      </c>
      <c r="H66" s="158"/>
      <c r="I66" s="159">
        <f>ROUND(E66*H66,2)</f>
        <v>0</v>
      </c>
      <c r="J66" s="158"/>
      <c r="K66" s="159">
        <f>ROUND(E66*J66,2)</f>
        <v>0</v>
      </c>
      <c r="L66" s="159">
        <v>21</v>
      </c>
      <c r="M66" s="159">
        <f>G66*(1+L66/100)</f>
        <v>0</v>
      </c>
      <c r="N66" s="156">
        <v>4.0000000000000001E-3</v>
      </c>
      <c r="O66" s="156">
        <f>ROUND(E66*N66,5)</f>
        <v>0.44</v>
      </c>
      <c r="P66" s="156">
        <v>4.0000000000000001E-3</v>
      </c>
      <c r="Q66" s="156">
        <f>ROUND(E66*P66,5)</f>
        <v>0.44</v>
      </c>
      <c r="R66" s="156"/>
      <c r="S66" s="156"/>
      <c r="T66" s="160">
        <v>0.03</v>
      </c>
      <c r="U66" s="156">
        <f>ROUND(E66*T66,2)</f>
        <v>3.3</v>
      </c>
      <c r="V66" s="161"/>
      <c r="W66" s="161"/>
      <c r="X66" s="161"/>
      <c r="Y66" s="161"/>
      <c r="Z66" s="161"/>
      <c r="AA66" s="161"/>
      <c r="AB66" s="161"/>
      <c r="AC66" s="161"/>
      <c r="AD66" s="161"/>
      <c r="AE66" s="161" t="s">
        <v>119</v>
      </c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54"/>
      <c r="B67" s="154"/>
      <c r="C67" s="162" t="s">
        <v>129</v>
      </c>
      <c r="D67" s="163"/>
      <c r="E67" s="164">
        <v>110</v>
      </c>
      <c r="F67" s="159"/>
      <c r="G67" s="159"/>
      <c r="H67" s="159"/>
      <c r="I67" s="159"/>
      <c r="J67" s="159"/>
      <c r="K67" s="159"/>
      <c r="L67" s="159"/>
      <c r="M67" s="159"/>
      <c r="N67" s="156"/>
      <c r="O67" s="156"/>
      <c r="P67" s="156"/>
      <c r="Q67" s="156"/>
      <c r="R67" s="156"/>
      <c r="S67" s="156"/>
      <c r="T67" s="160"/>
      <c r="U67" s="156"/>
      <c r="V67" s="161"/>
      <c r="W67" s="161"/>
      <c r="X67" s="161"/>
      <c r="Y67" s="161"/>
      <c r="Z67" s="161"/>
      <c r="AA67" s="161"/>
      <c r="AB67" s="161"/>
      <c r="AC67" s="161"/>
      <c r="AD67" s="161"/>
      <c r="AE67" s="161" t="s">
        <v>121</v>
      </c>
      <c r="AF67" s="161">
        <v>0</v>
      </c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outlineLevel="1" x14ac:dyDescent="0.2">
      <c r="A68" s="154">
        <v>30</v>
      </c>
      <c r="B68" s="154" t="s">
        <v>204</v>
      </c>
      <c r="C68" s="155" t="s">
        <v>205</v>
      </c>
      <c r="D68" s="156" t="s">
        <v>177</v>
      </c>
      <c r="E68" s="157">
        <v>29.118120000000001</v>
      </c>
      <c r="F68" s="158"/>
      <c r="G68" s="159">
        <f>ROUND(E68*F68,2)</f>
        <v>0</v>
      </c>
      <c r="H68" s="158"/>
      <c r="I68" s="159">
        <f>ROUND(E68*H68,2)</f>
        <v>0</v>
      </c>
      <c r="J68" s="158"/>
      <c r="K68" s="159">
        <f>ROUND(E68*J68,2)</f>
        <v>0</v>
      </c>
      <c r="L68" s="159">
        <v>21</v>
      </c>
      <c r="M68" s="159">
        <f>G68*(1+L68/100)</f>
        <v>0</v>
      </c>
      <c r="N68" s="156">
        <v>0</v>
      </c>
      <c r="O68" s="156">
        <f>ROUND(E68*N68,5)</f>
        <v>0</v>
      </c>
      <c r="P68" s="156">
        <v>0</v>
      </c>
      <c r="Q68" s="156">
        <f>ROUND(E68*P68,5)</f>
        <v>0</v>
      </c>
      <c r="R68" s="156"/>
      <c r="S68" s="156"/>
      <c r="T68" s="160">
        <v>2.4700000000000002</v>
      </c>
      <c r="U68" s="156">
        <f>ROUND(E68*T68,2)</f>
        <v>71.92</v>
      </c>
      <c r="V68" s="161"/>
      <c r="W68" s="161"/>
      <c r="X68" s="161"/>
      <c r="Y68" s="161"/>
      <c r="Z68" s="161"/>
      <c r="AA68" s="161"/>
      <c r="AB68" s="161"/>
      <c r="AC68" s="161"/>
      <c r="AD68" s="161"/>
      <c r="AE68" s="161" t="s">
        <v>128</v>
      </c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">
      <c r="A69" s="154">
        <v>31</v>
      </c>
      <c r="B69" s="154" t="s">
        <v>206</v>
      </c>
      <c r="C69" s="155" t="s">
        <v>207</v>
      </c>
      <c r="D69" s="156" t="s">
        <v>177</v>
      </c>
      <c r="E69" s="157">
        <v>29.118120000000001</v>
      </c>
      <c r="F69" s="158"/>
      <c r="G69" s="159">
        <f>ROUND(E69*F69,2)</f>
        <v>0</v>
      </c>
      <c r="H69" s="158"/>
      <c r="I69" s="159">
        <f>ROUND(E69*H69,2)</f>
        <v>0</v>
      </c>
      <c r="J69" s="158"/>
      <c r="K69" s="159">
        <f>ROUND(E69*J69,2)</f>
        <v>0</v>
      </c>
      <c r="L69" s="159">
        <v>21</v>
      </c>
      <c r="M69" s="159">
        <f>G69*(1+L69/100)</f>
        <v>0</v>
      </c>
      <c r="N69" s="156">
        <v>0</v>
      </c>
      <c r="O69" s="156">
        <f>ROUND(E69*N69,5)</f>
        <v>0</v>
      </c>
      <c r="P69" s="156">
        <v>0</v>
      </c>
      <c r="Q69" s="156">
        <f>ROUND(E69*P69,5)</f>
        <v>0</v>
      </c>
      <c r="R69" s="156"/>
      <c r="S69" s="156"/>
      <c r="T69" s="160">
        <v>0</v>
      </c>
      <c r="U69" s="156">
        <f>ROUND(E69*T69,2)</f>
        <v>0</v>
      </c>
      <c r="V69" s="161"/>
      <c r="W69" s="161"/>
      <c r="X69" s="161"/>
      <c r="Y69" s="161"/>
      <c r="Z69" s="161"/>
      <c r="AA69" s="161"/>
      <c r="AB69" s="161"/>
      <c r="AC69" s="161"/>
      <c r="AD69" s="161"/>
      <c r="AE69" s="161" t="s">
        <v>119</v>
      </c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x14ac:dyDescent="0.2">
      <c r="A70" s="165" t="s">
        <v>114</v>
      </c>
      <c r="B70" s="165" t="s">
        <v>65</v>
      </c>
      <c r="C70" s="166" t="s">
        <v>66</v>
      </c>
      <c r="D70" s="167"/>
      <c r="E70" s="168"/>
      <c r="F70" s="169"/>
      <c r="G70" s="169">
        <f>SUMIF(AE71:AE71,"&lt;&gt;NOR",G71:G71)</f>
        <v>0</v>
      </c>
      <c r="H70" s="169"/>
      <c r="I70" s="169">
        <f>SUM(I71:I71)</f>
        <v>0</v>
      </c>
      <c r="J70" s="169"/>
      <c r="K70" s="169">
        <f>SUM(K71:K71)</f>
        <v>0</v>
      </c>
      <c r="L70" s="169"/>
      <c r="M70" s="169">
        <f>SUM(M71:M71)</f>
        <v>0</v>
      </c>
      <c r="N70" s="167"/>
      <c r="O70" s="167">
        <f>SUM(O71:O71)</f>
        <v>0</v>
      </c>
      <c r="P70" s="167"/>
      <c r="Q70" s="167">
        <f>SUM(Q71:Q71)</f>
        <v>0</v>
      </c>
      <c r="R70" s="167"/>
      <c r="S70" s="167"/>
      <c r="T70" s="170"/>
      <c r="U70" s="167">
        <f>SUM(U71:U71)</f>
        <v>13.41</v>
      </c>
      <c r="AE70" t="s">
        <v>115</v>
      </c>
    </row>
    <row r="71" spans="1:60" outlineLevel="1" x14ac:dyDescent="0.2">
      <c r="A71" s="154">
        <v>32</v>
      </c>
      <c r="B71" s="154" t="s">
        <v>208</v>
      </c>
      <c r="C71" s="155" t="s">
        <v>209</v>
      </c>
      <c r="D71" s="156" t="s">
        <v>177</v>
      </c>
      <c r="E71" s="157">
        <v>14.284000000000001</v>
      </c>
      <c r="F71" s="158"/>
      <c r="G71" s="159">
        <f>ROUND(E71*F71,2)</f>
        <v>0</v>
      </c>
      <c r="H71" s="158"/>
      <c r="I71" s="159">
        <f>ROUND(E71*H71,2)</f>
        <v>0</v>
      </c>
      <c r="J71" s="158"/>
      <c r="K71" s="159">
        <f>ROUND(E71*J71,2)</f>
        <v>0</v>
      </c>
      <c r="L71" s="159">
        <v>21</v>
      </c>
      <c r="M71" s="159">
        <f>G71*(1+L71/100)</f>
        <v>0</v>
      </c>
      <c r="N71" s="156">
        <v>0</v>
      </c>
      <c r="O71" s="156">
        <f>ROUND(E71*N71,5)</f>
        <v>0</v>
      </c>
      <c r="P71" s="156">
        <v>0</v>
      </c>
      <c r="Q71" s="156">
        <f>ROUND(E71*P71,5)</f>
        <v>0</v>
      </c>
      <c r="R71" s="156"/>
      <c r="S71" s="156"/>
      <c r="T71" s="160">
        <v>0.9385</v>
      </c>
      <c r="U71" s="156">
        <f>ROUND(E71*T71,2)</f>
        <v>13.41</v>
      </c>
      <c r="V71" s="161"/>
      <c r="W71" s="161"/>
      <c r="X71" s="161"/>
      <c r="Y71" s="161"/>
      <c r="Z71" s="161"/>
      <c r="AA71" s="161"/>
      <c r="AB71" s="161"/>
      <c r="AC71" s="161"/>
      <c r="AD71" s="161"/>
      <c r="AE71" s="161" t="s">
        <v>119</v>
      </c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x14ac:dyDescent="0.2">
      <c r="A72" s="165" t="s">
        <v>114</v>
      </c>
      <c r="B72" s="165" t="s">
        <v>67</v>
      </c>
      <c r="C72" s="166" t="s">
        <v>68</v>
      </c>
      <c r="D72" s="167"/>
      <c r="E72" s="168"/>
      <c r="F72" s="169"/>
      <c r="G72" s="169">
        <f>SUMIF(AE73:AE74,"&lt;&gt;NOR",G73:G74)</f>
        <v>0</v>
      </c>
      <c r="H72" s="169"/>
      <c r="I72" s="169">
        <f>SUM(I73:I74)</f>
        <v>0</v>
      </c>
      <c r="J72" s="169"/>
      <c r="K72" s="169">
        <f>SUM(K73:K74)</f>
        <v>0</v>
      </c>
      <c r="L72" s="169"/>
      <c r="M72" s="169">
        <f>SUM(M73:M74)</f>
        <v>0</v>
      </c>
      <c r="N72" s="167"/>
      <c r="O72" s="167">
        <f>SUM(O73:O74)</f>
        <v>5.1299999999999998E-2</v>
      </c>
      <c r="P72" s="167"/>
      <c r="Q72" s="167">
        <f>SUM(Q73:Q74)</f>
        <v>0</v>
      </c>
      <c r="R72" s="167"/>
      <c r="S72" s="167"/>
      <c r="T72" s="170"/>
      <c r="U72" s="167">
        <f>SUM(U73:U74)</f>
        <v>7.02</v>
      </c>
      <c r="AE72" t="s">
        <v>115</v>
      </c>
    </row>
    <row r="73" spans="1:60" ht="22.5" outlineLevel="1" x14ac:dyDescent="0.2">
      <c r="A73" s="154">
        <v>33</v>
      </c>
      <c r="B73" s="154" t="s">
        <v>210</v>
      </c>
      <c r="C73" s="155" t="s">
        <v>211</v>
      </c>
      <c r="D73" s="156" t="s">
        <v>124</v>
      </c>
      <c r="E73" s="157">
        <v>54</v>
      </c>
      <c r="F73" s="158"/>
      <c r="G73" s="159">
        <f>ROUND(E73*F73,2)</f>
        <v>0</v>
      </c>
      <c r="H73" s="158"/>
      <c r="I73" s="159">
        <f>ROUND(E73*H73,2)</f>
        <v>0</v>
      </c>
      <c r="J73" s="158"/>
      <c r="K73" s="159">
        <f>ROUND(E73*J73,2)</f>
        <v>0</v>
      </c>
      <c r="L73" s="159">
        <v>21</v>
      </c>
      <c r="M73" s="159">
        <f>G73*(1+L73/100)</f>
        <v>0</v>
      </c>
      <c r="N73" s="156">
        <v>9.5E-4</v>
      </c>
      <c r="O73" s="156">
        <f>ROUND(E73*N73,5)</f>
        <v>5.1299999999999998E-2</v>
      </c>
      <c r="P73" s="156">
        <v>0</v>
      </c>
      <c r="Q73" s="156">
        <f>ROUND(E73*P73,5)</f>
        <v>0</v>
      </c>
      <c r="R73" s="156"/>
      <c r="S73" s="156"/>
      <c r="T73" s="160">
        <v>0.13</v>
      </c>
      <c r="U73" s="156">
        <f>ROUND(E73*T73,2)</f>
        <v>7.02</v>
      </c>
      <c r="V73" s="161"/>
      <c r="W73" s="161"/>
      <c r="X73" s="161"/>
      <c r="Y73" s="161"/>
      <c r="Z73" s="161"/>
      <c r="AA73" s="161"/>
      <c r="AB73" s="161"/>
      <c r="AC73" s="161"/>
      <c r="AD73" s="161"/>
      <c r="AE73" s="161" t="s">
        <v>119</v>
      </c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">
      <c r="A74" s="154"/>
      <c r="B74" s="154"/>
      <c r="C74" s="162" t="s">
        <v>155</v>
      </c>
      <c r="D74" s="163"/>
      <c r="E74" s="164">
        <v>54</v>
      </c>
      <c r="F74" s="159"/>
      <c r="G74" s="159"/>
      <c r="H74" s="159"/>
      <c r="I74" s="159"/>
      <c r="J74" s="159"/>
      <c r="K74" s="159"/>
      <c r="L74" s="159"/>
      <c r="M74" s="159"/>
      <c r="N74" s="156"/>
      <c r="O74" s="156"/>
      <c r="P74" s="156"/>
      <c r="Q74" s="156"/>
      <c r="R74" s="156"/>
      <c r="S74" s="156"/>
      <c r="T74" s="160"/>
      <c r="U74" s="156"/>
      <c r="V74" s="161"/>
      <c r="W74" s="161"/>
      <c r="X74" s="161"/>
      <c r="Y74" s="161"/>
      <c r="Z74" s="161"/>
      <c r="AA74" s="161"/>
      <c r="AB74" s="161"/>
      <c r="AC74" s="161"/>
      <c r="AD74" s="161"/>
      <c r="AE74" s="161" t="s">
        <v>121</v>
      </c>
      <c r="AF74" s="161">
        <v>0</v>
      </c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x14ac:dyDescent="0.2">
      <c r="A75" s="165" t="s">
        <v>114</v>
      </c>
      <c r="B75" s="165" t="s">
        <v>69</v>
      </c>
      <c r="C75" s="166" t="s">
        <v>70</v>
      </c>
      <c r="D75" s="167"/>
      <c r="E75" s="168"/>
      <c r="F75" s="169"/>
      <c r="G75" s="169">
        <f>SUMIF(AE76:AE80,"&lt;&gt;NOR",G76:G80)</f>
        <v>0</v>
      </c>
      <c r="H75" s="169"/>
      <c r="I75" s="169">
        <f>SUM(I76:I80)</f>
        <v>0</v>
      </c>
      <c r="J75" s="169"/>
      <c r="K75" s="169">
        <f>SUM(K76:K80)</f>
        <v>0</v>
      </c>
      <c r="L75" s="169"/>
      <c r="M75" s="169">
        <f>SUM(M76:M80)</f>
        <v>0</v>
      </c>
      <c r="N75" s="167"/>
      <c r="O75" s="167">
        <f>SUM(O76:O80)</f>
        <v>4.0010000000000004E-2</v>
      </c>
      <c r="P75" s="167"/>
      <c r="Q75" s="167">
        <f>SUM(Q76:Q80)</f>
        <v>5.0790000000000002E-2</v>
      </c>
      <c r="R75" s="167"/>
      <c r="S75" s="167"/>
      <c r="T75" s="170"/>
      <c r="U75" s="167">
        <f>SUM(U76:U80)</f>
        <v>2.0500000000000003</v>
      </c>
      <c r="AE75" t="s">
        <v>115</v>
      </c>
    </row>
    <row r="76" spans="1:60" ht="22.5" outlineLevel="1" x14ac:dyDescent="0.2">
      <c r="A76" s="154">
        <v>34</v>
      </c>
      <c r="B76" s="154" t="s">
        <v>212</v>
      </c>
      <c r="C76" s="155" t="s">
        <v>213</v>
      </c>
      <c r="D76" s="156" t="s">
        <v>173</v>
      </c>
      <c r="E76" s="157">
        <v>1</v>
      </c>
      <c r="F76" s="158"/>
      <c r="G76" s="159">
        <f>ROUND(E76*F76,2)</f>
        <v>0</v>
      </c>
      <c r="H76" s="158"/>
      <c r="I76" s="159">
        <f>ROUND(E76*H76,2)</f>
        <v>0</v>
      </c>
      <c r="J76" s="158"/>
      <c r="K76" s="159">
        <f>ROUND(E76*J76,2)</f>
        <v>0</v>
      </c>
      <c r="L76" s="159">
        <v>21</v>
      </c>
      <c r="M76" s="159">
        <f>G76*(1+L76/100)</f>
        <v>0</v>
      </c>
      <c r="N76" s="156">
        <v>5.0000000000000002E-5</v>
      </c>
      <c r="O76" s="156">
        <f>ROUND(E76*N76,5)</f>
        <v>5.0000000000000002E-5</v>
      </c>
      <c r="P76" s="156">
        <v>1.235E-2</v>
      </c>
      <c r="Q76" s="156">
        <f>ROUND(E76*P76,5)</f>
        <v>1.235E-2</v>
      </c>
      <c r="R76" s="156"/>
      <c r="S76" s="156"/>
      <c r="T76" s="160">
        <v>0.23699999999999999</v>
      </c>
      <c r="U76" s="156">
        <f>ROUND(E76*T76,2)</f>
        <v>0.24</v>
      </c>
      <c r="V76" s="161"/>
      <c r="W76" s="161"/>
      <c r="X76" s="161"/>
      <c r="Y76" s="161"/>
      <c r="Z76" s="161"/>
      <c r="AA76" s="161"/>
      <c r="AB76" s="161"/>
      <c r="AC76" s="161"/>
      <c r="AD76" s="161"/>
      <c r="AE76" s="161" t="s">
        <v>119</v>
      </c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</row>
    <row r="77" spans="1:60" ht="22.5" outlineLevel="1" x14ac:dyDescent="0.2">
      <c r="A77" s="154">
        <v>35</v>
      </c>
      <c r="B77" s="154" t="s">
        <v>214</v>
      </c>
      <c r="C77" s="155" t="s">
        <v>215</v>
      </c>
      <c r="D77" s="156" t="s">
        <v>173</v>
      </c>
      <c r="E77" s="157">
        <v>1</v>
      </c>
      <c r="F77" s="158"/>
      <c r="G77" s="159">
        <f>ROUND(E77*F77,2)</f>
        <v>0</v>
      </c>
      <c r="H77" s="158"/>
      <c r="I77" s="159">
        <f>ROUND(E77*H77,2)</f>
        <v>0</v>
      </c>
      <c r="J77" s="158"/>
      <c r="K77" s="159">
        <f>ROUND(E77*J77,2)</f>
        <v>0</v>
      </c>
      <c r="L77" s="159">
        <v>21</v>
      </c>
      <c r="M77" s="159">
        <f>G77*(1+L77/100)</f>
        <v>0</v>
      </c>
      <c r="N77" s="156">
        <v>5.0000000000000002E-5</v>
      </c>
      <c r="O77" s="156">
        <f>ROUND(E77*N77,5)</f>
        <v>5.0000000000000002E-5</v>
      </c>
      <c r="P77" s="156">
        <v>2.3259999999999999E-2</v>
      </c>
      <c r="Q77" s="156">
        <f>ROUND(E77*P77,5)</f>
        <v>2.3259999999999999E-2</v>
      </c>
      <c r="R77" s="156"/>
      <c r="S77" s="156"/>
      <c r="T77" s="160">
        <v>0.27800000000000002</v>
      </c>
      <c r="U77" s="156">
        <f>ROUND(E77*T77,2)</f>
        <v>0.28000000000000003</v>
      </c>
      <c r="V77" s="161"/>
      <c r="W77" s="161"/>
      <c r="X77" s="161"/>
      <c r="Y77" s="161"/>
      <c r="Z77" s="161"/>
      <c r="AA77" s="161"/>
      <c r="AB77" s="161"/>
      <c r="AC77" s="161"/>
      <c r="AD77" s="161"/>
      <c r="AE77" s="161" t="s">
        <v>119</v>
      </c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">
      <c r="A78" s="154">
        <v>36</v>
      </c>
      <c r="B78" s="154" t="s">
        <v>216</v>
      </c>
      <c r="C78" s="155" t="s">
        <v>217</v>
      </c>
      <c r="D78" s="156" t="s">
        <v>143</v>
      </c>
      <c r="E78" s="157">
        <v>13.8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21</v>
      </c>
      <c r="M78" s="159">
        <f>G78*(1+L78/100)</f>
        <v>0</v>
      </c>
      <c r="N78" s="156">
        <v>3.0000000000000001E-5</v>
      </c>
      <c r="O78" s="156">
        <f>ROUND(E78*N78,5)</f>
        <v>4.0999999999999999E-4</v>
      </c>
      <c r="P78" s="156">
        <v>1.1000000000000001E-3</v>
      </c>
      <c r="Q78" s="156">
        <f>ROUND(E78*P78,5)</f>
        <v>1.5180000000000001E-2</v>
      </c>
      <c r="R78" s="156"/>
      <c r="S78" s="156"/>
      <c r="T78" s="160">
        <v>0.08</v>
      </c>
      <c r="U78" s="156">
        <f>ROUND(E78*T78,2)</f>
        <v>1.1000000000000001</v>
      </c>
      <c r="V78" s="161"/>
      <c r="W78" s="161"/>
      <c r="X78" s="161"/>
      <c r="Y78" s="161"/>
      <c r="Z78" s="161"/>
      <c r="AA78" s="161"/>
      <c r="AB78" s="161"/>
      <c r="AC78" s="161"/>
      <c r="AD78" s="161"/>
      <c r="AE78" s="161" t="s">
        <v>119</v>
      </c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54"/>
      <c r="B79" s="154"/>
      <c r="C79" s="162" t="s">
        <v>218</v>
      </c>
      <c r="D79" s="163"/>
      <c r="E79" s="164">
        <v>13.8</v>
      </c>
      <c r="F79" s="159"/>
      <c r="G79" s="159"/>
      <c r="H79" s="159"/>
      <c r="I79" s="159"/>
      <c r="J79" s="159"/>
      <c r="K79" s="159"/>
      <c r="L79" s="159"/>
      <c r="M79" s="159"/>
      <c r="N79" s="156"/>
      <c r="O79" s="156"/>
      <c r="P79" s="156"/>
      <c r="Q79" s="156"/>
      <c r="R79" s="156"/>
      <c r="S79" s="156"/>
      <c r="T79" s="160"/>
      <c r="U79" s="156"/>
      <c r="V79" s="161"/>
      <c r="W79" s="161"/>
      <c r="X79" s="161"/>
      <c r="Y79" s="161"/>
      <c r="Z79" s="161"/>
      <c r="AA79" s="161"/>
      <c r="AB79" s="161"/>
      <c r="AC79" s="161"/>
      <c r="AD79" s="161"/>
      <c r="AE79" s="161" t="s">
        <v>121</v>
      </c>
      <c r="AF79" s="161">
        <v>0</v>
      </c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">
      <c r="A80" s="154">
        <v>37</v>
      </c>
      <c r="B80" s="154" t="s">
        <v>219</v>
      </c>
      <c r="C80" s="155" t="s">
        <v>220</v>
      </c>
      <c r="D80" s="156" t="s">
        <v>221</v>
      </c>
      <c r="E80" s="157">
        <v>1</v>
      </c>
      <c r="F80" s="158">
        <f>Výpis_položek_UT!$G$37</f>
        <v>0</v>
      </c>
      <c r="G80" s="159">
        <f>ROUND(E80*F80,2)</f>
        <v>0</v>
      </c>
      <c r="H80" s="158"/>
      <c r="I80" s="159">
        <f>ROUND(E80*H80,2)</f>
        <v>0</v>
      </c>
      <c r="J80" s="158"/>
      <c r="K80" s="159">
        <f>ROUND(E80*J80,2)</f>
        <v>0</v>
      </c>
      <c r="L80" s="159">
        <v>21</v>
      </c>
      <c r="M80" s="159">
        <f>G80*(1+L80/100)</f>
        <v>0</v>
      </c>
      <c r="N80" s="156">
        <v>3.95E-2</v>
      </c>
      <c r="O80" s="156">
        <f>ROUND(E80*N80,5)</f>
        <v>3.95E-2</v>
      </c>
      <c r="P80" s="156">
        <v>0</v>
      </c>
      <c r="Q80" s="156">
        <f>ROUND(E80*P80,5)</f>
        <v>0</v>
      </c>
      <c r="R80" s="156"/>
      <c r="S80" s="156"/>
      <c r="T80" s="160">
        <v>0.42899999999999999</v>
      </c>
      <c r="U80" s="156">
        <f>ROUND(E80*T80,2)</f>
        <v>0.43</v>
      </c>
      <c r="V80" s="161"/>
      <c r="W80" s="161"/>
      <c r="X80" s="161"/>
      <c r="Y80" s="161"/>
      <c r="Z80" s="161"/>
      <c r="AA80" s="161"/>
      <c r="AB80" s="161"/>
      <c r="AC80" s="161"/>
      <c r="AD80" s="161"/>
      <c r="AE80" s="161" t="s">
        <v>119</v>
      </c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x14ac:dyDescent="0.2">
      <c r="A81" s="165" t="s">
        <v>114</v>
      </c>
      <c r="B81" s="165" t="s">
        <v>71</v>
      </c>
      <c r="C81" s="166" t="s">
        <v>72</v>
      </c>
      <c r="D81" s="167"/>
      <c r="E81" s="168"/>
      <c r="F81" s="169"/>
      <c r="G81" s="169">
        <f>SUMIF(AE82:AE98,"&lt;&gt;NOR",G82:G98)</f>
        <v>0</v>
      </c>
      <c r="H81" s="169"/>
      <c r="I81" s="169">
        <f>SUM(I82:I98)</f>
        <v>0</v>
      </c>
      <c r="J81" s="169"/>
      <c r="K81" s="169">
        <f>SUM(K82:K98)</f>
        <v>0</v>
      </c>
      <c r="L81" s="169"/>
      <c r="M81" s="169">
        <f>SUM(M82:M98)</f>
        <v>0</v>
      </c>
      <c r="N81" s="167"/>
      <c r="O81" s="167">
        <f>SUM(O82:O98)</f>
        <v>2.52</v>
      </c>
      <c r="P81" s="167"/>
      <c r="Q81" s="167">
        <f>SUM(Q82:Q98)</f>
        <v>0.65300000000000002</v>
      </c>
      <c r="R81" s="167"/>
      <c r="S81" s="167"/>
      <c r="T81" s="170"/>
      <c r="U81" s="167">
        <f>SUM(U82:U98)</f>
        <v>144.38999999999996</v>
      </c>
      <c r="AE81" t="s">
        <v>115</v>
      </c>
    </row>
    <row r="82" spans="1:60" ht="22.5" outlineLevel="1" x14ac:dyDescent="0.2">
      <c r="A82" s="154">
        <v>38</v>
      </c>
      <c r="B82" s="154" t="s">
        <v>222</v>
      </c>
      <c r="C82" s="155" t="s">
        <v>223</v>
      </c>
      <c r="D82" s="156" t="s">
        <v>224</v>
      </c>
      <c r="E82" s="157">
        <v>20</v>
      </c>
      <c r="F82" s="158"/>
      <c r="G82" s="159">
        <f t="shared" ref="G82:G98" si="0">ROUND(E82*F82,2)</f>
        <v>0</v>
      </c>
      <c r="H82" s="158"/>
      <c r="I82" s="159">
        <f t="shared" ref="I82:I98" si="1">ROUND(E82*H82,2)</f>
        <v>0</v>
      </c>
      <c r="J82" s="158"/>
      <c r="K82" s="159">
        <f t="shared" ref="K82:K98" si="2">ROUND(E82*J82,2)</f>
        <v>0</v>
      </c>
      <c r="L82" s="159">
        <v>21</v>
      </c>
      <c r="M82" s="159">
        <f t="shared" ref="M82:M98" si="3">G82*(1+L82/100)</f>
        <v>0</v>
      </c>
      <c r="N82" s="156">
        <v>0</v>
      </c>
      <c r="O82" s="156">
        <f t="shared" ref="O82:O98" si="4">ROUND(E82*N82,5)</f>
        <v>0</v>
      </c>
      <c r="P82" s="156">
        <v>3.2649999999999998E-2</v>
      </c>
      <c r="Q82" s="156">
        <f t="shared" ref="Q82:Q98" si="5">ROUND(E82*P82,5)</f>
        <v>0.65300000000000002</v>
      </c>
      <c r="R82" s="156"/>
      <c r="S82" s="156"/>
      <c r="T82" s="160">
        <v>0.39893000000000001</v>
      </c>
      <c r="U82" s="156">
        <f t="shared" ref="U82:U98" si="6">ROUND(E82*T82,2)</f>
        <v>7.98</v>
      </c>
      <c r="V82" s="161"/>
      <c r="W82" s="161"/>
      <c r="X82" s="161"/>
      <c r="Y82" s="161"/>
      <c r="Z82" s="161"/>
      <c r="AA82" s="161"/>
      <c r="AB82" s="161"/>
      <c r="AC82" s="161"/>
      <c r="AD82" s="161"/>
      <c r="AE82" s="161" t="s">
        <v>128</v>
      </c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</row>
    <row r="83" spans="1:60" outlineLevel="1" x14ac:dyDescent="0.2">
      <c r="A83" s="154">
        <v>39</v>
      </c>
      <c r="B83" s="154" t="s">
        <v>225</v>
      </c>
      <c r="C83" s="155" t="s">
        <v>226</v>
      </c>
      <c r="D83" s="156" t="s">
        <v>221</v>
      </c>
      <c r="E83" s="157">
        <v>2</v>
      </c>
      <c r="F83" s="158"/>
      <c r="G83" s="159">
        <f t="shared" si="0"/>
        <v>0</v>
      </c>
      <c r="H83" s="158"/>
      <c r="I83" s="159">
        <f t="shared" si="1"/>
        <v>0</v>
      </c>
      <c r="J83" s="158"/>
      <c r="K83" s="159">
        <f t="shared" si="2"/>
        <v>0</v>
      </c>
      <c r="L83" s="159">
        <v>21</v>
      </c>
      <c r="M83" s="159">
        <f t="shared" si="3"/>
        <v>0</v>
      </c>
      <c r="N83" s="156">
        <v>0.105</v>
      </c>
      <c r="O83" s="156">
        <f t="shared" si="4"/>
        <v>0.21</v>
      </c>
      <c r="P83" s="156">
        <v>0</v>
      </c>
      <c r="Q83" s="156">
        <f t="shared" si="5"/>
        <v>0</v>
      </c>
      <c r="R83" s="156"/>
      <c r="S83" s="156"/>
      <c r="T83" s="160">
        <v>5.6192099999999998</v>
      </c>
      <c r="U83" s="156">
        <f t="shared" si="6"/>
        <v>11.24</v>
      </c>
      <c r="V83" s="161"/>
      <c r="W83" s="161"/>
      <c r="X83" s="161"/>
      <c r="Y83" s="161"/>
      <c r="Z83" s="161"/>
      <c r="AA83" s="161"/>
      <c r="AB83" s="161"/>
      <c r="AC83" s="161"/>
      <c r="AD83" s="161"/>
      <c r="AE83" s="161" t="s">
        <v>158</v>
      </c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ht="22.5" outlineLevel="1" x14ac:dyDescent="0.2">
      <c r="A84" s="154">
        <v>40</v>
      </c>
      <c r="B84" s="154" t="s">
        <v>225</v>
      </c>
      <c r="C84" s="155" t="s">
        <v>227</v>
      </c>
      <c r="D84" s="156" t="s">
        <v>221</v>
      </c>
      <c r="E84" s="157">
        <v>1</v>
      </c>
      <c r="F84" s="158"/>
      <c r="G84" s="159">
        <f t="shared" si="0"/>
        <v>0</v>
      </c>
      <c r="H84" s="158"/>
      <c r="I84" s="159">
        <f t="shared" si="1"/>
        <v>0</v>
      </c>
      <c r="J84" s="158"/>
      <c r="K84" s="159">
        <f t="shared" si="2"/>
        <v>0</v>
      </c>
      <c r="L84" s="159">
        <v>21</v>
      </c>
      <c r="M84" s="159">
        <f t="shared" si="3"/>
        <v>0</v>
      </c>
      <c r="N84" s="156">
        <v>0.105</v>
      </c>
      <c r="O84" s="156">
        <f t="shared" si="4"/>
        <v>0.105</v>
      </c>
      <c r="P84" s="156">
        <v>0</v>
      </c>
      <c r="Q84" s="156">
        <f t="shared" si="5"/>
        <v>0</v>
      </c>
      <c r="R84" s="156"/>
      <c r="S84" s="156"/>
      <c r="T84" s="160">
        <v>5.6192099999999998</v>
      </c>
      <c r="U84" s="156">
        <f t="shared" si="6"/>
        <v>5.62</v>
      </c>
      <c r="V84" s="161"/>
      <c r="W84" s="161"/>
      <c r="X84" s="161"/>
      <c r="Y84" s="161"/>
      <c r="Z84" s="161"/>
      <c r="AA84" s="161"/>
      <c r="AB84" s="161"/>
      <c r="AC84" s="161"/>
      <c r="AD84" s="161"/>
      <c r="AE84" s="161" t="s">
        <v>158</v>
      </c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outlineLevel="1" x14ac:dyDescent="0.2">
      <c r="A85" s="154">
        <v>41</v>
      </c>
      <c r="B85" s="154" t="s">
        <v>225</v>
      </c>
      <c r="C85" s="155" t="s">
        <v>228</v>
      </c>
      <c r="D85" s="156" t="s">
        <v>221</v>
      </c>
      <c r="E85" s="157">
        <v>2</v>
      </c>
      <c r="F85" s="158"/>
      <c r="G85" s="159">
        <f t="shared" si="0"/>
        <v>0</v>
      </c>
      <c r="H85" s="158"/>
      <c r="I85" s="159">
        <f t="shared" si="1"/>
        <v>0</v>
      </c>
      <c r="J85" s="158"/>
      <c r="K85" s="159">
        <f t="shared" si="2"/>
        <v>0</v>
      </c>
      <c r="L85" s="159">
        <v>21</v>
      </c>
      <c r="M85" s="159">
        <f t="shared" si="3"/>
        <v>0</v>
      </c>
      <c r="N85" s="156">
        <v>0.105</v>
      </c>
      <c r="O85" s="156">
        <f t="shared" si="4"/>
        <v>0.21</v>
      </c>
      <c r="P85" s="156">
        <v>0</v>
      </c>
      <c r="Q85" s="156">
        <f t="shared" si="5"/>
        <v>0</v>
      </c>
      <c r="R85" s="156"/>
      <c r="S85" s="156"/>
      <c r="T85" s="160">
        <v>5.6192099999999998</v>
      </c>
      <c r="U85" s="156">
        <f t="shared" si="6"/>
        <v>11.24</v>
      </c>
      <c r="V85" s="161"/>
      <c r="W85" s="161"/>
      <c r="X85" s="161"/>
      <c r="Y85" s="161"/>
      <c r="Z85" s="161"/>
      <c r="AA85" s="161"/>
      <c r="AB85" s="161"/>
      <c r="AC85" s="161"/>
      <c r="AD85" s="161"/>
      <c r="AE85" s="161" t="s">
        <v>158</v>
      </c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ht="22.5" outlineLevel="1" x14ac:dyDescent="0.2">
      <c r="A86" s="154">
        <v>42</v>
      </c>
      <c r="B86" s="154" t="s">
        <v>225</v>
      </c>
      <c r="C86" s="155" t="s">
        <v>229</v>
      </c>
      <c r="D86" s="156" t="s">
        <v>221</v>
      </c>
      <c r="E86" s="157">
        <v>1</v>
      </c>
      <c r="F86" s="158"/>
      <c r="G86" s="159">
        <f t="shared" si="0"/>
        <v>0</v>
      </c>
      <c r="H86" s="158"/>
      <c r="I86" s="159">
        <f t="shared" si="1"/>
        <v>0</v>
      </c>
      <c r="J86" s="158"/>
      <c r="K86" s="159">
        <f t="shared" si="2"/>
        <v>0</v>
      </c>
      <c r="L86" s="159">
        <v>21</v>
      </c>
      <c r="M86" s="159">
        <f t="shared" si="3"/>
        <v>0</v>
      </c>
      <c r="N86" s="156">
        <v>0.105</v>
      </c>
      <c r="O86" s="156">
        <f t="shared" si="4"/>
        <v>0.105</v>
      </c>
      <c r="P86" s="156">
        <v>0</v>
      </c>
      <c r="Q86" s="156">
        <f t="shared" si="5"/>
        <v>0</v>
      </c>
      <c r="R86" s="156"/>
      <c r="S86" s="156"/>
      <c r="T86" s="160">
        <v>5.6192099999999998</v>
      </c>
      <c r="U86" s="156">
        <f t="shared" si="6"/>
        <v>5.62</v>
      </c>
      <c r="V86" s="161"/>
      <c r="W86" s="161"/>
      <c r="X86" s="161"/>
      <c r="Y86" s="161"/>
      <c r="Z86" s="161"/>
      <c r="AA86" s="161"/>
      <c r="AB86" s="161"/>
      <c r="AC86" s="161"/>
      <c r="AD86" s="161"/>
      <c r="AE86" s="161" t="s">
        <v>158</v>
      </c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ht="22.5" outlineLevel="1" x14ac:dyDescent="0.2">
      <c r="A87" s="154">
        <v>43</v>
      </c>
      <c r="B87" s="154" t="s">
        <v>225</v>
      </c>
      <c r="C87" s="155" t="s">
        <v>230</v>
      </c>
      <c r="D87" s="156" t="s">
        <v>221</v>
      </c>
      <c r="E87" s="157">
        <v>1</v>
      </c>
      <c r="F87" s="158"/>
      <c r="G87" s="159">
        <f t="shared" si="0"/>
        <v>0</v>
      </c>
      <c r="H87" s="158"/>
      <c r="I87" s="159">
        <f t="shared" si="1"/>
        <v>0</v>
      </c>
      <c r="J87" s="158"/>
      <c r="K87" s="159">
        <f t="shared" si="2"/>
        <v>0</v>
      </c>
      <c r="L87" s="159">
        <v>21</v>
      </c>
      <c r="M87" s="159">
        <f t="shared" si="3"/>
        <v>0</v>
      </c>
      <c r="N87" s="156">
        <v>0.105</v>
      </c>
      <c r="O87" s="156">
        <f t="shared" si="4"/>
        <v>0.105</v>
      </c>
      <c r="P87" s="156">
        <v>0</v>
      </c>
      <c r="Q87" s="156">
        <f t="shared" si="5"/>
        <v>0</v>
      </c>
      <c r="R87" s="156"/>
      <c r="S87" s="156"/>
      <c r="T87" s="160">
        <v>5.6192099999999998</v>
      </c>
      <c r="U87" s="156">
        <f t="shared" si="6"/>
        <v>5.62</v>
      </c>
      <c r="V87" s="161"/>
      <c r="W87" s="161"/>
      <c r="X87" s="161"/>
      <c r="Y87" s="161"/>
      <c r="Z87" s="161"/>
      <c r="AA87" s="161"/>
      <c r="AB87" s="161"/>
      <c r="AC87" s="161"/>
      <c r="AD87" s="161"/>
      <c r="AE87" s="161" t="s">
        <v>158</v>
      </c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</row>
    <row r="88" spans="1:60" ht="22.5" outlineLevel="1" x14ac:dyDescent="0.2">
      <c r="A88" s="154">
        <v>44</v>
      </c>
      <c r="B88" s="154" t="s">
        <v>225</v>
      </c>
      <c r="C88" s="155" t="s">
        <v>231</v>
      </c>
      <c r="D88" s="156" t="s">
        <v>221</v>
      </c>
      <c r="E88" s="157">
        <v>1</v>
      </c>
      <c r="F88" s="158"/>
      <c r="G88" s="159">
        <f t="shared" si="0"/>
        <v>0</v>
      </c>
      <c r="H88" s="158"/>
      <c r="I88" s="159">
        <f t="shared" si="1"/>
        <v>0</v>
      </c>
      <c r="J88" s="158"/>
      <c r="K88" s="159">
        <f t="shared" si="2"/>
        <v>0</v>
      </c>
      <c r="L88" s="159">
        <v>21</v>
      </c>
      <c r="M88" s="159">
        <f t="shared" si="3"/>
        <v>0</v>
      </c>
      <c r="N88" s="156">
        <v>0.105</v>
      </c>
      <c r="O88" s="156">
        <f t="shared" si="4"/>
        <v>0.105</v>
      </c>
      <c r="P88" s="156">
        <v>0</v>
      </c>
      <c r="Q88" s="156">
        <f t="shared" si="5"/>
        <v>0</v>
      </c>
      <c r="R88" s="156"/>
      <c r="S88" s="156"/>
      <c r="T88" s="160">
        <v>5.6192099999999998</v>
      </c>
      <c r="U88" s="156">
        <f t="shared" si="6"/>
        <v>5.62</v>
      </c>
      <c r="V88" s="161"/>
      <c r="W88" s="161"/>
      <c r="X88" s="161"/>
      <c r="Y88" s="161"/>
      <c r="Z88" s="161"/>
      <c r="AA88" s="161"/>
      <c r="AB88" s="161"/>
      <c r="AC88" s="161"/>
      <c r="AD88" s="161"/>
      <c r="AE88" s="161" t="s">
        <v>158</v>
      </c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ht="22.5" outlineLevel="1" x14ac:dyDescent="0.2">
      <c r="A89" s="154">
        <v>45</v>
      </c>
      <c r="B89" s="154" t="s">
        <v>225</v>
      </c>
      <c r="C89" s="155" t="s">
        <v>232</v>
      </c>
      <c r="D89" s="156" t="s">
        <v>173</v>
      </c>
      <c r="E89" s="157">
        <v>1</v>
      </c>
      <c r="F89" s="158"/>
      <c r="G89" s="159">
        <f t="shared" si="0"/>
        <v>0</v>
      </c>
      <c r="H89" s="158"/>
      <c r="I89" s="159">
        <f t="shared" si="1"/>
        <v>0</v>
      </c>
      <c r="J89" s="158"/>
      <c r="K89" s="159">
        <f t="shared" si="2"/>
        <v>0</v>
      </c>
      <c r="L89" s="159">
        <v>21</v>
      </c>
      <c r="M89" s="159">
        <f t="shared" si="3"/>
        <v>0</v>
      </c>
      <c r="N89" s="156">
        <v>0.105</v>
      </c>
      <c r="O89" s="156">
        <f t="shared" si="4"/>
        <v>0.105</v>
      </c>
      <c r="P89" s="156">
        <v>0</v>
      </c>
      <c r="Q89" s="156">
        <f t="shared" si="5"/>
        <v>0</v>
      </c>
      <c r="R89" s="156"/>
      <c r="S89" s="156"/>
      <c r="T89" s="160">
        <v>5.6192099999999998</v>
      </c>
      <c r="U89" s="156">
        <f t="shared" si="6"/>
        <v>5.62</v>
      </c>
      <c r="V89" s="161"/>
      <c r="W89" s="161"/>
      <c r="X89" s="161"/>
      <c r="Y89" s="161"/>
      <c r="Z89" s="161"/>
      <c r="AA89" s="161"/>
      <c r="AB89" s="161"/>
      <c r="AC89" s="161"/>
      <c r="AD89" s="161"/>
      <c r="AE89" s="161" t="s">
        <v>158</v>
      </c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</row>
    <row r="90" spans="1:60" ht="22.5" outlineLevel="1" x14ac:dyDescent="0.2">
      <c r="A90" s="154">
        <v>46</v>
      </c>
      <c r="B90" s="154" t="s">
        <v>225</v>
      </c>
      <c r="C90" s="155" t="s">
        <v>233</v>
      </c>
      <c r="D90" s="156" t="s">
        <v>173</v>
      </c>
      <c r="E90" s="157">
        <v>1</v>
      </c>
      <c r="F90" s="158"/>
      <c r="G90" s="159">
        <f t="shared" si="0"/>
        <v>0</v>
      </c>
      <c r="H90" s="158"/>
      <c r="I90" s="159">
        <f t="shared" si="1"/>
        <v>0</v>
      </c>
      <c r="J90" s="158"/>
      <c r="K90" s="159">
        <f t="shared" si="2"/>
        <v>0</v>
      </c>
      <c r="L90" s="159">
        <v>21</v>
      </c>
      <c r="M90" s="159">
        <f t="shared" si="3"/>
        <v>0</v>
      </c>
      <c r="N90" s="156">
        <v>0.105</v>
      </c>
      <c r="O90" s="156">
        <f t="shared" si="4"/>
        <v>0.105</v>
      </c>
      <c r="P90" s="156">
        <v>0</v>
      </c>
      <c r="Q90" s="156">
        <f t="shared" si="5"/>
        <v>0</v>
      </c>
      <c r="R90" s="156"/>
      <c r="S90" s="156"/>
      <c r="T90" s="160">
        <v>5.6192099999999998</v>
      </c>
      <c r="U90" s="156">
        <f t="shared" si="6"/>
        <v>5.62</v>
      </c>
      <c r="V90" s="161"/>
      <c r="W90" s="161"/>
      <c r="X90" s="161"/>
      <c r="Y90" s="161"/>
      <c r="Z90" s="161"/>
      <c r="AA90" s="161"/>
      <c r="AB90" s="161"/>
      <c r="AC90" s="161"/>
      <c r="AD90" s="161"/>
      <c r="AE90" s="161" t="s">
        <v>158</v>
      </c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ht="22.5" outlineLevel="1" x14ac:dyDescent="0.2">
      <c r="A91" s="154">
        <v>47</v>
      </c>
      <c r="B91" s="154" t="s">
        <v>234</v>
      </c>
      <c r="C91" s="155" t="s">
        <v>235</v>
      </c>
      <c r="D91" s="156" t="s">
        <v>173</v>
      </c>
      <c r="E91" s="157">
        <v>2</v>
      </c>
      <c r="F91" s="158"/>
      <c r="G91" s="159">
        <f t="shared" si="0"/>
        <v>0</v>
      </c>
      <c r="H91" s="158"/>
      <c r="I91" s="159">
        <f t="shared" si="1"/>
        <v>0</v>
      </c>
      <c r="J91" s="158"/>
      <c r="K91" s="159">
        <f t="shared" si="2"/>
        <v>0</v>
      </c>
      <c r="L91" s="159">
        <v>21</v>
      </c>
      <c r="M91" s="159">
        <f t="shared" si="3"/>
        <v>0</v>
      </c>
      <c r="N91" s="156">
        <v>0.105</v>
      </c>
      <c r="O91" s="156">
        <f t="shared" si="4"/>
        <v>0.21</v>
      </c>
      <c r="P91" s="156">
        <v>0</v>
      </c>
      <c r="Q91" s="156">
        <f t="shared" si="5"/>
        <v>0</v>
      </c>
      <c r="R91" s="156"/>
      <c r="S91" s="156"/>
      <c r="T91" s="160">
        <v>5.6192099999999998</v>
      </c>
      <c r="U91" s="156">
        <f t="shared" si="6"/>
        <v>11.24</v>
      </c>
      <c r="V91" s="161"/>
      <c r="W91" s="161"/>
      <c r="X91" s="161"/>
      <c r="Y91" s="161"/>
      <c r="Z91" s="161"/>
      <c r="AA91" s="161"/>
      <c r="AB91" s="161"/>
      <c r="AC91" s="161"/>
      <c r="AD91" s="161"/>
      <c r="AE91" s="161" t="s">
        <v>158</v>
      </c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</row>
    <row r="92" spans="1:60" outlineLevel="1" x14ac:dyDescent="0.2">
      <c r="A92" s="154">
        <v>48</v>
      </c>
      <c r="B92" s="154" t="s">
        <v>234</v>
      </c>
      <c r="C92" s="155" t="s">
        <v>236</v>
      </c>
      <c r="D92" s="156" t="s">
        <v>173</v>
      </c>
      <c r="E92" s="157">
        <v>5</v>
      </c>
      <c r="F92" s="158"/>
      <c r="G92" s="159">
        <f t="shared" si="0"/>
        <v>0</v>
      </c>
      <c r="H92" s="158"/>
      <c r="I92" s="159">
        <f t="shared" si="1"/>
        <v>0</v>
      </c>
      <c r="J92" s="158"/>
      <c r="K92" s="159">
        <f t="shared" si="2"/>
        <v>0</v>
      </c>
      <c r="L92" s="159">
        <v>21</v>
      </c>
      <c r="M92" s="159">
        <f t="shared" si="3"/>
        <v>0</v>
      </c>
      <c r="N92" s="156">
        <v>0.105</v>
      </c>
      <c r="O92" s="156">
        <f t="shared" si="4"/>
        <v>0.52500000000000002</v>
      </c>
      <c r="P92" s="156">
        <v>0</v>
      </c>
      <c r="Q92" s="156">
        <f t="shared" si="5"/>
        <v>0</v>
      </c>
      <c r="R92" s="156"/>
      <c r="S92" s="156"/>
      <c r="T92" s="160">
        <v>5.6192099999999998</v>
      </c>
      <c r="U92" s="156">
        <f t="shared" si="6"/>
        <v>28.1</v>
      </c>
      <c r="V92" s="161"/>
      <c r="W92" s="161"/>
      <c r="X92" s="161"/>
      <c r="Y92" s="161"/>
      <c r="Z92" s="161"/>
      <c r="AA92" s="161"/>
      <c r="AB92" s="161"/>
      <c r="AC92" s="161"/>
      <c r="AD92" s="161"/>
      <c r="AE92" s="161" t="s">
        <v>158</v>
      </c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ht="22.5" outlineLevel="1" x14ac:dyDescent="0.2">
      <c r="A93" s="154">
        <v>49</v>
      </c>
      <c r="B93" s="154" t="s">
        <v>234</v>
      </c>
      <c r="C93" s="155" t="s">
        <v>237</v>
      </c>
      <c r="D93" s="156" t="s">
        <v>173</v>
      </c>
      <c r="E93" s="157">
        <v>3</v>
      </c>
      <c r="F93" s="158"/>
      <c r="G93" s="159">
        <f t="shared" si="0"/>
        <v>0</v>
      </c>
      <c r="H93" s="158"/>
      <c r="I93" s="159">
        <f t="shared" si="1"/>
        <v>0</v>
      </c>
      <c r="J93" s="158"/>
      <c r="K93" s="159">
        <f t="shared" si="2"/>
        <v>0</v>
      </c>
      <c r="L93" s="159">
        <v>21</v>
      </c>
      <c r="M93" s="159">
        <f t="shared" si="3"/>
        <v>0</v>
      </c>
      <c r="N93" s="156">
        <v>0.105</v>
      </c>
      <c r="O93" s="156">
        <f t="shared" si="4"/>
        <v>0.315</v>
      </c>
      <c r="P93" s="156">
        <v>0</v>
      </c>
      <c r="Q93" s="156">
        <f t="shared" si="5"/>
        <v>0</v>
      </c>
      <c r="R93" s="156"/>
      <c r="S93" s="156"/>
      <c r="T93" s="160">
        <v>5.6192099999999998</v>
      </c>
      <c r="U93" s="156">
        <f t="shared" si="6"/>
        <v>16.86</v>
      </c>
      <c r="V93" s="161"/>
      <c r="W93" s="161"/>
      <c r="X93" s="161"/>
      <c r="Y93" s="161"/>
      <c r="Z93" s="161"/>
      <c r="AA93" s="161"/>
      <c r="AB93" s="161"/>
      <c r="AC93" s="161"/>
      <c r="AD93" s="161"/>
      <c r="AE93" s="161" t="s">
        <v>158</v>
      </c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ht="22.5" outlineLevel="1" x14ac:dyDescent="0.2">
      <c r="A94" s="154">
        <v>50</v>
      </c>
      <c r="B94" s="154" t="s">
        <v>234</v>
      </c>
      <c r="C94" s="155" t="s">
        <v>238</v>
      </c>
      <c r="D94" s="156" t="s">
        <v>173</v>
      </c>
      <c r="E94" s="157">
        <v>1</v>
      </c>
      <c r="F94" s="158"/>
      <c r="G94" s="159">
        <f t="shared" si="0"/>
        <v>0</v>
      </c>
      <c r="H94" s="158"/>
      <c r="I94" s="159">
        <f t="shared" si="1"/>
        <v>0</v>
      </c>
      <c r="J94" s="158"/>
      <c r="K94" s="159">
        <f t="shared" si="2"/>
        <v>0</v>
      </c>
      <c r="L94" s="159">
        <v>21</v>
      </c>
      <c r="M94" s="159">
        <f t="shared" si="3"/>
        <v>0</v>
      </c>
      <c r="N94" s="156">
        <v>0.105</v>
      </c>
      <c r="O94" s="156">
        <f t="shared" si="4"/>
        <v>0.105</v>
      </c>
      <c r="P94" s="156">
        <v>0</v>
      </c>
      <c r="Q94" s="156">
        <f t="shared" si="5"/>
        <v>0</v>
      </c>
      <c r="R94" s="156"/>
      <c r="S94" s="156"/>
      <c r="T94" s="160">
        <v>5.6192099999999998</v>
      </c>
      <c r="U94" s="156">
        <f t="shared" si="6"/>
        <v>5.62</v>
      </c>
      <c r="V94" s="161"/>
      <c r="W94" s="161"/>
      <c r="X94" s="161"/>
      <c r="Y94" s="161"/>
      <c r="Z94" s="161"/>
      <c r="AA94" s="161"/>
      <c r="AB94" s="161"/>
      <c r="AC94" s="161"/>
      <c r="AD94" s="161"/>
      <c r="AE94" s="161" t="s">
        <v>158</v>
      </c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</row>
    <row r="95" spans="1:60" ht="22.5" outlineLevel="1" x14ac:dyDescent="0.2">
      <c r="A95" s="154">
        <v>51</v>
      </c>
      <c r="B95" s="154" t="s">
        <v>234</v>
      </c>
      <c r="C95" s="155" t="s">
        <v>239</v>
      </c>
      <c r="D95" s="156" t="s">
        <v>173</v>
      </c>
      <c r="E95" s="157">
        <v>3</v>
      </c>
      <c r="F95" s="158"/>
      <c r="G95" s="159">
        <f t="shared" si="0"/>
        <v>0</v>
      </c>
      <c r="H95" s="158"/>
      <c r="I95" s="159">
        <f t="shared" si="1"/>
        <v>0</v>
      </c>
      <c r="J95" s="158"/>
      <c r="K95" s="159">
        <f t="shared" si="2"/>
        <v>0</v>
      </c>
      <c r="L95" s="159">
        <v>21</v>
      </c>
      <c r="M95" s="159">
        <f t="shared" si="3"/>
        <v>0</v>
      </c>
      <c r="N95" s="156">
        <v>0.105</v>
      </c>
      <c r="O95" s="156">
        <f t="shared" si="4"/>
        <v>0.315</v>
      </c>
      <c r="P95" s="156">
        <v>0</v>
      </c>
      <c r="Q95" s="156">
        <f t="shared" si="5"/>
        <v>0</v>
      </c>
      <c r="R95" s="156"/>
      <c r="S95" s="156"/>
      <c r="T95" s="160">
        <v>5.6192099999999998</v>
      </c>
      <c r="U95" s="156">
        <f t="shared" si="6"/>
        <v>16.86</v>
      </c>
      <c r="V95" s="161"/>
      <c r="W95" s="161"/>
      <c r="X95" s="161"/>
      <c r="Y95" s="161"/>
      <c r="Z95" s="161"/>
      <c r="AA95" s="161"/>
      <c r="AB95" s="161"/>
      <c r="AC95" s="161"/>
      <c r="AD95" s="161"/>
      <c r="AE95" s="161" t="s">
        <v>158</v>
      </c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</row>
    <row r="96" spans="1:60" ht="22.5" outlineLevel="1" x14ac:dyDescent="0.2">
      <c r="A96" s="154">
        <v>52</v>
      </c>
      <c r="B96" s="154" t="s">
        <v>240</v>
      </c>
      <c r="C96" s="155" t="s">
        <v>241</v>
      </c>
      <c r="D96" s="156" t="s">
        <v>173</v>
      </c>
      <c r="E96" s="157">
        <v>1</v>
      </c>
      <c r="F96" s="158"/>
      <c r="G96" s="159">
        <f t="shared" si="0"/>
        <v>0</v>
      </c>
      <c r="H96" s="158"/>
      <c r="I96" s="159">
        <f t="shared" si="1"/>
        <v>0</v>
      </c>
      <c r="J96" s="158"/>
      <c r="K96" s="159">
        <f t="shared" si="2"/>
        <v>0</v>
      </c>
      <c r="L96" s="159">
        <v>21</v>
      </c>
      <c r="M96" s="159">
        <f t="shared" si="3"/>
        <v>0</v>
      </c>
      <c r="N96" s="156">
        <v>0</v>
      </c>
      <c r="O96" s="156">
        <f t="shared" si="4"/>
        <v>0</v>
      </c>
      <c r="P96" s="156">
        <v>0</v>
      </c>
      <c r="Q96" s="156">
        <f t="shared" si="5"/>
        <v>0</v>
      </c>
      <c r="R96" s="156"/>
      <c r="S96" s="156"/>
      <c r="T96" s="160">
        <v>0.50700000000000001</v>
      </c>
      <c r="U96" s="156">
        <f t="shared" si="6"/>
        <v>0.51</v>
      </c>
      <c r="V96" s="161"/>
      <c r="W96" s="161"/>
      <c r="X96" s="161"/>
      <c r="Y96" s="161"/>
      <c r="Z96" s="161"/>
      <c r="AA96" s="161"/>
      <c r="AB96" s="161"/>
      <c r="AC96" s="161"/>
      <c r="AD96" s="161"/>
      <c r="AE96" s="161" t="s">
        <v>119</v>
      </c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</row>
    <row r="97" spans="1:60" outlineLevel="1" x14ac:dyDescent="0.2">
      <c r="A97" s="154">
        <v>53</v>
      </c>
      <c r="B97" s="154" t="s">
        <v>240</v>
      </c>
      <c r="C97" s="155" t="s">
        <v>242</v>
      </c>
      <c r="D97" s="156" t="s">
        <v>173</v>
      </c>
      <c r="E97" s="157">
        <v>1</v>
      </c>
      <c r="F97" s="158"/>
      <c r="G97" s="159">
        <f t="shared" si="0"/>
        <v>0</v>
      </c>
      <c r="H97" s="158"/>
      <c r="I97" s="159">
        <f t="shared" si="1"/>
        <v>0</v>
      </c>
      <c r="J97" s="158"/>
      <c r="K97" s="159">
        <f t="shared" si="2"/>
        <v>0</v>
      </c>
      <c r="L97" s="159">
        <v>21</v>
      </c>
      <c r="M97" s="159">
        <f t="shared" si="3"/>
        <v>0</v>
      </c>
      <c r="N97" s="156">
        <v>0</v>
      </c>
      <c r="O97" s="156">
        <f t="shared" si="4"/>
        <v>0</v>
      </c>
      <c r="P97" s="156">
        <v>0</v>
      </c>
      <c r="Q97" s="156">
        <f t="shared" si="5"/>
        <v>0</v>
      </c>
      <c r="R97" s="156"/>
      <c r="S97" s="156"/>
      <c r="T97" s="160">
        <v>0.50700000000000001</v>
      </c>
      <c r="U97" s="156">
        <f t="shared" si="6"/>
        <v>0.51</v>
      </c>
      <c r="V97" s="161"/>
      <c r="W97" s="161"/>
      <c r="X97" s="161"/>
      <c r="Y97" s="161"/>
      <c r="Z97" s="161"/>
      <c r="AA97" s="161"/>
      <c r="AB97" s="161"/>
      <c r="AC97" s="161"/>
      <c r="AD97" s="161"/>
      <c r="AE97" s="161" t="s">
        <v>119</v>
      </c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</row>
    <row r="98" spans="1:60" outlineLevel="1" x14ac:dyDescent="0.2">
      <c r="A98" s="154">
        <v>54</v>
      </c>
      <c r="B98" s="154" t="s">
        <v>240</v>
      </c>
      <c r="C98" s="155" t="s">
        <v>243</v>
      </c>
      <c r="D98" s="156" t="s">
        <v>173</v>
      </c>
      <c r="E98" s="157">
        <v>1</v>
      </c>
      <c r="F98" s="158"/>
      <c r="G98" s="159">
        <f t="shared" si="0"/>
        <v>0</v>
      </c>
      <c r="H98" s="158"/>
      <c r="I98" s="159">
        <f t="shared" si="1"/>
        <v>0</v>
      </c>
      <c r="J98" s="158"/>
      <c r="K98" s="159">
        <f t="shared" si="2"/>
        <v>0</v>
      </c>
      <c r="L98" s="159">
        <v>21</v>
      </c>
      <c r="M98" s="159">
        <f t="shared" si="3"/>
        <v>0</v>
      </c>
      <c r="N98" s="156">
        <v>0</v>
      </c>
      <c r="O98" s="156">
        <f t="shared" si="4"/>
        <v>0</v>
      </c>
      <c r="P98" s="156">
        <v>0</v>
      </c>
      <c r="Q98" s="156">
        <f t="shared" si="5"/>
        <v>0</v>
      </c>
      <c r="R98" s="156"/>
      <c r="S98" s="156"/>
      <c r="T98" s="160">
        <v>0.50700000000000001</v>
      </c>
      <c r="U98" s="156">
        <f t="shared" si="6"/>
        <v>0.51</v>
      </c>
      <c r="V98" s="161"/>
      <c r="W98" s="161"/>
      <c r="X98" s="161"/>
      <c r="Y98" s="161"/>
      <c r="Z98" s="161"/>
      <c r="AA98" s="161"/>
      <c r="AB98" s="161"/>
      <c r="AC98" s="161"/>
      <c r="AD98" s="161"/>
      <c r="AE98" s="161" t="s">
        <v>119</v>
      </c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0" x14ac:dyDescent="0.2">
      <c r="A99" s="165" t="s">
        <v>114</v>
      </c>
      <c r="B99" s="165" t="s">
        <v>73</v>
      </c>
      <c r="C99" s="166" t="s">
        <v>74</v>
      </c>
      <c r="D99" s="167"/>
      <c r="E99" s="168"/>
      <c r="F99" s="169"/>
      <c r="G99" s="169">
        <f>SUMIF(AE100:AE101,"&lt;&gt;NOR",G100:G101)</f>
        <v>0</v>
      </c>
      <c r="H99" s="169"/>
      <c r="I99" s="169">
        <f>SUM(I100:I101)</f>
        <v>0</v>
      </c>
      <c r="J99" s="169"/>
      <c r="K99" s="169">
        <f>SUM(K100:K101)</f>
        <v>0</v>
      </c>
      <c r="L99" s="169"/>
      <c r="M99" s="169">
        <f>SUM(M100:M101)</f>
        <v>0</v>
      </c>
      <c r="N99" s="167"/>
      <c r="O99" s="167">
        <f>SUM(O100:O101)</f>
        <v>1.1999999999999999E-3</v>
      </c>
      <c r="P99" s="167"/>
      <c r="Q99" s="167">
        <f>SUM(Q100:Q101)</f>
        <v>0.02</v>
      </c>
      <c r="R99" s="167"/>
      <c r="S99" s="167"/>
      <c r="T99" s="170"/>
      <c r="U99" s="167">
        <f>SUM(U100:U101)</f>
        <v>1.94</v>
      </c>
      <c r="AE99" t="s">
        <v>115</v>
      </c>
    </row>
    <row r="100" spans="1:60" outlineLevel="1" x14ac:dyDescent="0.2">
      <c r="A100" s="154">
        <v>55</v>
      </c>
      <c r="B100" s="154" t="s">
        <v>244</v>
      </c>
      <c r="C100" s="155" t="s">
        <v>245</v>
      </c>
      <c r="D100" s="156" t="s">
        <v>246</v>
      </c>
      <c r="E100" s="157">
        <v>20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21</v>
      </c>
      <c r="M100" s="159">
        <f>G100*(1+L100/100)</f>
        <v>0</v>
      </c>
      <c r="N100" s="156">
        <v>6.0000000000000002E-5</v>
      </c>
      <c r="O100" s="156">
        <f>ROUND(E100*N100,5)</f>
        <v>1.1999999999999999E-3</v>
      </c>
      <c r="P100" s="156">
        <v>1E-3</v>
      </c>
      <c r="Q100" s="156">
        <f>ROUND(E100*P100,5)</f>
        <v>0.02</v>
      </c>
      <c r="R100" s="156"/>
      <c r="S100" s="156"/>
      <c r="T100" s="160">
        <v>9.7000000000000003E-2</v>
      </c>
      <c r="U100" s="156">
        <f>ROUND(E100*T100,2)</f>
        <v>1.94</v>
      </c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 t="s">
        <v>119</v>
      </c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</row>
    <row r="101" spans="1:60" outlineLevel="1" x14ac:dyDescent="0.2">
      <c r="A101" s="154"/>
      <c r="B101" s="154"/>
      <c r="C101" s="162" t="s">
        <v>247</v>
      </c>
      <c r="D101" s="163"/>
      <c r="E101" s="164">
        <v>20</v>
      </c>
      <c r="F101" s="159"/>
      <c r="G101" s="159"/>
      <c r="H101" s="159"/>
      <c r="I101" s="159"/>
      <c r="J101" s="159"/>
      <c r="K101" s="159"/>
      <c r="L101" s="159"/>
      <c r="M101" s="159"/>
      <c r="N101" s="156"/>
      <c r="O101" s="156"/>
      <c r="P101" s="156"/>
      <c r="Q101" s="156"/>
      <c r="R101" s="156"/>
      <c r="S101" s="156"/>
      <c r="T101" s="160"/>
      <c r="U101" s="156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 t="s">
        <v>121</v>
      </c>
      <c r="AF101" s="161">
        <v>0</v>
      </c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</row>
    <row r="102" spans="1:60" x14ac:dyDescent="0.2">
      <c r="A102" s="165" t="s">
        <v>114</v>
      </c>
      <c r="B102" s="165" t="s">
        <v>75</v>
      </c>
      <c r="C102" s="166" t="s">
        <v>76</v>
      </c>
      <c r="D102" s="167"/>
      <c r="E102" s="168"/>
      <c r="F102" s="169"/>
      <c r="G102" s="169">
        <f>SUMIF(AE103:AE107,"&lt;&gt;NOR",G103:G107)</f>
        <v>0</v>
      </c>
      <c r="H102" s="169"/>
      <c r="I102" s="169">
        <f>SUM(I103:I107)</f>
        <v>0</v>
      </c>
      <c r="J102" s="169"/>
      <c r="K102" s="169">
        <f>SUM(K103:K107)</f>
        <v>0</v>
      </c>
      <c r="L102" s="169"/>
      <c r="M102" s="169">
        <f>SUM(M103:M107)</f>
        <v>0</v>
      </c>
      <c r="N102" s="167"/>
      <c r="O102" s="167">
        <f>SUM(O103:O107)</f>
        <v>1.583E-2</v>
      </c>
      <c r="P102" s="167"/>
      <c r="Q102" s="167">
        <f>SUM(Q103:Q107)</f>
        <v>0</v>
      </c>
      <c r="R102" s="167"/>
      <c r="S102" s="167"/>
      <c r="T102" s="170"/>
      <c r="U102" s="167">
        <f>SUM(U103:U107)</f>
        <v>11</v>
      </c>
      <c r="AE102" t="s">
        <v>115</v>
      </c>
    </row>
    <row r="103" spans="1:60" outlineLevel="1" x14ac:dyDescent="0.2">
      <c r="A103" s="154">
        <v>56</v>
      </c>
      <c r="B103" s="154" t="s">
        <v>248</v>
      </c>
      <c r="C103" s="155" t="s">
        <v>249</v>
      </c>
      <c r="D103" s="156" t="s">
        <v>143</v>
      </c>
      <c r="E103" s="157">
        <v>14.65</v>
      </c>
      <c r="F103" s="158"/>
      <c r="G103" s="159">
        <f>ROUND(E103*F103,2)</f>
        <v>0</v>
      </c>
      <c r="H103" s="158"/>
      <c r="I103" s="159">
        <f>ROUND(E103*H103,2)</f>
        <v>0</v>
      </c>
      <c r="J103" s="158"/>
      <c r="K103" s="159">
        <f>ROUND(E103*J103,2)</f>
        <v>0</v>
      </c>
      <c r="L103" s="159">
        <v>21</v>
      </c>
      <c r="M103" s="159">
        <f>G103*(1+L103/100)</f>
        <v>0</v>
      </c>
      <c r="N103" s="156">
        <v>5.2999999999999998E-4</v>
      </c>
      <c r="O103" s="156">
        <f>ROUND(E103*N103,5)</f>
        <v>7.7600000000000004E-3</v>
      </c>
      <c r="P103" s="156">
        <v>0</v>
      </c>
      <c r="Q103" s="156">
        <f>ROUND(E103*P103,5)</f>
        <v>0</v>
      </c>
      <c r="R103" s="156"/>
      <c r="S103" s="156"/>
      <c r="T103" s="160">
        <v>0.36799999999999999</v>
      </c>
      <c r="U103" s="156">
        <f>ROUND(E103*T103,2)</f>
        <v>5.39</v>
      </c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 t="s">
        <v>119</v>
      </c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</row>
    <row r="104" spans="1:60" outlineLevel="1" x14ac:dyDescent="0.2">
      <c r="A104" s="154"/>
      <c r="B104" s="154"/>
      <c r="C104" s="162" t="s">
        <v>250</v>
      </c>
      <c r="D104" s="163"/>
      <c r="E104" s="164">
        <v>14.65</v>
      </c>
      <c r="F104" s="159"/>
      <c r="G104" s="159"/>
      <c r="H104" s="159"/>
      <c r="I104" s="159"/>
      <c r="J104" s="159"/>
      <c r="K104" s="159"/>
      <c r="L104" s="159"/>
      <c r="M104" s="159"/>
      <c r="N104" s="156"/>
      <c r="O104" s="156"/>
      <c r="P104" s="156"/>
      <c r="Q104" s="156"/>
      <c r="R104" s="156"/>
      <c r="S104" s="156"/>
      <c r="T104" s="160"/>
      <c r="U104" s="156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 t="s">
        <v>121</v>
      </c>
      <c r="AF104" s="161">
        <v>0</v>
      </c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</row>
    <row r="105" spans="1:60" outlineLevel="1" x14ac:dyDescent="0.2">
      <c r="A105" s="154">
        <v>57</v>
      </c>
      <c r="B105" s="154" t="s">
        <v>248</v>
      </c>
      <c r="C105" s="155" t="s">
        <v>251</v>
      </c>
      <c r="D105" s="156" t="s">
        <v>143</v>
      </c>
      <c r="E105" s="157">
        <v>20.7</v>
      </c>
      <c r="F105" s="158"/>
      <c r="G105" s="159">
        <f>ROUND(E105*F105,2)</f>
        <v>0</v>
      </c>
      <c r="H105" s="158"/>
      <c r="I105" s="159">
        <f>ROUND(E105*H105,2)</f>
        <v>0</v>
      </c>
      <c r="J105" s="158"/>
      <c r="K105" s="159">
        <f>ROUND(E105*J105,2)</f>
        <v>0</v>
      </c>
      <c r="L105" s="159">
        <v>21</v>
      </c>
      <c r="M105" s="159">
        <f>G105*(1+L105/100)</f>
        <v>0</v>
      </c>
      <c r="N105" s="156">
        <v>3.8999999999999999E-4</v>
      </c>
      <c r="O105" s="156">
        <f>ROUND(E105*N105,5)</f>
        <v>8.0700000000000008E-3</v>
      </c>
      <c r="P105" s="156">
        <v>0</v>
      </c>
      <c r="Q105" s="156">
        <f>ROUND(E105*P105,5)</f>
        <v>0</v>
      </c>
      <c r="R105" s="156"/>
      <c r="S105" s="156"/>
      <c r="T105" s="160">
        <v>0.27100000000000002</v>
      </c>
      <c r="U105" s="156">
        <f>ROUND(E105*T105,2)</f>
        <v>5.61</v>
      </c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 t="s">
        <v>119</v>
      </c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</row>
    <row r="106" spans="1:60" outlineLevel="1" x14ac:dyDescent="0.2">
      <c r="A106" s="154"/>
      <c r="B106" s="154"/>
      <c r="C106" s="162" t="s">
        <v>252</v>
      </c>
      <c r="D106" s="163"/>
      <c r="E106" s="164">
        <v>13</v>
      </c>
      <c r="F106" s="159"/>
      <c r="G106" s="159"/>
      <c r="H106" s="159"/>
      <c r="I106" s="159"/>
      <c r="J106" s="159"/>
      <c r="K106" s="159"/>
      <c r="L106" s="159"/>
      <c r="M106" s="159"/>
      <c r="N106" s="156"/>
      <c r="O106" s="156"/>
      <c r="P106" s="156"/>
      <c r="Q106" s="156"/>
      <c r="R106" s="156"/>
      <c r="S106" s="156"/>
      <c r="T106" s="160"/>
      <c r="U106" s="156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 t="s">
        <v>121</v>
      </c>
      <c r="AF106" s="161">
        <v>0</v>
      </c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</row>
    <row r="107" spans="1:60" outlineLevel="1" x14ac:dyDescent="0.2">
      <c r="A107" s="154"/>
      <c r="B107" s="154"/>
      <c r="C107" s="162" t="s">
        <v>253</v>
      </c>
      <c r="D107" s="163"/>
      <c r="E107" s="164">
        <v>7.7</v>
      </c>
      <c r="F107" s="159"/>
      <c r="G107" s="159"/>
      <c r="H107" s="159"/>
      <c r="I107" s="159"/>
      <c r="J107" s="159"/>
      <c r="K107" s="159"/>
      <c r="L107" s="159"/>
      <c r="M107" s="159"/>
      <c r="N107" s="156"/>
      <c r="O107" s="156"/>
      <c r="P107" s="156"/>
      <c r="Q107" s="156"/>
      <c r="R107" s="156"/>
      <c r="S107" s="156"/>
      <c r="T107" s="160"/>
      <c r="U107" s="156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 t="s">
        <v>121</v>
      </c>
      <c r="AF107" s="161">
        <v>0</v>
      </c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</row>
    <row r="108" spans="1:60" x14ac:dyDescent="0.2">
      <c r="A108" s="165" t="s">
        <v>114</v>
      </c>
      <c r="B108" s="165" t="s">
        <v>77</v>
      </c>
      <c r="C108" s="166" t="s">
        <v>78</v>
      </c>
      <c r="D108" s="167"/>
      <c r="E108" s="168"/>
      <c r="F108" s="169"/>
      <c r="G108" s="169">
        <f>SUMIF(AE109:AE116,"&lt;&gt;NOR",G109:G116)</f>
        <v>0</v>
      </c>
      <c r="H108" s="169"/>
      <c r="I108" s="169">
        <f>SUM(I109:I116)</f>
        <v>0</v>
      </c>
      <c r="J108" s="169"/>
      <c r="K108" s="169">
        <f>SUM(K109:K116)</f>
        <v>0</v>
      </c>
      <c r="L108" s="169"/>
      <c r="M108" s="169">
        <f>SUM(M109:M116)</f>
        <v>0</v>
      </c>
      <c r="N108" s="167"/>
      <c r="O108" s="167">
        <f>SUM(O109:O116)</f>
        <v>3.1350000000000003E-2</v>
      </c>
      <c r="P108" s="167"/>
      <c r="Q108" s="167">
        <f>SUM(Q109:Q116)</f>
        <v>0</v>
      </c>
      <c r="R108" s="167"/>
      <c r="S108" s="167"/>
      <c r="T108" s="170"/>
      <c r="U108" s="167">
        <f>SUM(U109:U116)</f>
        <v>30.07</v>
      </c>
      <c r="AE108" t="s">
        <v>115</v>
      </c>
    </row>
    <row r="109" spans="1:60" outlineLevel="1" x14ac:dyDescent="0.2">
      <c r="A109" s="154">
        <v>58</v>
      </c>
      <c r="B109" s="154" t="s">
        <v>254</v>
      </c>
      <c r="C109" s="155" t="s">
        <v>255</v>
      </c>
      <c r="D109" s="156" t="s">
        <v>124</v>
      </c>
      <c r="E109" s="157">
        <v>18.294499999999999</v>
      </c>
      <c r="F109" s="158"/>
      <c r="G109" s="159">
        <f>ROUND(E109*F109,2)</f>
        <v>0</v>
      </c>
      <c r="H109" s="158"/>
      <c r="I109" s="159">
        <f>ROUND(E109*H109,2)</f>
        <v>0</v>
      </c>
      <c r="J109" s="158"/>
      <c r="K109" s="159">
        <f>ROUND(E109*J109,2)</f>
        <v>0</v>
      </c>
      <c r="L109" s="159">
        <v>21</v>
      </c>
      <c r="M109" s="159">
        <f>G109*(1+L109/100)</f>
        <v>0</v>
      </c>
      <c r="N109" s="156">
        <v>2.0000000000000002E-5</v>
      </c>
      <c r="O109" s="156">
        <f>ROUND(E109*N109,5)</f>
        <v>3.6999999999999999E-4</v>
      </c>
      <c r="P109" s="156">
        <v>0</v>
      </c>
      <c r="Q109" s="156">
        <f>ROUND(E109*P109,5)</f>
        <v>0</v>
      </c>
      <c r="R109" s="156"/>
      <c r="S109" s="156"/>
      <c r="T109" s="160">
        <v>2.9000000000000001E-2</v>
      </c>
      <c r="U109" s="156">
        <f>ROUND(E109*T109,2)</f>
        <v>0.53</v>
      </c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 t="s">
        <v>119</v>
      </c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</row>
    <row r="110" spans="1:60" outlineLevel="1" x14ac:dyDescent="0.2">
      <c r="A110" s="154"/>
      <c r="B110" s="154"/>
      <c r="C110" s="162" t="s">
        <v>256</v>
      </c>
      <c r="D110" s="163"/>
      <c r="E110" s="164">
        <v>3</v>
      </c>
      <c r="F110" s="159"/>
      <c r="G110" s="159"/>
      <c r="H110" s="159"/>
      <c r="I110" s="159"/>
      <c r="J110" s="159"/>
      <c r="K110" s="159"/>
      <c r="L110" s="159"/>
      <c r="M110" s="159"/>
      <c r="N110" s="156"/>
      <c r="O110" s="156"/>
      <c r="P110" s="156"/>
      <c r="Q110" s="156"/>
      <c r="R110" s="156"/>
      <c r="S110" s="156"/>
      <c r="T110" s="160"/>
      <c r="U110" s="156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 t="s">
        <v>121</v>
      </c>
      <c r="AF110" s="161">
        <v>0</v>
      </c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</row>
    <row r="111" spans="1:60" outlineLevel="1" x14ac:dyDescent="0.2">
      <c r="A111" s="154"/>
      <c r="B111" s="154"/>
      <c r="C111" s="162" t="s">
        <v>257</v>
      </c>
      <c r="D111" s="163"/>
      <c r="E111" s="164">
        <v>8.6125000000000007</v>
      </c>
      <c r="F111" s="159"/>
      <c r="G111" s="159"/>
      <c r="H111" s="159"/>
      <c r="I111" s="159"/>
      <c r="J111" s="159"/>
      <c r="K111" s="159"/>
      <c r="L111" s="159"/>
      <c r="M111" s="159"/>
      <c r="N111" s="156"/>
      <c r="O111" s="156"/>
      <c r="P111" s="156"/>
      <c r="Q111" s="156"/>
      <c r="R111" s="156"/>
      <c r="S111" s="156"/>
      <c r="T111" s="160"/>
      <c r="U111" s="156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 t="s">
        <v>121</v>
      </c>
      <c r="AF111" s="161">
        <v>0</v>
      </c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</row>
    <row r="112" spans="1:60" outlineLevel="1" x14ac:dyDescent="0.2">
      <c r="A112" s="154"/>
      <c r="B112" s="154"/>
      <c r="C112" s="162" t="s">
        <v>258</v>
      </c>
      <c r="D112" s="163"/>
      <c r="E112" s="164">
        <v>6.6820000000000004</v>
      </c>
      <c r="F112" s="159"/>
      <c r="G112" s="159"/>
      <c r="H112" s="159"/>
      <c r="I112" s="159"/>
      <c r="J112" s="159"/>
      <c r="K112" s="159"/>
      <c r="L112" s="159"/>
      <c r="M112" s="159"/>
      <c r="N112" s="156"/>
      <c r="O112" s="156"/>
      <c r="P112" s="156"/>
      <c r="Q112" s="156"/>
      <c r="R112" s="156"/>
      <c r="S112" s="156"/>
      <c r="T112" s="160"/>
      <c r="U112" s="156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 t="s">
        <v>121</v>
      </c>
      <c r="AF112" s="161">
        <v>0</v>
      </c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</row>
    <row r="113" spans="1:60" outlineLevel="1" x14ac:dyDescent="0.2">
      <c r="A113" s="154">
        <v>59</v>
      </c>
      <c r="B113" s="154" t="s">
        <v>259</v>
      </c>
      <c r="C113" s="155" t="s">
        <v>260</v>
      </c>
      <c r="D113" s="156" t="s">
        <v>124</v>
      </c>
      <c r="E113" s="157">
        <v>172.08750000000001</v>
      </c>
      <c r="F113" s="158"/>
      <c r="G113" s="159">
        <f>ROUND(E113*F113,2)</f>
        <v>0</v>
      </c>
      <c r="H113" s="158"/>
      <c r="I113" s="159">
        <f>ROUND(E113*H113,2)</f>
        <v>0</v>
      </c>
      <c r="J113" s="158"/>
      <c r="K113" s="159">
        <f>ROUND(E113*J113,2)</f>
        <v>0</v>
      </c>
      <c r="L113" s="159">
        <v>21</v>
      </c>
      <c r="M113" s="159">
        <f>G113*(1+L113/100)</f>
        <v>0</v>
      </c>
      <c r="N113" s="156">
        <v>0</v>
      </c>
      <c r="O113" s="156">
        <f>ROUND(E113*N113,5)</f>
        <v>0</v>
      </c>
      <c r="P113" s="156">
        <v>0</v>
      </c>
      <c r="Q113" s="156">
        <f>ROUND(E113*P113,5)</f>
        <v>0</v>
      </c>
      <c r="R113" s="156"/>
      <c r="S113" s="156"/>
      <c r="T113" s="160">
        <v>6.9709999999999994E-2</v>
      </c>
      <c r="U113" s="156">
        <f>ROUND(E113*T113,2)</f>
        <v>12</v>
      </c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 t="s">
        <v>119</v>
      </c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</row>
    <row r="114" spans="1:60" ht="22.5" outlineLevel="1" x14ac:dyDescent="0.2">
      <c r="A114" s="154">
        <v>60</v>
      </c>
      <c r="B114" s="154" t="s">
        <v>261</v>
      </c>
      <c r="C114" s="155" t="s">
        <v>262</v>
      </c>
      <c r="D114" s="156" t="s">
        <v>124</v>
      </c>
      <c r="E114" s="157">
        <v>172.08750000000001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21</v>
      </c>
      <c r="M114" s="159">
        <f>G114*(1+L114/100)</f>
        <v>0</v>
      </c>
      <c r="N114" s="156">
        <v>1.8000000000000001E-4</v>
      </c>
      <c r="O114" s="156">
        <f>ROUND(E114*N114,5)</f>
        <v>3.0980000000000001E-2</v>
      </c>
      <c r="P114" s="156">
        <v>0</v>
      </c>
      <c r="Q114" s="156">
        <f>ROUND(E114*P114,5)</f>
        <v>0</v>
      </c>
      <c r="R114" s="156"/>
      <c r="S114" s="156"/>
      <c r="T114" s="160">
        <v>0.10191</v>
      </c>
      <c r="U114" s="156">
        <f>ROUND(E114*T114,2)</f>
        <v>17.54</v>
      </c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 t="s">
        <v>119</v>
      </c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</row>
    <row r="115" spans="1:60" outlineLevel="1" x14ac:dyDescent="0.2">
      <c r="A115" s="154"/>
      <c r="B115" s="154"/>
      <c r="C115" s="162" t="s">
        <v>263</v>
      </c>
      <c r="D115" s="163"/>
      <c r="E115" s="164">
        <v>110.08750000000001</v>
      </c>
      <c r="F115" s="159"/>
      <c r="G115" s="159"/>
      <c r="H115" s="159"/>
      <c r="I115" s="159"/>
      <c r="J115" s="159"/>
      <c r="K115" s="159"/>
      <c r="L115" s="159"/>
      <c r="M115" s="159"/>
      <c r="N115" s="156"/>
      <c r="O115" s="156"/>
      <c r="P115" s="156"/>
      <c r="Q115" s="156"/>
      <c r="R115" s="156"/>
      <c r="S115" s="156"/>
      <c r="T115" s="160"/>
      <c r="U115" s="156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 t="s">
        <v>121</v>
      </c>
      <c r="AF115" s="161">
        <v>0</v>
      </c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</row>
    <row r="116" spans="1:60" outlineLevel="1" x14ac:dyDescent="0.2">
      <c r="A116" s="154"/>
      <c r="B116" s="154"/>
      <c r="C116" s="162" t="s">
        <v>264</v>
      </c>
      <c r="D116" s="163"/>
      <c r="E116" s="164">
        <v>62</v>
      </c>
      <c r="F116" s="159"/>
      <c r="G116" s="159"/>
      <c r="H116" s="159"/>
      <c r="I116" s="159"/>
      <c r="J116" s="159"/>
      <c r="K116" s="159"/>
      <c r="L116" s="159"/>
      <c r="M116" s="159"/>
      <c r="N116" s="156"/>
      <c r="O116" s="156"/>
      <c r="P116" s="156"/>
      <c r="Q116" s="156"/>
      <c r="R116" s="156"/>
      <c r="S116" s="156"/>
      <c r="T116" s="160"/>
      <c r="U116" s="156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 t="s">
        <v>121</v>
      </c>
      <c r="AF116" s="161">
        <v>0</v>
      </c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</row>
    <row r="117" spans="1:60" x14ac:dyDescent="0.2">
      <c r="A117" s="165" t="s">
        <v>114</v>
      </c>
      <c r="B117" s="165" t="s">
        <v>79</v>
      </c>
      <c r="C117" s="166" t="s">
        <v>80</v>
      </c>
      <c r="D117" s="167"/>
      <c r="E117" s="168"/>
      <c r="F117" s="169"/>
      <c r="G117" s="169">
        <f>SUMIF(AE118:AE118,"&lt;&gt;NOR",G118:G118)</f>
        <v>0</v>
      </c>
      <c r="H117" s="169"/>
      <c r="I117" s="169">
        <f>SUM(I118:I118)</f>
        <v>0</v>
      </c>
      <c r="J117" s="169"/>
      <c r="K117" s="169">
        <f>SUM(K118:K118)</f>
        <v>0</v>
      </c>
      <c r="L117" s="169"/>
      <c r="M117" s="169">
        <f>SUM(M118:M118)</f>
        <v>0</v>
      </c>
      <c r="N117" s="167"/>
      <c r="O117" s="167">
        <f>SUM(O118:O118)</f>
        <v>0</v>
      </c>
      <c r="P117" s="167"/>
      <c r="Q117" s="167">
        <f>SUM(Q118:Q118)</f>
        <v>0</v>
      </c>
      <c r="R117" s="167"/>
      <c r="S117" s="167"/>
      <c r="T117" s="170"/>
      <c r="U117" s="167">
        <f>SUM(U118:U118)</f>
        <v>0.16</v>
      </c>
      <c r="AE117" t="s">
        <v>115</v>
      </c>
    </row>
    <row r="118" spans="1:60" outlineLevel="1" x14ac:dyDescent="0.2">
      <c r="A118" s="154">
        <v>61</v>
      </c>
      <c r="B118" s="154" t="s">
        <v>265</v>
      </c>
      <c r="C118" s="155" t="s">
        <v>266</v>
      </c>
      <c r="D118" s="156" t="s">
        <v>221</v>
      </c>
      <c r="E118" s="157">
        <v>1</v>
      </c>
      <c r="F118" s="158">
        <f>Výpis_položek_elektro_!$K$128</f>
        <v>0</v>
      </c>
      <c r="G118" s="159">
        <f>ROUND(E118*F118,2)</f>
        <v>0</v>
      </c>
      <c r="H118" s="158"/>
      <c r="I118" s="159">
        <f>ROUND(E118*H118,2)</f>
        <v>0</v>
      </c>
      <c r="J118" s="158"/>
      <c r="K118" s="159">
        <f>ROUND(E118*J118,2)</f>
        <v>0</v>
      </c>
      <c r="L118" s="159">
        <v>21</v>
      </c>
      <c r="M118" s="159">
        <f>G118*(1+L118/100)</f>
        <v>0</v>
      </c>
      <c r="N118" s="156">
        <v>0</v>
      </c>
      <c r="O118" s="156">
        <f>ROUND(E118*N118,5)</f>
        <v>0</v>
      </c>
      <c r="P118" s="156">
        <v>0</v>
      </c>
      <c r="Q118" s="156">
        <f>ROUND(E118*P118,5)</f>
        <v>0</v>
      </c>
      <c r="R118" s="156"/>
      <c r="S118" s="156"/>
      <c r="T118" s="160">
        <v>0.1598</v>
      </c>
      <c r="U118" s="156">
        <f>ROUND(E118*T118,2)</f>
        <v>0.16</v>
      </c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 t="s">
        <v>119</v>
      </c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</row>
    <row r="119" spans="1:60" x14ac:dyDescent="0.2">
      <c r="A119" s="165" t="s">
        <v>114</v>
      </c>
      <c r="B119" s="165" t="s">
        <v>81</v>
      </c>
      <c r="C119" s="166" t="s">
        <v>82</v>
      </c>
      <c r="D119" s="167"/>
      <c r="E119" s="168"/>
      <c r="F119" s="169"/>
      <c r="G119" s="169">
        <f>SUMIF(AE120:AE127,"&lt;&gt;NOR",G120:G127)</f>
        <v>0</v>
      </c>
      <c r="H119" s="169"/>
      <c r="I119" s="169">
        <f>SUM(I120:I127)</f>
        <v>0</v>
      </c>
      <c r="J119" s="169"/>
      <c r="K119" s="169">
        <f>SUM(K120:K127)</f>
        <v>0</v>
      </c>
      <c r="L119" s="169"/>
      <c r="M119" s="169">
        <f>SUM(M120:M127)</f>
        <v>0</v>
      </c>
      <c r="N119" s="167"/>
      <c r="O119" s="167">
        <f>SUM(O120:O127)</f>
        <v>5.7499999999999999E-3</v>
      </c>
      <c r="P119" s="167"/>
      <c r="Q119" s="167">
        <f>SUM(Q120:Q127)</f>
        <v>0</v>
      </c>
      <c r="R119" s="167"/>
      <c r="S119" s="167"/>
      <c r="T119" s="170"/>
      <c r="U119" s="167">
        <f>SUM(U120:U127)</f>
        <v>8.31</v>
      </c>
      <c r="AE119" t="s">
        <v>115</v>
      </c>
    </row>
    <row r="120" spans="1:60" outlineLevel="1" x14ac:dyDescent="0.2">
      <c r="A120" s="154">
        <v>62</v>
      </c>
      <c r="B120" s="154" t="s">
        <v>267</v>
      </c>
      <c r="C120" s="155" t="s">
        <v>268</v>
      </c>
      <c r="D120" s="156" t="s">
        <v>143</v>
      </c>
      <c r="E120" s="157">
        <v>40</v>
      </c>
      <c r="F120" s="158"/>
      <c r="G120" s="159">
        <f t="shared" ref="G120:G126" si="7">ROUND(E120*F120,2)</f>
        <v>0</v>
      </c>
      <c r="H120" s="158"/>
      <c r="I120" s="159">
        <f t="shared" ref="I120:I126" si="8">ROUND(E120*H120,2)</f>
        <v>0</v>
      </c>
      <c r="J120" s="158"/>
      <c r="K120" s="159">
        <f t="shared" ref="K120:K126" si="9">ROUND(E120*J120,2)</f>
        <v>0</v>
      </c>
      <c r="L120" s="159">
        <v>21</v>
      </c>
      <c r="M120" s="159">
        <f t="shared" ref="M120:M126" si="10">G120*(1+L120/100)</f>
        <v>0</v>
      </c>
      <c r="N120" s="156">
        <v>0</v>
      </c>
      <c r="O120" s="156">
        <f t="shared" ref="O120:O126" si="11">ROUND(E120*N120,5)</f>
        <v>0</v>
      </c>
      <c r="P120" s="156">
        <v>0</v>
      </c>
      <c r="Q120" s="156">
        <f t="shared" ref="Q120:Q126" si="12">ROUND(E120*P120,5)</f>
        <v>0</v>
      </c>
      <c r="R120" s="156"/>
      <c r="S120" s="156"/>
      <c r="T120" s="160">
        <v>4.3999999999999997E-2</v>
      </c>
      <c r="U120" s="156">
        <f t="shared" ref="U120:U126" si="13">ROUND(E120*T120,2)</f>
        <v>1.76</v>
      </c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 t="s">
        <v>119</v>
      </c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</row>
    <row r="121" spans="1:60" outlineLevel="1" x14ac:dyDescent="0.2">
      <c r="A121" s="154">
        <v>63</v>
      </c>
      <c r="B121" s="154" t="s">
        <v>269</v>
      </c>
      <c r="C121" s="155" t="s">
        <v>270</v>
      </c>
      <c r="D121" s="156" t="s">
        <v>143</v>
      </c>
      <c r="E121" s="157">
        <v>40</v>
      </c>
      <c r="F121" s="158"/>
      <c r="G121" s="159">
        <f t="shared" si="7"/>
        <v>0</v>
      </c>
      <c r="H121" s="158"/>
      <c r="I121" s="159">
        <f t="shared" si="8"/>
        <v>0</v>
      </c>
      <c r="J121" s="158"/>
      <c r="K121" s="159">
        <f t="shared" si="9"/>
        <v>0</v>
      </c>
      <c r="L121" s="159">
        <v>21</v>
      </c>
      <c r="M121" s="159">
        <f t="shared" si="10"/>
        <v>0</v>
      </c>
      <c r="N121" s="156">
        <v>0</v>
      </c>
      <c r="O121" s="156">
        <f t="shared" si="11"/>
        <v>0</v>
      </c>
      <c r="P121" s="156">
        <v>0</v>
      </c>
      <c r="Q121" s="156">
        <f t="shared" si="12"/>
        <v>0</v>
      </c>
      <c r="R121" s="156"/>
      <c r="S121" s="156"/>
      <c r="T121" s="160">
        <v>0</v>
      </c>
      <c r="U121" s="156">
        <f t="shared" si="13"/>
        <v>0</v>
      </c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 t="s">
        <v>158</v>
      </c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60" ht="22.5" outlineLevel="1" x14ac:dyDescent="0.2">
      <c r="A122" s="154">
        <v>64</v>
      </c>
      <c r="B122" s="154" t="s">
        <v>271</v>
      </c>
      <c r="C122" s="155" t="s">
        <v>272</v>
      </c>
      <c r="D122" s="156" t="s">
        <v>143</v>
      </c>
      <c r="E122" s="157">
        <v>15</v>
      </c>
      <c r="F122" s="158"/>
      <c r="G122" s="159">
        <f t="shared" si="7"/>
        <v>0</v>
      </c>
      <c r="H122" s="158"/>
      <c r="I122" s="159">
        <f t="shared" si="8"/>
        <v>0</v>
      </c>
      <c r="J122" s="158"/>
      <c r="K122" s="159">
        <f t="shared" si="9"/>
        <v>0</v>
      </c>
      <c r="L122" s="159">
        <v>21</v>
      </c>
      <c r="M122" s="159">
        <f t="shared" si="10"/>
        <v>0</v>
      </c>
      <c r="N122" s="156">
        <v>2.5000000000000001E-4</v>
      </c>
      <c r="O122" s="156">
        <f t="shared" si="11"/>
        <v>3.7499999999999999E-3</v>
      </c>
      <c r="P122" s="156">
        <v>0</v>
      </c>
      <c r="Q122" s="156">
        <f t="shared" si="12"/>
        <v>0</v>
      </c>
      <c r="R122" s="156"/>
      <c r="S122" s="156"/>
      <c r="T122" s="160">
        <v>9.9000000000000005E-2</v>
      </c>
      <c r="U122" s="156">
        <f t="shared" si="13"/>
        <v>1.49</v>
      </c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 t="s">
        <v>119</v>
      </c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</row>
    <row r="123" spans="1:60" ht="22.5" outlineLevel="1" x14ac:dyDescent="0.2">
      <c r="A123" s="154">
        <v>65</v>
      </c>
      <c r="B123" s="154" t="s">
        <v>273</v>
      </c>
      <c r="C123" s="155" t="s">
        <v>274</v>
      </c>
      <c r="D123" s="156" t="s">
        <v>143</v>
      </c>
      <c r="E123" s="157">
        <v>40</v>
      </c>
      <c r="F123" s="158"/>
      <c r="G123" s="159">
        <f t="shared" si="7"/>
        <v>0</v>
      </c>
      <c r="H123" s="158"/>
      <c r="I123" s="159">
        <f t="shared" si="8"/>
        <v>0</v>
      </c>
      <c r="J123" s="158"/>
      <c r="K123" s="159">
        <f t="shared" si="9"/>
        <v>0</v>
      </c>
      <c r="L123" s="159">
        <v>21</v>
      </c>
      <c r="M123" s="159">
        <f t="shared" si="10"/>
        <v>0</v>
      </c>
      <c r="N123" s="156">
        <v>5.0000000000000002E-5</v>
      </c>
      <c r="O123" s="156">
        <f t="shared" si="11"/>
        <v>2E-3</v>
      </c>
      <c r="P123" s="156">
        <v>0</v>
      </c>
      <c r="Q123" s="156">
        <f t="shared" si="12"/>
        <v>0</v>
      </c>
      <c r="R123" s="156"/>
      <c r="S123" s="156"/>
      <c r="T123" s="160">
        <v>7.8E-2</v>
      </c>
      <c r="U123" s="156">
        <f t="shared" si="13"/>
        <v>3.12</v>
      </c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 t="s">
        <v>119</v>
      </c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</row>
    <row r="124" spans="1:60" outlineLevel="1" x14ac:dyDescent="0.2">
      <c r="A124" s="154">
        <v>66</v>
      </c>
      <c r="B124" s="154" t="s">
        <v>275</v>
      </c>
      <c r="C124" s="155" t="s">
        <v>276</v>
      </c>
      <c r="D124" s="156" t="s">
        <v>173</v>
      </c>
      <c r="E124" s="157">
        <v>8</v>
      </c>
      <c r="F124" s="158"/>
      <c r="G124" s="159">
        <f t="shared" si="7"/>
        <v>0</v>
      </c>
      <c r="H124" s="158"/>
      <c r="I124" s="159">
        <f t="shared" si="8"/>
        <v>0</v>
      </c>
      <c r="J124" s="158"/>
      <c r="K124" s="159">
        <f t="shared" si="9"/>
        <v>0</v>
      </c>
      <c r="L124" s="159">
        <v>21</v>
      </c>
      <c r="M124" s="159">
        <f t="shared" si="10"/>
        <v>0</v>
      </c>
      <c r="N124" s="156">
        <v>0</v>
      </c>
      <c r="O124" s="156">
        <f t="shared" si="11"/>
        <v>0</v>
      </c>
      <c r="P124" s="156">
        <v>0</v>
      </c>
      <c r="Q124" s="156">
        <f t="shared" si="12"/>
        <v>0</v>
      </c>
      <c r="R124" s="156"/>
      <c r="S124" s="156"/>
      <c r="T124" s="160">
        <v>0.215</v>
      </c>
      <c r="U124" s="156">
        <f t="shared" si="13"/>
        <v>1.72</v>
      </c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 t="s">
        <v>119</v>
      </c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</row>
    <row r="125" spans="1:60" ht="22.5" outlineLevel="1" x14ac:dyDescent="0.2">
      <c r="A125" s="154">
        <v>67</v>
      </c>
      <c r="B125" s="154" t="s">
        <v>277</v>
      </c>
      <c r="C125" s="155" t="s">
        <v>278</v>
      </c>
      <c r="D125" s="156" t="s">
        <v>173</v>
      </c>
      <c r="E125" s="157">
        <v>8</v>
      </c>
      <c r="F125" s="158"/>
      <c r="G125" s="159">
        <f t="shared" si="7"/>
        <v>0</v>
      </c>
      <c r="H125" s="158"/>
      <c r="I125" s="159">
        <f t="shared" si="8"/>
        <v>0</v>
      </c>
      <c r="J125" s="158"/>
      <c r="K125" s="159">
        <f t="shared" si="9"/>
        <v>0</v>
      </c>
      <c r="L125" s="159">
        <v>21</v>
      </c>
      <c r="M125" s="159">
        <f t="shared" si="10"/>
        <v>0</v>
      </c>
      <c r="N125" s="156">
        <v>0</v>
      </c>
      <c r="O125" s="156">
        <f t="shared" si="11"/>
        <v>0</v>
      </c>
      <c r="P125" s="156">
        <v>0</v>
      </c>
      <c r="Q125" s="156">
        <f t="shared" si="12"/>
        <v>0</v>
      </c>
      <c r="R125" s="156"/>
      <c r="S125" s="156"/>
      <c r="T125" s="160">
        <v>0</v>
      </c>
      <c r="U125" s="156">
        <f t="shared" si="13"/>
        <v>0</v>
      </c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 t="s">
        <v>158</v>
      </c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60" ht="22.5" outlineLevel="1" x14ac:dyDescent="0.2">
      <c r="A126" s="154">
        <v>68</v>
      </c>
      <c r="B126" s="154" t="s">
        <v>279</v>
      </c>
      <c r="C126" s="155" t="s">
        <v>280</v>
      </c>
      <c r="D126" s="156" t="s">
        <v>221</v>
      </c>
      <c r="E126" s="157">
        <v>1</v>
      </c>
      <c r="F126" s="158"/>
      <c r="G126" s="159">
        <f t="shared" si="7"/>
        <v>0</v>
      </c>
      <c r="H126" s="158"/>
      <c r="I126" s="159">
        <f t="shared" si="8"/>
        <v>0</v>
      </c>
      <c r="J126" s="158"/>
      <c r="K126" s="159">
        <f t="shared" si="9"/>
        <v>0</v>
      </c>
      <c r="L126" s="159">
        <v>21</v>
      </c>
      <c r="M126" s="159">
        <f t="shared" si="10"/>
        <v>0</v>
      </c>
      <c r="N126" s="156">
        <v>0</v>
      </c>
      <c r="O126" s="156">
        <f t="shared" si="11"/>
        <v>0</v>
      </c>
      <c r="P126" s="156">
        <v>0</v>
      </c>
      <c r="Q126" s="156">
        <f t="shared" si="12"/>
        <v>0</v>
      </c>
      <c r="R126" s="156"/>
      <c r="S126" s="156"/>
      <c r="T126" s="160">
        <v>0.215</v>
      </c>
      <c r="U126" s="156">
        <f t="shared" si="13"/>
        <v>0.22</v>
      </c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 t="s">
        <v>119</v>
      </c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</row>
    <row r="127" spans="1:60" outlineLevel="1" x14ac:dyDescent="0.2">
      <c r="A127" s="154"/>
      <c r="B127" s="154"/>
      <c r="C127" s="311" t="s">
        <v>281</v>
      </c>
      <c r="D127" s="311"/>
      <c r="E127" s="311"/>
      <c r="F127" s="311"/>
      <c r="G127" s="311"/>
      <c r="H127" s="159"/>
      <c r="I127" s="159"/>
      <c r="J127" s="159"/>
      <c r="K127" s="159"/>
      <c r="L127" s="159"/>
      <c r="M127" s="159"/>
      <c r="N127" s="156"/>
      <c r="O127" s="156"/>
      <c r="P127" s="156"/>
      <c r="Q127" s="156"/>
      <c r="R127" s="156"/>
      <c r="S127" s="156"/>
      <c r="T127" s="160"/>
      <c r="U127" s="156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 t="s">
        <v>282</v>
      </c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71" t="str">
        <f>C127</f>
        <v>vč.přesunu tabla EZS</v>
      </c>
      <c r="BB127" s="161"/>
      <c r="BC127" s="161"/>
      <c r="BD127" s="161"/>
      <c r="BE127" s="161"/>
      <c r="BF127" s="161"/>
      <c r="BG127" s="161"/>
      <c r="BH127" s="161"/>
    </row>
    <row r="128" spans="1:60" x14ac:dyDescent="0.2">
      <c r="A128" s="165" t="s">
        <v>114</v>
      </c>
      <c r="B128" s="165" t="s">
        <v>20</v>
      </c>
      <c r="C128" s="166" t="s">
        <v>21</v>
      </c>
      <c r="D128" s="167"/>
      <c r="E128" s="168"/>
      <c r="F128" s="169"/>
      <c r="G128" s="169">
        <f>SUMIF(AE129:AE130,"&lt;&gt;NOR",G129:G130)</f>
        <v>0</v>
      </c>
      <c r="H128" s="169"/>
      <c r="I128" s="169">
        <f>SUM(I129:I130)</f>
        <v>0</v>
      </c>
      <c r="J128" s="169"/>
      <c r="K128" s="169">
        <f>SUM(K129:K130)</f>
        <v>0</v>
      </c>
      <c r="L128" s="169"/>
      <c r="M128" s="169">
        <f>SUM(M129:M130)</f>
        <v>0</v>
      </c>
      <c r="N128" s="167"/>
      <c r="O128" s="167">
        <f>SUM(O129:O130)</f>
        <v>0</v>
      </c>
      <c r="P128" s="167"/>
      <c r="Q128" s="167">
        <f>SUM(Q129:Q130)</f>
        <v>0</v>
      </c>
      <c r="R128" s="167"/>
      <c r="S128" s="167"/>
      <c r="T128" s="170"/>
      <c r="U128" s="167">
        <f>SUM(U129:U130)</f>
        <v>0</v>
      </c>
      <c r="AE128" t="s">
        <v>115</v>
      </c>
    </row>
    <row r="129" spans="1:60" outlineLevel="1" x14ac:dyDescent="0.2">
      <c r="A129" s="154">
        <v>69</v>
      </c>
      <c r="B129" s="154" t="s">
        <v>283</v>
      </c>
      <c r="C129" s="155" t="s">
        <v>643</v>
      </c>
      <c r="D129" s="156" t="s">
        <v>284</v>
      </c>
      <c r="E129" s="157">
        <v>1</v>
      </c>
      <c r="F129" s="158"/>
      <c r="G129" s="159">
        <f>ROUND(E129*F129,2)</f>
        <v>0</v>
      </c>
      <c r="H129" s="158"/>
      <c r="I129" s="159">
        <f>ROUND(E129*H129,2)</f>
        <v>0</v>
      </c>
      <c r="J129" s="158"/>
      <c r="K129" s="159">
        <f>ROUND(E129*J129,2)</f>
        <v>0</v>
      </c>
      <c r="L129" s="159">
        <v>21</v>
      </c>
      <c r="M129" s="159">
        <f>G129*(1+L129/100)</f>
        <v>0</v>
      </c>
      <c r="N129" s="156">
        <v>0</v>
      </c>
      <c r="O129" s="156">
        <f>ROUND(E129*N129,5)</f>
        <v>0</v>
      </c>
      <c r="P129" s="156">
        <v>0</v>
      </c>
      <c r="Q129" s="156">
        <f>ROUND(E129*P129,5)</f>
        <v>0</v>
      </c>
      <c r="R129" s="156"/>
      <c r="S129" s="156"/>
      <c r="T129" s="160">
        <v>0</v>
      </c>
      <c r="U129" s="156">
        <f>ROUND(E129*T129,2)</f>
        <v>0</v>
      </c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 t="s">
        <v>119</v>
      </c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</row>
    <row r="130" spans="1:60" outlineLevel="1" x14ac:dyDescent="0.2">
      <c r="A130" s="172">
        <v>70</v>
      </c>
      <c r="B130" s="172" t="s">
        <v>285</v>
      </c>
      <c r="C130" s="173" t="s">
        <v>642</v>
      </c>
      <c r="D130" s="174" t="s">
        <v>284</v>
      </c>
      <c r="E130" s="175">
        <v>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4">
        <v>0</v>
      </c>
      <c r="O130" s="174">
        <f>ROUND(E130*N130,5)</f>
        <v>0</v>
      </c>
      <c r="P130" s="174">
        <v>0</v>
      </c>
      <c r="Q130" s="174">
        <f>ROUND(E130*P130,5)</f>
        <v>0</v>
      </c>
      <c r="R130" s="174"/>
      <c r="S130" s="174"/>
      <c r="T130" s="178">
        <v>0</v>
      </c>
      <c r="U130" s="174">
        <f>ROUND(E130*T130,2)</f>
        <v>0</v>
      </c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 t="s">
        <v>119</v>
      </c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</row>
    <row r="131" spans="1:60" x14ac:dyDescent="0.2">
      <c r="A131" s="132"/>
      <c r="B131" s="135"/>
      <c r="C131" s="179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AC131">
        <v>15</v>
      </c>
      <c r="AD131">
        <v>21</v>
      </c>
    </row>
    <row r="132" spans="1:60" x14ac:dyDescent="0.2">
      <c r="A132" s="180"/>
      <c r="B132" s="181">
        <v>26</v>
      </c>
      <c r="C132" s="182"/>
      <c r="D132" s="183"/>
      <c r="E132" s="183"/>
      <c r="F132" s="183"/>
      <c r="G132" s="184">
        <f>G8+G11+G14+G22+G42+G44+G51+G70+G72+G75+G81+G99+G102+G108+G117+G119+G128</f>
        <v>0</v>
      </c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AC132">
        <f>SUMIF(L7:L130,AC131,G7:G130)</f>
        <v>0</v>
      </c>
      <c r="AD132">
        <f>SUMIF(L7:L130,AD131,G7:G130)</f>
        <v>0</v>
      </c>
      <c r="AE132" t="s">
        <v>286</v>
      </c>
    </row>
    <row r="133" spans="1:60" x14ac:dyDescent="0.2">
      <c r="A133" s="132"/>
      <c r="B133" s="135"/>
      <c r="C133" s="179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</row>
    <row r="134" spans="1:60" x14ac:dyDescent="0.2">
      <c r="A134" s="132"/>
      <c r="B134" s="135"/>
      <c r="C134" s="179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</row>
    <row r="135" spans="1:60" x14ac:dyDescent="0.2">
      <c r="A135" s="312">
        <v>33</v>
      </c>
      <c r="B135" s="312"/>
      <c r="C135" s="31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</row>
    <row r="136" spans="1:60" x14ac:dyDescent="0.2">
      <c r="A136" s="308"/>
      <c r="B136" s="308"/>
      <c r="C136" s="308"/>
      <c r="D136" s="308"/>
      <c r="E136" s="308"/>
      <c r="F136" s="308"/>
      <c r="G136" s="308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AE136" t="s">
        <v>287</v>
      </c>
    </row>
    <row r="137" spans="1:60" x14ac:dyDescent="0.2">
      <c r="A137" s="308"/>
      <c r="B137" s="308"/>
      <c r="C137" s="308"/>
      <c r="D137" s="308"/>
      <c r="E137" s="308"/>
      <c r="F137" s="308"/>
      <c r="G137" s="308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</row>
    <row r="138" spans="1:60" x14ac:dyDescent="0.2">
      <c r="A138" s="308"/>
      <c r="B138" s="308"/>
      <c r="C138" s="308"/>
      <c r="D138" s="308"/>
      <c r="E138" s="308"/>
      <c r="F138" s="308"/>
      <c r="G138" s="308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</row>
    <row r="139" spans="1:60" x14ac:dyDescent="0.2">
      <c r="A139" s="308"/>
      <c r="B139" s="308"/>
      <c r="C139" s="308"/>
      <c r="D139" s="308"/>
      <c r="E139" s="308"/>
      <c r="F139" s="308"/>
      <c r="G139" s="308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</row>
    <row r="140" spans="1:60" x14ac:dyDescent="0.2">
      <c r="A140" s="308"/>
      <c r="B140" s="308"/>
      <c r="C140" s="308"/>
      <c r="D140" s="308"/>
      <c r="E140" s="308"/>
      <c r="F140" s="308"/>
      <c r="G140" s="308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</row>
    <row r="141" spans="1:60" x14ac:dyDescent="0.2">
      <c r="A141" s="132"/>
      <c r="B141" s="135"/>
      <c r="C141" s="179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</row>
    <row r="142" spans="1:60" x14ac:dyDescent="0.2">
      <c r="C142" s="185"/>
      <c r="AE142" t="s">
        <v>288</v>
      </c>
    </row>
  </sheetData>
  <mergeCells count="7">
    <mergeCell ref="A136:G140"/>
    <mergeCell ref="A1:G1"/>
    <mergeCell ref="C2:G2"/>
    <mergeCell ref="C3:G3"/>
    <mergeCell ref="C4:G4"/>
    <mergeCell ref="C127:G127"/>
    <mergeCell ref="A135:C135"/>
  </mergeCells>
  <pageMargins left="0.59055118110236182" right="0.39370078740157505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47"/>
  <sheetViews>
    <sheetView workbookViewId="0">
      <selection sqref="A1:G1"/>
    </sheetView>
  </sheetViews>
  <sheetFormatPr defaultRowHeight="12.75" outlineLevelRow="1" x14ac:dyDescent="0.2"/>
  <cols>
    <col min="1" max="1" width="4.28515625" style="186" customWidth="1"/>
    <col min="2" max="2" width="14.42578125" style="193" customWidth="1"/>
    <col min="3" max="3" width="38.28515625" style="193" customWidth="1"/>
    <col min="4" max="4" width="4.5703125" style="186" customWidth="1"/>
    <col min="5" max="5" width="10.5703125" style="186" customWidth="1"/>
    <col min="6" max="6" width="9.85546875" style="186" customWidth="1"/>
    <col min="7" max="7" width="12.7109375" style="186" customWidth="1"/>
    <col min="8" max="21" width="0" style="186" hidden="1" customWidth="1"/>
    <col min="22" max="28" width="9.140625" style="186" customWidth="1"/>
    <col min="29" max="39" width="0" style="186" hidden="1" customWidth="1"/>
    <col min="40" max="40" width="9.140625" style="186" customWidth="1"/>
    <col min="41" max="16384" width="9.140625" style="186"/>
  </cols>
  <sheetData>
    <row r="1" spans="1:60" ht="15.75" customHeight="1" x14ac:dyDescent="0.25">
      <c r="A1" s="313" t="s">
        <v>83</v>
      </c>
      <c r="B1" s="313"/>
      <c r="C1" s="313"/>
      <c r="D1" s="313"/>
      <c r="E1" s="313"/>
      <c r="F1" s="313"/>
      <c r="G1" s="313"/>
      <c r="AE1" s="186" t="s">
        <v>87</v>
      </c>
    </row>
    <row r="2" spans="1:60" ht="24.95" customHeight="1" x14ac:dyDescent="0.2">
      <c r="A2" s="187" t="s">
        <v>88</v>
      </c>
      <c r="B2" s="188"/>
      <c r="C2" s="314" t="s">
        <v>289</v>
      </c>
      <c r="D2" s="314"/>
      <c r="E2" s="314"/>
      <c r="F2" s="314"/>
      <c r="G2" s="314"/>
      <c r="AE2" s="186" t="s">
        <v>89</v>
      </c>
    </row>
    <row r="3" spans="1:60" ht="24.95" customHeight="1" x14ac:dyDescent="0.2">
      <c r="A3" s="187" t="s">
        <v>85</v>
      </c>
      <c r="B3" s="188"/>
      <c r="C3" s="314" t="s">
        <v>290</v>
      </c>
      <c r="D3" s="314"/>
      <c r="E3" s="314"/>
      <c r="F3" s="314"/>
      <c r="G3" s="314"/>
      <c r="AE3" s="186" t="s">
        <v>90</v>
      </c>
    </row>
    <row r="4" spans="1:60" ht="24.95" hidden="1" customHeight="1" x14ac:dyDescent="0.2">
      <c r="A4" s="187" t="s">
        <v>86</v>
      </c>
      <c r="B4" s="188"/>
      <c r="C4" s="307"/>
      <c r="D4" s="307"/>
      <c r="E4" s="307"/>
      <c r="F4" s="307"/>
      <c r="G4" s="307"/>
      <c r="AE4" s="186" t="s">
        <v>91</v>
      </c>
    </row>
    <row r="5" spans="1:60" hidden="1" x14ac:dyDescent="0.2">
      <c r="A5" s="189" t="s">
        <v>92</v>
      </c>
      <c r="B5" s="190"/>
      <c r="C5" s="190"/>
      <c r="D5" s="191"/>
      <c r="E5" s="191"/>
      <c r="F5" s="191"/>
      <c r="G5" s="192"/>
      <c r="AE5" s="186" t="s">
        <v>93</v>
      </c>
    </row>
    <row r="7" spans="1:60" ht="38.25" x14ac:dyDescent="0.2">
      <c r="A7" s="194" t="s">
        <v>94</v>
      </c>
      <c r="B7" s="195" t="s">
        <v>95</v>
      </c>
      <c r="C7" s="195" t="s">
        <v>96</v>
      </c>
      <c r="D7" s="194" t="s">
        <v>97</v>
      </c>
      <c r="E7" s="194" t="s">
        <v>98</v>
      </c>
      <c r="F7" s="196" t="s">
        <v>99</v>
      </c>
      <c r="G7" s="194" t="s">
        <v>16</v>
      </c>
      <c r="H7" s="197" t="s">
        <v>100</v>
      </c>
      <c r="I7" s="197" t="s">
        <v>101</v>
      </c>
      <c r="J7" s="197" t="s">
        <v>102</v>
      </c>
      <c r="K7" s="197" t="s">
        <v>103</v>
      </c>
      <c r="L7" s="197" t="s">
        <v>104</v>
      </c>
      <c r="M7" s="197" t="s">
        <v>105</v>
      </c>
      <c r="N7" s="197" t="s">
        <v>106</v>
      </c>
      <c r="O7" s="197" t="s">
        <v>107</v>
      </c>
      <c r="P7" s="197" t="s">
        <v>108</v>
      </c>
      <c r="Q7" s="197" t="s">
        <v>109</v>
      </c>
      <c r="R7" s="197" t="s">
        <v>110</v>
      </c>
      <c r="S7" s="197" t="s">
        <v>111</v>
      </c>
      <c r="T7" s="197" t="s">
        <v>112</v>
      </c>
      <c r="U7" s="197" t="s">
        <v>113</v>
      </c>
    </row>
    <row r="8" spans="1:60" x14ac:dyDescent="0.2">
      <c r="A8" s="198" t="s">
        <v>114</v>
      </c>
      <c r="B8" s="199" t="s">
        <v>291</v>
      </c>
      <c r="C8" s="200" t="s">
        <v>292</v>
      </c>
      <c r="D8" s="201"/>
      <c r="E8" s="202"/>
      <c r="F8" s="203"/>
      <c r="G8" s="203">
        <f>SUMIF(AE9:AE9,"&lt;&gt;NOR",G9:G9)</f>
        <v>0</v>
      </c>
      <c r="H8" s="203"/>
      <c r="I8" s="203">
        <f>SUM(I9:I9)</f>
        <v>0</v>
      </c>
      <c r="J8" s="203"/>
      <c r="K8" s="203">
        <f>SUM(K9:K9)</f>
        <v>0</v>
      </c>
      <c r="L8" s="203"/>
      <c r="M8" s="203">
        <f>SUM(M9:M9)</f>
        <v>0</v>
      </c>
      <c r="N8" s="204"/>
      <c r="O8" s="204">
        <f>SUM(O9:O9)</f>
        <v>0</v>
      </c>
      <c r="P8" s="204"/>
      <c r="Q8" s="204">
        <f>SUM(Q9:Q9)</f>
        <v>0</v>
      </c>
      <c r="R8" s="204"/>
      <c r="S8" s="204"/>
      <c r="T8" s="198"/>
      <c r="U8" s="204">
        <f>SUM(U9:U9)</f>
        <v>4</v>
      </c>
      <c r="AE8" s="186" t="s">
        <v>115</v>
      </c>
    </row>
    <row r="9" spans="1:60" ht="22.5" outlineLevel="1" x14ac:dyDescent="0.2">
      <c r="A9" s="205">
        <v>1</v>
      </c>
      <c r="B9" s="205" t="s">
        <v>293</v>
      </c>
      <c r="C9" s="206" t="s">
        <v>294</v>
      </c>
      <c r="D9" s="207" t="s">
        <v>295</v>
      </c>
      <c r="E9" s="208">
        <v>4</v>
      </c>
      <c r="F9" s="209"/>
      <c r="G9" s="210">
        <f>ROUND(E9*F9,2)</f>
        <v>0</v>
      </c>
      <c r="H9" s="209"/>
      <c r="I9" s="210">
        <f>ROUND(E9*H9,2)</f>
        <v>0</v>
      </c>
      <c r="J9" s="209"/>
      <c r="K9" s="210">
        <f>ROUND(E9*J9,2)</f>
        <v>0</v>
      </c>
      <c r="L9" s="210">
        <v>21</v>
      </c>
      <c r="M9" s="210">
        <f>G9*(1+L9/100)</f>
        <v>0</v>
      </c>
      <c r="N9" s="211">
        <v>0</v>
      </c>
      <c r="O9" s="211">
        <f>ROUND(E9*N9,5)</f>
        <v>0</v>
      </c>
      <c r="P9" s="211">
        <v>0</v>
      </c>
      <c r="Q9" s="211">
        <f>ROUND(E9*P9,5)</f>
        <v>0</v>
      </c>
      <c r="R9" s="211"/>
      <c r="S9" s="211"/>
      <c r="T9" s="212">
        <v>1</v>
      </c>
      <c r="U9" s="211">
        <f>ROUND(E9*T9,2)</f>
        <v>4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119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14" t="s">
        <v>114</v>
      </c>
      <c r="B10" s="214" t="s">
        <v>296</v>
      </c>
      <c r="C10" s="215" t="s">
        <v>297</v>
      </c>
      <c r="D10" s="216"/>
      <c r="E10" s="217"/>
      <c r="F10" s="218"/>
      <c r="G10" s="218">
        <f>SUMIF(AE11:AE12,"&lt;&gt;NOR",G11:G12)</f>
        <v>0</v>
      </c>
      <c r="H10" s="218"/>
      <c r="I10" s="218">
        <f>SUM(I11:I12)</f>
        <v>0</v>
      </c>
      <c r="J10" s="218"/>
      <c r="K10" s="218">
        <f>SUM(K11:K12)</f>
        <v>0</v>
      </c>
      <c r="L10" s="218"/>
      <c r="M10" s="218">
        <f>SUM(M11:M12)</f>
        <v>0</v>
      </c>
      <c r="N10" s="219"/>
      <c r="O10" s="219">
        <f>SUM(O11:O12)</f>
        <v>1.6000000000000001E-4</v>
      </c>
      <c r="P10" s="219"/>
      <c r="Q10" s="219">
        <f>SUM(Q11:Q12)</f>
        <v>0</v>
      </c>
      <c r="R10" s="219"/>
      <c r="S10" s="219"/>
      <c r="T10" s="220"/>
      <c r="U10" s="219">
        <f>SUM(U11:U12)</f>
        <v>1.08</v>
      </c>
      <c r="AE10" s="186" t="s">
        <v>115</v>
      </c>
    </row>
    <row r="11" spans="1:60" ht="22.5" outlineLevel="1" x14ac:dyDescent="0.2">
      <c r="A11" s="205">
        <v>2</v>
      </c>
      <c r="B11" s="205" t="s">
        <v>298</v>
      </c>
      <c r="C11" s="206" t="s">
        <v>299</v>
      </c>
      <c r="D11" s="207" t="s">
        <v>143</v>
      </c>
      <c r="E11" s="208">
        <v>8</v>
      </c>
      <c r="F11" s="209"/>
      <c r="G11" s="210">
        <f>ROUND(E11*F11,2)</f>
        <v>0</v>
      </c>
      <c r="H11" s="209"/>
      <c r="I11" s="210">
        <f>ROUND(E11*H11,2)</f>
        <v>0</v>
      </c>
      <c r="J11" s="209"/>
      <c r="K11" s="210">
        <f>ROUND(E11*J11,2)</f>
        <v>0</v>
      </c>
      <c r="L11" s="210">
        <v>21</v>
      </c>
      <c r="M11" s="210">
        <f>G11*(1+L11/100)</f>
        <v>0</v>
      </c>
      <c r="N11" s="211">
        <v>2.0000000000000002E-5</v>
      </c>
      <c r="O11" s="211">
        <f>ROUND(E11*N11,5)</f>
        <v>1.6000000000000001E-4</v>
      </c>
      <c r="P11" s="211">
        <v>0</v>
      </c>
      <c r="Q11" s="211">
        <f>ROUND(E11*P11,5)</f>
        <v>0</v>
      </c>
      <c r="R11" s="211"/>
      <c r="S11" s="211"/>
      <c r="T11" s="212">
        <v>0.13500000000000001</v>
      </c>
      <c r="U11" s="211">
        <f>ROUND(E11*T11,2)</f>
        <v>1.08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119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05">
        <v>3</v>
      </c>
      <c r="B12" s="205" t="s">
        <v>300</v>
      </c>
      <c r="C12" s="206" t="s">
        <v>301</v>
      </c>
      <c r="D12" s="207" t="s">
        <v>177</v>
      </c>
      <c r="E12" s="208">
        <v>2.0000000000000001E-4</v>
      </c>
      <c r="F12" s="209"/>
      <c r="G12" s="210">
        <f>ROUND(E12*F12,2)</f>
        <v>0</v>
      </c>
      <c r="H12" s="209"/>
      <c r="I12" s="210">
        <f>ROUND(E12*H12,2)</f>
        <v>0</v>
      </c>
      <c r="J12" s="209"/>
      <c r="K12" s="210">
        <f>ROUND(E12*J12,2)</f>
        <v>0</v>
      </c>
      <c r="L12" s="210">
        <v>21</v>
      </c>
      <c r="M12" s="210">
        <f>G12*(1+L12/100)</f>
        <v>0</v>
      </c>
      <c r="N12" s="211">
        <v>0</v>
      </c>
      <c r="O12" s="211">
        <f>ROUND(E12*N12,5)</f>
        <v>0</v>
      </c>
      <c r="P12" s="211">
        <v>0</v>
      </c>
      <c r="Q12" s="211">
        <f>ROUND(E12*P12,5)</f>
        <v>0</v>
      </c>
      <c r="R12" s="211"/>
      <c r="S12" s="211"/>
      <c r="T12" s="212">
        <v>1.327</v>
      </c>
      <c r="U12" s="211">
        <f>ROUND(E12*T12,2)</f>
        <v>0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119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14" t="s">
        <v>114</v>
      </c>
      <c r="B13" s="214" t="s">
        <v>302</v>
      </c>
      <c r="C13" s="215" t="s">
        <v>303</v>
      </c>
      <c r="D13" s="216"/>
      <c r="E13" s="217"/>
      <c r="F13" s="218"/>
      <c r="G13" s="218">
        <f>SUMIF(AE14:AE20,"&lt;&gt;NOR",G14:G20)</f>
        <v>0</v>
      </c>
      <c r="H13" s="218"/>
      <c r="I13" s="218">
        <f>SUM(I14:I20)</f>
        <v>0</v>
      </c>
      <c r="J13" s="218"/>
      <c r="K13" s="218">
        <f>SUM(K14:K20)</f>
        <v>0</v>
      </c>
      <c r="L13" s="218"/>
      <c r="M13" s="218">
        <f>SUM(M14:M20)</f>
        <v>0</v>
      </c>
      <c r="N13" s="219"/>
      <c r="O13" s="219">
        <f>SUM(O14:O20)</f>
        <v>1.7640000000000003E-2</v>
      </c>
      <c r="P13" s="219"/>
      <c r="Q13" s="219">
        <f>SUM(Q14:Q20)</f>
        <v>0</v>
      </c>
      <c r="R13" s="219"/>
      <c r="S13" s="219"/>
      <c r="T13" s="220"/>
      <c r="U13" s="219">
        <f>SUM(U14:U20)</f>
        <v>7.7299999999999995</v>
      </c>
      <c r="AE13" s="186" t="s">
        <v>115</v>
      </c>
    </row>
    <row r="14" spans="1:60" outlineLevel="1" x14ac:dyDescent="0.2">
      <c r="A14" s="205">
        <v>4</v>
      </c>
      <c r="B14" s="205" t="s">
        <v>304</v>
      </c>
      <c r="C14" s="206" t="s">
        <v>305</v>
      </c>
      <c r="D14" s="207" t="s">
        <v>143</v>
      </c>
      <c r="E14" s="208">
        <v>8</v>
      </c>
      <c r="F14" s="209"/>
      <c r="G14" s="210">
        <f t="shared" ref="G14:G20" si="0">ROUND(E14*F14,2)</f>
        <v>0</v>
      </c>
      <c r="H14" s="209"/>
      <c r="I14" s="210">
        <f t="shared" ref="I14:I20" si="1">ROUND(E14*H14,2)</f>
        <v>0</v>
      </c>
      <c r="J14" s="209"/>
      <c r="K14" s="210">
        <f t="shared" ref="K14:K20" si="2">ROUND(E14*J14,2)</f>
        <v>0</v>
      </c>
      <c r="L14" s="210">
        <v>21</v>
      </c>
      <c r="M14" s="210">
        <f t="shared" ref="M14:M20" si="3">G14*(1+L14/100)</f>
        <v>0</v>
      </c>
      <c r="N14" s="211">
        <v>7.6000000000000004E-4</v>
      </c>
      <c r="O14" s="211">
        <f t="shared" ref="O14:O20" si="4">ROUND(E14*N14,5)</f>
        <v>6.0800000000000003E-3</v>
      </c>
      <c r="P14" s="211">
        <v>0</v>
      </c>
      <c r="Q14" s="211">
        <f t="shared" ref="Q14:Q20" si="5">ROUND(E14*P14,5)</f>
        <v>0</v>
      </c>
      <c r="R14" s="211"/>
      <c r="S14" s="211"/>
      <c r="T14" s="212">
        <v>0.29737999999999998</v>
      </c>
      <c r="U14" s="211">
        <f t="shared" ref="U14:U20" si="6">ROUND(E14*T14,2)</f>
        <v>2.38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119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05">
        <v>5</v>
      </c>
      <c r="B15" s="205" t="s">
        <v>306</v>
      </c>
      <c r="C15" s="206" t="s">
        <v>307</v>
      </c>
      <c r="D15" s="207" t="s">
        <v>173</v>
      </c>
      <c r="E15" s="208">
        <v>2</v>
      </c>
      <c r="F15" s="209"/>
      <c r="G15" s="210">
        <f t="shared" si="0"/>
        <v>0</v>
      </c>
      <c r="H15" s="209"/>
      <c r="I15" s="210">
        <f t="shared" si="1"/>
        <v>0</v>
      </c>
      <c r="J15" s="209"/>
      <c r="K15" s="210">
        <f t="shared" si="2"/>
        <v>0</v>
      </c>
      <c r="L15" s="210">
        <v>21</v>
      </c>
      <c r="M15" s="210">
        <f t="shared" si="3"/>
        <v>0</v>
      </c>
      <c r="N15" s="211">
        <v>0</v>
      </c>
      <c r="O15" s="211">
        <f t="shared" si="4"/>
        <v>0</v>
      </c>
      <c r="P15" s="211">
        <v>0</v>
      </c>
      <c r="Q15" s="211">
        <f t="shared" si="5"/>
        <v>0</v>
      </c>
      <c r="R15" s="211"/>
      <c r="S15" s="211"/>
      <c r="T15" s="212">
        <v>5.8000000000000003E-2</v>
      </c>
      <c r="U15" s="211">
        <f t="shared" si="6"/>
        <v>0.12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119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05">
        <v>6</v>
      </c>
      <c r="B16" s="205" t="s">
        <v>308</v>
      </c>
      <c r="C16" s="206" t="s">
        <v>309</v>
      </c>
      <c r="D16" s="207" t="s">
        <v>173</v>
      </c>
      <c r="E16" s="208">
        <v>2</v>
      </c>
      <c r="F16" s="209"/>
      <c r="G16" s="210">
        <f t="shared" si="0"/>
        <v>0</v>
      </c>
      <c r="H16" s="209"/>
      <c r="I16" s="210">
        <f t="shared" si="1"/>
        <v>0</v>
      </c>
      <c r="J16" s="209"/>
      <c r="K16" s="210">
        <f t="shared" si="2"/>
        <v>0</v>
      </c>
      <c r="L16" s="210">
        <v>21</v>
      </c>
      <c r="M16" s="210">
        <f t="shared" si="3"/>
        <v>0</v>
      </c>
      <c r="N16" s="211">
        <v>0</v>
      </c>
      <c r="O16" s="211">
        <f t="shared" si="4"/>
        <v>0</v>
      </c>
      <c r="P16" s="211">
        <v>0</v>
      </c>
      <c r="Q16" s="211">
        <f t="shared" si="5"/>
        <v>0</v>
      </c>
      <c r="R16" s="211"/>
      <c r="S16" s="211"/>
      <c r="T16" s="212">
        <v>0.11600000000000001</v>
      </c>
      <c r="U16" s="211">
        <f t="shared" si="6"/>
        <v>0.23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119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05">
        <v>7</v>
      </c>
      <c r="B17" s="205" t="s">
        <v>310</v>
      </c>
      <c r="C17" s="206" t="s">
        <v>311</v>
      </c>
      <c r="D17" s="207" t="s">
        <v>143</v>
      </c>
      <c r="E17" s="208">
        <v>34</v>
      </c>
      <c r="F17" s="209"/>
      <c r="G17" s="210">
        <f t="shared" si="0"/>
        <v>0</v>
      </c>
      <c r="H17" s="209"/>
      <c r="I17" s="210">
        <f t="shared" si="1"/>
        <v>0</v>
      </c>
      <c r="J17" s="209"/>
      <c r="K17" s="210">
        <f t="shared" si="2"/>
        <v>0</v>
      </c>
      <c r="L17" s="210">
        <v>21</v>
      </c>
      <c r="M17" s="210">
        <f t="shared" si="3"/>
        <v>0</v>
      </c>
      <c r="N17" s="211">
        <v>3.4000000000000002E-4</v>
      </c>
      <c r="O17" s="211">
        <f t="shared" si="4"/>
        <v>1.1560000000000001E-2</v>
      </c>
      <c r="P17" s="211">
        <v>0</v>
      </c>
      <c r="Q17" s="211">
        <f t="shared" si="5"/>
        <v>0</v>
      </c>
      <c r="R17" s="211"/>
      <c r="S17" s="211"/>
      <c r="T17" s="212">
        <v>0.123</v>
      </c>
      <c r="U17" s="211">
        <f t="shared" si="6"/>
        <v>4.18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119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05">
        <v>8</v>
      </c>
      <c r="B18" s="205" t="s">
        <v>312</v>
      </c>
      <c r="C18" s="206" t="s">
        <v>313</v>
      </c>
      <c r="D18" s="207" t="s">
        <v>173</v>
      </c>
      <c r="E18" s="208">
        <v>6</v>
      </c>
      <c r="F18" s="209"/>
      <c r="G18" s="210">
        <f t="shared" si="0"/>
        <v>0</v>
      </c>
      <c r="H18" s="209"/>
      <c r="I18" s="210">
        <f t="shared" si="1"/>
        <v>0</v>
      </c>
      <c r="J18" s="209"/>
      <c r="K18" s="210">
        <f t="shared" si="2"/>
        <v>0</v>
      </c>
      <c r="L18" s="210">
        <v>21</v>
      </c>
      <c r="M18" s="210">
        <f t="shared" si="3"/>
        <v>0</v>
      </c>
      <c r="N18" s="211">
        <v>0</v>
      </c>
      <c r="O18" s="211">
        <f t="shared" si="4"/>
        <v>0</v>
      </c>
      <c r="P18" s="211">
        <v>0</v>
      </c>
      <c r="Q18" s="211">
        <f t="shared" si="5"/>
        <v>0</v>
      </c>
      <c r="R18" s="211"/>
      <c r="S18" s="211"/>
      <c r="T18" s="212">
        <v>0</v>
      </c>
      <c r="U18" s="211">
        <f t="shared" si="6"/>
        <v>0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158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05">
        <v>9</v>
      </c>
      <c r="B19" s="205" t="s">
        <v>314</v>
      </c>
      <c r="C19" s="206" t="s">
        <v>315</v>
      </c>
      <c r="D19" s="207" t="s">
        <v>143</v>
      </c>
      <c r="E19" s="208">
        <v>42</v>
      </c>
      <c r="F19" s="209"/>
      <c r="G19" s="210">
        <f t="shared" si="0"/>
        <v>0</v>
      </c>
      <c r="H19" s="209"/>
      <c r="I19" s="210">
        <f t="shared" si="1"/>
        <v>0</v>
      </c>
      <c r="J19" s="209"/>
      <c r="K19" s="210">
        <f t="shared" si="2"/>
        <v>0</v>
      </c>
      <c r="L19" s="210">
        <v>21</v>
      </c>
      <c r="M19" s="210">
        <f t="shared" si="3"/>
        <v>0</v>
      </c>
      <c r="N19" s="211">
        <v>0</v>
      </c>
      <c r="O19" s="211">
        <f t="shared" si="4"/>
        <v>0</v>
      </c>
      <c r="P19" s="211">
        <v>0</v>
      </c>
      <c r="Q19" s="211">
        <f t="shared" si="5"/>
        <v>0</v>
      </c>
      <c r="R19" s="211"/>
      <c r="S19" s="211"/>
      <c r="T19" s="212">
        <v>1.7999999999999999E-2</v>
      </c>
      <c r="U19" s="211">
        <f t="shared" si="6"/>
        <v>0.76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119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05">
        <v>10</v>
      </c>
      <c r="B20" s="205" t="s">
        <v>316</v>
      </c>
      <c r="C20" s="206" t="s">
        <v>317</v>
      </c>
      <c r="D20" s="207" t="s">
        <v>177</v>
      </c>
      <c r="E20" s="208">
        <v>1.7600000000000001E-2</v>
      </c>
      <c r="F20" s="209"/>
      <c r="G20" s="210">
        <f t="shared" si="0"/>
        <v>0</v>
      </c>
      <c r="H20" s="209"/>
      <c r="I20" s="210">
        <f t="shared" si="1"/>
        <v>0</v>
      </c>
      <c r="J20" s="209"/>
      <c r="K20" s="210">
        <f t="shared" si="2"/>
        <v>0</v>
      </c>
      <c r="L20" s="210">
        <v>21</v>
      </c>
      <c r="M20" s="210">
        <f t="shared" si="3"/>
        <v>0</v>
      </c>
      <c r="N20" s="211">
        <v>0</v>
      </c>
      <c r="O20" s="211">
        <f t="shared" si="4"/>
        <v>0</v>
      </c>
      <c r="P20" s="211">
        <v>0</v>
      </c>
      <c r="Q20" s="211">
        <f t="shared" si="5"/>
        <v>0</v>
      </c>
      <c r="R20" s="211"/>
      <c r="S20" s="211"/>
      <c r="T20" s="212">
        <v>3.5630000000000002</v>
      </c>
      <c r="U20" s="211">
        <f t="shared" si="6"/>
        <v>0.06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119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14" t="s">
        <v>114</v>
      </c>
      <c r="B21" s="214" t="s">
        <v>318</v>
      </c>
      <c r="C21" s="215" t="s">
        <v>319</v>
      </c>
      <c r="D21" s="216"/>
      <c r="E21" s="217"/>
      <c r="F21" s="218"/>
      <c r="G21" s="218">
        <f>SUMIF(AE22:AE28,"&lt;&gt;NOR",G22:G28)</f>
        <v>0</v>
      </c>
      <c r="H21" s="218"/>
      <c r="I21" s="218">
        <f>SUM(I22:I28)</f>
        <v>0</v>
      </c>
      <c r="J21" s="218"/>
      <c r="K21" s="218">
        <f>SUM(K22:K28)</f>
        <v>0</v>
      </c>
      <c r="L21" s="218"/>
      <c r="M21" s="218">
        <f>SUM(M22:M28)</f>
        <v>0</v>
      </c>
      <c r="N21" s="219"/>
      <c r="O21" s="219">
        <f>SUM(O22:O28)</f>
        <v>1.01E-3</v>
      </c>
      <c r="P21" s="219"/>
      <c r="Q21" s="219">
        <f>SUM(Q22:Q28)</f>
        <v>0</v>
      </c>
      <c r="R21" s="219"/>
      <c r="S21" s="219"/>
      <c r="T21" s="220"/>
      <c r="U21" s="219">
        <f>SUM(U22:U28)</f>
        <v>0.99</v>
      </c>
      <c r="AE21" s="186" t="s">
        <v>115</v>
      </c>
    </row>
    <row r="22" spans="1:60" ht="22.5" outlineLevel="1" x14ac:dyDescent="0.2">
      <c r="A22" s="205">
        <v>11</v>
      </c>
      <c r="B22" s="205" t="s">
        <v>320</v>
      </c>
      <c r="C22" s="206" t="s">
        <v>321</v>
      </c>
      <c r="D22" s="207" t="s">
        <v>173</v>
      </c>
      <c r="E22" s="208">
        <v>1</v>
      </c>
      <c r="F22" s="209"/>
      <c r="G22" s="210">
        <f t="shared" ref="G22:G28" si="7">ROUND(E22*F22,2)</f>
        <v>0</v>
      </c>
      <c r="H22" s="209"/>
      <c r="I22" s="210">
        <f t="shared" ref="I22:I28" si="8">ROUND(E22*H22,2)</f>
        <v>0</v>
      </c>
      <c r="J22" s="209"/>
      <c r="K22" s="210">
        <f t="shared" ref="K22:K28" si="9">ROUND(E22*J22,2)</f>
        <v>0</v>
      </c>
      <c r="L22" s="210">
        <v>21</v>
      </c>
      <c r="M22" s="210">
        <f t="shared" ref="M22:M28" si="10">G22*(1+L22/100)</f>
        <v>0</v>
      </c>
      <c r="N22" s="211">
        <v>4.6000000000000001E-4</v>
      </c>
      <c r="O22" s="211">
        <f t="shared" ref="O22:O28" si="11">ROUND(E22*N22,5)</f>
        <v>4.6000000000000001E-4</v>
      </c>
      <c r="P22" s="211">
        <v>0</v>
      </c>
      <c r="Q22" s="211">
        <f t="shared" ref="Q22:Q28" si="12">ROUND(E22*P22,5)</f>
        <v>0</v>
      </c>
      <c r="R22" s="211"/>
      <c r="S22" s="211"/>
      <c r="T22" s="212">
        <v>0.247</v>
      </c>
      <c r="U22" s="211">
        <f t="shared" ref="U22:U28" si="13">ROUND(E22*T22,2)</f>
        <v>0.25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119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05">
        <v>12</v>
      </c>
      <c r="B23" s="205" t="s">
        <v>322</v>
      </c>
      <c r="C23" s="206" t="s">
        <v>323</v>
      </c>
      <c r="D23" s="207" t="s">
        <v>173</v>
      </c>
      <c r="E23" s="208">
        <v>1</v>
      </c>
      <c r="F23" s="209"/>
      <c r="G23" s="210">
        <f t="shared" si="7"/>
        <v>0</v>
      </c>
      <c r="H23" s="209"/>
      <c r="I23" s="210">
        <f t="shared" si="8"/>
        <v>0</v>
      </c>
      <c r="J23" s="209"/>
      <c r="K23" s="210">
        <f t="shared" si="9"/>
        <v>0</v>
      </c>
      <c r="L23" s="210">
        <v>21</v>
      </c>
      <c r="M23" s="210">
        <f t="shared" si="10"/>
        <v>0</v>
      </c>
      <c r="N23" s="211">
        <v>1.4999999999999999E-4</v>
      </c>
      <c r="O23" s="211">
        <f t="shared" si="11"/>
        <v>1.4999999999999999E-4</v>
      </c>
      <c r="P23" s="211">
        <v>0</v>
      </c>
      <c r="Q23" s="211">
        <f t="shared" si="12"/>
        <v>0</v>
      </c>
      <c r="R23" s="211"/>
      <c r="S23" s="211"/>
      <c r="T23" s="212">
        <v>8.2000000000000003E-2</v>
      </c>
      <c r="U23" s="211">
        <f t="shared" si="13"/>
        <v>0.08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119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05">
        <v>13</v>
      </c>
      <c r="B24" s="205" t="s">
        <v>324</v>
      </c>
      <c r="C24" s="206" t="s">
        <v>325</v>
      </c>
      <c r="D24" s="207" t="s">
        <v>173</v>
      </c>
      <c r="E24" s="208">
        <v>2</v>
      </c>
      <c r="F24" s="209"/>
      <c r="G24" s="210">
        <f t="shared" si="7"/>
        <v>0</v>
      </c>
      <c r="H24" s="209"/>
      <c r="I24" s="210">
        <f t="shared" si="8"/>
        <v>0</v>
      </c>
      <c r="J24" s="209"/>
      <c r="K24" s="210">
        <f t="shared" si="9"/>
        <v>0</v>
      </c>
      <c r="L24" s="210">
        <v>21</v>
      </c>
      <c r="M24" s="210">
        <f t="shared" si="10"/>
        <v>0</v>
      </c>
      <c r="N24" s="211">
        <v>2.0000000000000001E-4</v>
      </c>
      <c r="O24" s="211">
        <f t="shared" si="11"/>
        <v>4.0000000000000002E-4</v>
      </c>
      <c r="P24" s="211">
        <v>0</v>
      </c>
      <c r="Q24" s="211">
        <f t="shared" si="12"/>
        <v>0</v>
      </c>
      <c r="R24" s="211"/>
      <c r="S24" s="211"/>
      <c r="T24" s="212">
        <v>0.16400000000000001</v>
      </c>
      <c r="U24" s="211">
        <f t="shared" si="13"/>
        <v>0.33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119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05">
        <v>14</v>
      </c>
      <c r="B25" s="205" t="s">
        <v>326</v>
      </c>
      <c r="C25" s="206" t="s">
        <v>327</v>
      </c>
      <c r="D25" s="207" t="s">
        <v>173</v>
      </c>
      <c r="E25" s="208">
        <v>2</v>
      </c>
      <c r="F25" s="209"/>
      <c r="G25" s="210">
        <f t="shared" si="7"/>
        <v>0</v>
      </c>
      <c r="H25" s="209"/>
      <c r="I25" s="210">
        <f t="shared" si="8"/>
        <v>0</v>
      </c>
      <c r="J25" s="209"/>
      <c r="K25" s="210">
        <f t="shared" si="9"/>
        <v>0</v>
      </c>
      <c r="L25" s="210">
        <v>21</v>
      </c>
      <c r="M25" s="210">
        <f t="shared" si="10"/>
        <v>0</v>
      </c>
      <c r="N25" s="211">
        <v>0</v>
      </c>
      <c r="O25" s="211">
        <f t="shared" si="11"/>
        <v>0</v>
      </c>
      <c r="P25" s="211">
        <v>0</v>
      </c>
      <c r="Q25" s="211">
        <f t="shared" si="12"/>
        <v>0</v>
      </c>
      <c r="R25" s="211"/>
      <c r="S25" s="211"/>
      <c r="T25" s="212">
        <v>0</v>
      </c>
      <c r="U25" s="211">
        <f t="shared" si="13"/>
        <v>0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158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05">
        <v>15</v>
      </c>
      <c r="B26" s="205" t="s">
        <v>328</v>
      </c>
      <c r="C26" s="206" t="s">
        <v>329</v>
      </c>
      <c r="D26" s="207" t="s">
        <v>173</v>
      </c>
      <c r="E26" s="208">
        <v>1</v>
      </c>
      <c r="F26" s="209"/>
      <c r="G26" s="210">
        <f t="shared" si="7"/>
        <v>0</v>
      </c>
      <c r="H26" s="209"/>
      <c r="I26" s="210">
        <f t="shared" si="8"/>
        <v>0</v>
      </c>
      <c r="J26" s="209"/>
      <c r="K26" s="210">
        <f t="shared" si="9"/>
        <v>0</v>
      </c>
      <c r="L26" s="210">
        <v>21</v>
      </c>
      <c r="M26" s="210">
        <f t="shared" si="10"/>
        <v>0</v>
      </c>
      <c r="N26" s="211">
        <v>0</v>
      </c>
      <c r="O26" s="211">
        <f t="shared" si="11"/>
        <v>0</v>
      </c>
      <c r="P26" s="211">
        <v>0</v>
      </c>
      <c r="Q26" s="211">
        <f t="shared" si="12"/>
        <v>0</v>
      </c>
      <c r="R26" s="211"/>
      <c r="S26" s="211"/>
      <c r="T26" s="212">
        <v>0</v>
      </c>
      <c r="U26" s="211">
        <f t="shared" si="13"/>
        <v>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158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05">
        <v>16</v>
      </c>
      <c r="B27" s="205" t="s">
        <v>330</v>
      </c>
      <c r="C27" s="206" t="s">
        <v>331</v>
      </c>
      <c r="D27" s="207" t="s">
        <v>173</v>
      </c>
      <c r="E27" s="208">
        <v>4</v>
      </c>
      <c r="F27" s="209"/>
      <c r="G27" s="210">
        <f t="shared" si="7"/>
        <v>0</v>
      </c>
      <c r="H27" s="209"/>
      <c r="I27" s="210">
        <f t="shared" si="8"/>
        <v>0</v>
      </c>
      <c r="J27" s="209"/>
      <c r="K27" s="210">
        <f t="shared" si="9"/>
        <v>0</v>
      </c>
      <c r="L27" s="210">
        <v>21</v>
      </c>
      <c r="M27" s="210">
        <f t="shared" si="10"/>
        <v>0</v>
      </c>
      <c r="N27" s="211">
        <v>0</v>
      </c>
      <c r="O27" s="211">
        <f t="shared" si="11"/>
        <v>0</v>
      </c>
      <c r="P27" s="211">
        <v>0</v>
      </c>
      <c r="Q27" s="211">
        <f t="shared" si="12"/>
        <v>0</v>
      </c>
      <c r="R27" s="211"/>
      <c r="S27" s="211"/>
      <c r="T27" s="212">
        <v>8.3000000000000004E-2</v>
      </c>
      <c r="U27" s="211">
        <f t="shared" si="13"/>
        <v>0.33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119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05">
        <v>17</v>
      </c>
      <c r="B28" s="205" t="s">
        <v>332</v>
      </c>
      <c r="C28" s="206" t="s">
        <v>333</v>
      </c>
      <c r="D28" s="207" t="s">
        <v>177</v>
      </c>
      <c r="E28" s="208">
        <v>1E-3</v>
      </c>
      <c r="F28" s="209"/>
      <c r="G28" s="210">
        <f t="shared" si="7"/>
        <v>0</v>
      </c>
      <c r="H28" s="209"/>
      <c r="I28" s="210">
        <f t="shared" si="8"/>
        <v>0</v>
      </c>
      <c r="J28" s="209"/>
      <c r="K28" s="210">
        <f t="shared" si="9"/>
        <v>0</v>
      </c>
      <c r="L28" s="210">
        <v>21</v>
      </c>
      <c r="M28" s="210">
        <f t="shared" si="10"/>
        <v>0</v>
      </c>
      <c r="N28" s="211">
        <v>0</v>
      </c>
      <c r="O28" s="211">
        <f t="shared" si="11"/>
        <v>0</v>
      </c>
      <c r="P28" s="211">
        <v>0</v>
      </c>
      <c r="Q28" s="211">
        <f t="shared" si="12"/>
        <v>0</v>
      </c>
      <c r="R28" s="211"/>
      <c r="S28" s="211"/>
      <c r="T28" s="212">
        <v>2.5750000000000002</v>
      </c>
      <c r="U28" s="211">
        <f t="shared" si="13"/>
        <v>0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119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14" t="s">
        <v>114</v>
      </c>
      <c r="B29" s="214" t="s">
        <v>69</v>
      </c>
      <c r="C29" s="215" t="s">
        <v>70</v>
      </c>
      <c r="D29" s="216"/>
      <c r="E29" s="217"/>
      <c r="F29" s="218"/>
      <c r="G29" s="218">
        <f>SUMIF(AE30:AE35,"&lt;&gt;NOR",G30:G35)</f>
        <v>0</v>
      </c>
      <c r="H29" s="218"/>
      <c r="I29" s="218">
        <f>SUM(I30:I35)</f>
        <v>0</v>
      </c>
      <c r="J29" s="218"/>
      <c r="K29" s="218">
        <f>SUM(K30:K35)</f>
        <v>0</v>
      </c>
      <c r="L29" s="218"/>
      <c r="M29" s="218">
        <f>SUM(M30:M35)</f>
        <v>0</v>
      </c>
      <c r="N29" s="219"/>
      <c r="O29" s="219">
        <f>SUM(O30:O35)</f>
        <v>0.16582</v>
      </c>
      <c r="P29" s="219"/>
      <c r="Q29" s="219">
        <f>SUM(Q30:Q35)</f>
        <v>0</v>
      </c>
      <c r="R29" s="219"/>
      <c r="S29" s="219"/>
      <c r="T29" s="220"/>
      <c r="U29" s="219">
        <f>SUM(U30:U35)</f>
        <v>6.95</v>
      </c>
      <c r="AE29" s="186" t="s">
        <v>115</v>
      </c>
    </row>
    <row r="30" spans="1:60" ht="22.5" outlineLevel="1" x14ac:dyDescent="0.2">
      <c r="A30" s="205">
        <v>18</v>
      </c>
      <c r="B30" s="205" t="s">
        <v>334</v>
      </c>
      <c r="C30" s="206" t="s">
        <v>335</v>
      </c>
      <c r="D30" s="207" t="s">
        <v>173</v>
      </c>
      <c r="E30" s="208">
        <v>2</v>
      </c>
      <c r="F30" s="209"/>
      <c r="G30" s="210">
        <f t="shared" ref="G30:G35" si="14">ROUND(E30*F30,2)</f>
        <v>0</v>
      </c>
      <c r="H30" s="209"/>
      <c r="I30" s="210">
        <f t="shared" ref="I30:I35" si="15">ROUND(E30*H30,2)</f>
        <v>0</v>
      </c>
      <c r="J30" s="209"/>
      <c r="K30" s="210">
        <f t="shared" ref="K30:K35" si="16">ROUND(E30*J30,2)</f>
        <v>0</v>
      </c>
      <c r="L30" s="210">
        <v>21</v>
      </c>
      <c r="M30" s="210">
        <f t="shared" ref="M30:M35" si="17">G30*(1+L30/100)</f>
        <v>0</v>
      </c>
      <c r="N30" s="211">
        <v>5.3900000000000003E-2</v>
      </c>
      <c r="O30" s="211">
        <f t="shared" ref="O30:O35" si="18">ROUND(E30*N30,5)</f>
        <v>0.10780000000000001</v>
      </c>
      <c r="P30" s="211">
        <v>0</v>
      </c>
      <c r="Q30" s="211">
        <f t="shared" ref="Q30:Q35" si="19">ROUND(E30*P30,5)</f>
        <v>0</v>
      </c>
      <c r="R30" s="211"/>
      <c r="S30" s="211"/>
      <c r="T30" s="212">
        <v>1.0609999999999999</v>
      </c>
      <c r="U30" s="211">
        <f t="shared" ref="U30:U35" si="20">ROUND(E30*T30,2)</f>
        <v>2.12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119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05">
        <v>19</v>
      </c>
      <c r="B31" s="205" t="s">
        <v>336</v>
      </c>
      <c r="C31" s="206" t="s">
        <v>337</v>
      </c>
      <c r="D31" s="207" t="s">
        <v>173</v>
      </c>
      <c r="E31" s="208">
        <v>2</v>
      </c>
      <c r="F31" s="209"/>
      <c r="G31" s="210">
        <f t="shared" si="14"/>
        <v>0</v>
      </c>
      <c r="H31" s="209"/>
      <c r="I31" s="210">
        <f t="shared" si="15"/>
        <v>0</v>
      </c>
      <c r="J31" s="209"/>
      <c r="K31" s="210">
        <f t="shared" si="16"/>
        <v>0</v>
      </c>
      <c r="L31" s="210">
        <v>21</v>
      </c>
      <c r="M31" s="210">
        <f t="shared" si="17"/>
        <v>0</v>
      </c>
      <c r="N31" s="211">
        <v>0</v>
      </c>
      <c r="O31" s="211">
        <f t="shared" si="18"/>
        <v>0</v>
      </c>
      <c r="P31" s="211">
        <v>0</v>
      </c>
      <c r="Q31" s="211">
        <f t="shared" si="19"/>
        <v>0</v>
      </c>
      <c r="R31" s="211"/>
      <c r="S31" s="211"/>
      <c r="T31" s="212">
        <v>0.92900000000000005</v>
      </c>
      <c r="U31" s="211">
        <f t="shared" si="20"/>
        <v>1.86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119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05">
        <v>20</v>
      </c>
      <c r="B32" s="205" t="s">
        <v>338</v>
      </c>
      <c r="C32" s="206" t="s">
        <v>339</v>
      </c>
      <c r="D32" s="207" t="s">
        <v>340</v>
      </c>
      <c r="E32" s="208">
        <v>1</v>
      </c>
      <c r="F32" s="209"/>
      <c r="G32" s="210">
        <f t="shared" si="14"/>
        <v>0</v>
      </c>
      <c r="H32" s="209"/>
      <c r="I32" s="210">
        <f t="shared" si="15"/>
        <v>0</v>
      </c>
      <c r="J32" s="209"/>
      <c r="K32" s="210">
        <f t="shared" si="16"/>
        <v>0</v>
      </c>
      <c r="L32" s="210">
        <v>21</v>
      </c>
      <c r="M32" s="210">
        <f t="shared" si="17"/>
        <v>0</v>
      </c>
      <c r="N32" s="211">
        <v>3.7019999999999997E-2</v>
      </c>
      <c r="O32" s="211">
        <f t="shared" si="18"/>
        <v>3.7019999999999997E-2</v>
      </c>
      <c r="P32" s="211">
        <v>0</v>
      </c>
      <c r="Q32" s="211">
        <f t="shared" si="19"/>
        <v>0</v>
      </c>
      <c r="R32" s="211"/>
      <c r="S32" s="211"/>
      <c r="T32" s="212">
        <v>1.5289999999999999</v>
      </c>
      <c r="U32" s="211">
        <f t="shared" si="20"/>
        <v>1.53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119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33.75" outlineLevel="1" x14ac:dyDescent="0.2">
      <c r="A33" s="205">
        <v>21</v>
      </c>
      <c r="B33" s="205" t="s">
        <v>341</v>
      </c>
      <c r="C33" s="206" t="s">
        <v>342</v>
      </c>
      <c r="D33" s="207" t="s">
        <v>343</v>
      </c>
      <c r="E33" s="208">
        <v>1</v>
      </c>
      <c r="F33" s="209"/>
      <c r="G33" s="210">
        <f t="shared" si="14"/>
        <v>0</v>
      </c>
      <c r="H33" s="209"/>
      <c r="I33" s="210">
        <f t="shared" si="15"/>
        <v>0</v>
      </c>
      <c r="J33" s="209"/>
      <c r="K33" s="210">
        <f t="shared" si="16"/>
        <v>0</v>
      </c>
      <c r="L33" s="210">
        <v>21</v>
      </c>
      <c r="M33" s="210">
        <f t="shared" si="17"/>
        <v>0</v>
      </c>
      <c r="N33" s="211">
        <v>2.1000000000000001E-2</v>
      </c>
      <c r="O33" s="211">
        <f t="shared" si="18"/>
        <v>2.1000000000000001E-2</v>
      </c>
      <c r="P33" s="211">
        <v>0</v>
      </c>
      <c r="Q33" s="211">
        <f t="shared" si="19"/>
        <v>0</v>
      </c>
      <c r="R33" s="211"/>
      <c r="S33" s="211"/>
      <c r="T33" s="212">
        <v>0</v>
      </c>
      <c r="U33" s="211">
        <f t="shared" si="20"/>
        <v>0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158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05">
        <v>22</v>
      </c>
      <c r="B34" s="205" t="s">
        <v>344</v>
      </c>
      <c r="C34" s="206" t="s">
        <v>345</v>
      </c>
      <c r="D34" s="207" t="s">
        <v>173</v>
      </c>
      <c r="E34" s="208">
        <v>1</v>
      </c>
      <c r="F34" s="209"/>
      <c r="G34" s="210">
        <f t="shared" si="14"/>
        <v>0</v>
      </c>
      <c r="H34" s="209"/>
      <c r="I34" s="210">
        <f t="shared" si="15"/>
        <v>0</v>
      </c>
      <c r="J34" s="209"/>
      <c r="K34" s="210">
        <f t="shared" si="16"/>
        <v>0</v>
      </c>
      <c r="L34" s="210">
        <v>21</v>
      </c>
      <c r="M34" s="210">
        <f t="shared" si="17"/>
        <v>0</v>
      </c>
      <c r="N34" s="211">
        <v>0</v>
      </c>
      <c r="O34" s="211">
        <f t="shared" si="18"/>
        <v>0</v>
      </c>
      <c r="P34" s="211">
        <v>0</v>
      </c>
      <c r="Q34" s="211">
        <f t="shared" si="19"/>
        <v>0</v>
      </c>
      <c r="R34" s="211"/>
      <c r="S34" s="211"/>
      <c r="T34" s="212">
        <v>0.92900000000000005</v>
      </c>
      <c r="U34" s="211">
        <f t="shared" si="20"/>
        <v>0.93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119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1">
        <v>23</v>
      </c>
      <c r="B35" s="221" t="s">
        <v>346</v>
      </c>
      <c r="C35" s="222" t="s">
        <v>347</v>
      </c>
      <c r="D35" s="223" t="s">
        <v>177</v>
      </c>
      <c r="E35" s="224">
        <v>0.1658</v>
      </c>
      <c r="F35" s="225"/>
      <c r="G35" s="226">
        <f t="shared" si="14"/>
        <v>0</v>
      </c>
      <c r="H35" s="225"/>
      <c r="I35" s="226">
        <f t="shared" si="15"/>
        <v>0</v>
      </c>
      <c r="J35" s="225"/>
      <c r="K35" s="226">
        <f t="shared" si="16"/>
        <v>0</v>
      </c>
      <c r="L35" s="226">
        <v>21</v>
      </c>
      <c r="M35" s="226">
        <f t="shared" si="17"/>
        <v>0</v>
      </c>
      <c r="N35" s="227">
        <v>0</v>
      </c>
      <c r="O35" s="227">
        <f t="shared" si="18"/>
        <v>0</v>
      </c>
      <c r="P35" s="227">
        <v>0</v>
      </c>
      <c r="Q35" s="227">
        <f t="shared" si="19"/>
        <v>0</v>
      </c>
      <c r="R35" s="227"/>
      <c r="S35" s="227"/>
      <c r="T35" s="228">
        <v>3.0750000000000002</v>
      </c>
      <c r="U35" s="227">
        <f t="shared" si="20"/>
        <v>0.51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119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9"/>
      <c r="B36" s="230"/>
      <c r="C36" s="231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AC36" s="186">
        <v>15</v>
      </c>
      <c r="AD36" s="186">
        <v>21</v>
      </c>
    </row>
    <row r="37" spans="1:60" x14ac:dyDescent="0.2">
      <c r="A37" s="232"/>
      <c r="B37" s="233">
        <v>26</v>
      </c>
      <c r="C37" s="234"/>
      <c r="D37" s="235"/>
      <c r="E37" s="235"/>
      <c r="F37" s="235"/>
      <c r="G37" s="236">
        <f>G8+G10+G13+G21+G29</f>
        <v>0</v>
      </c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AC37" s="186">
        <f>SUMIF(L7:L35,AC36,G7:G35)</f>
        <v>0</v>
      </c>
      <c r="AD37" s="186">
        <f>SUMIF(L7:L35,AD36,G7:G35)</f>
        <v>0</v>
      </c>
      <c r="AE37" s="186" t="s">
        <v>286</v>
      </c>
    </row>
    <row r="38" spans="1:60" x14ac:dyDescent="0.2">
      <c r="A38" s="229"/>
      <c r="B38" s="230"/>
      <c r="C38" s="231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</row>
    <row r="39" spans="1:60" x14ac:dyDescent="0.2">
      <c r="A39" s="229"/>
      <c r="B39" s="230"/>
      <c r="C39" s="231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</row>
    <row r="40" spans="1:60" x14ac:dyDescent="0.2">
      <c r="A40" s="315">
        <v>33</v>
      </c>
      <c r="B40" s="315"/>
      <c r="C40" s="315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</row>
    <row r="41" spans="1:60" x14ac:dyDescent="0.2">
      <c r="A41" s="308"/>
      <c r="B41" s="308"/>
      <c r="C41" s="308"/>
      <c r="D41" s="308"/>
      <c r="E41" s="308"/>
      <c r="F41" s="308"/>
      <c r="G41" s="308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AE41" s="186" t="s">
        <v>287</v>
      </c>
    </row>
    <row r="42" spans="1:60" x14ac:dyDescent="0.2">
      <c r="A42" s="308"/>
      <c r="B42" s="308"/>
      <c r="C42" s="308"/>
      <c r="D42" s="308"/>
      <c r="E42" s="308"/>
      <c r="F42" s="308"/>
      <c r="G42" s="308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</row>
    <row r="43" spans="1:60" x14ac:dyDescent="0.2">
      <c r="A43" s="308"/>
      <c r="B43" s="308"/>
      <c r="C43" s="308"/>
      <c r="D43" s="308"/>
      <c r="E43" s="308"/>
      <c r="F43" s="308"/>
      <c r="G43" s="308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</row>
    <row r="44" spans="1:60" x14ac:dyDescent="0.2">
      <c r="A44" s="308"/>
      <c r="B44" s="308"/>
      <c r="C44" s="308"/>
      <c r="D44" s="308"/>
      <c r="E44" s="308"/>
      <c r="F44" s="308"/>
      <c r="G44" s="308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</row>
    <row r="45" spans="1:60" x14ac:dyDescent="0.2">
      <c r="A45" s="308"/>
      <c r="B45" s="308"/>
      <c r="C45" s="308"/>
      <c r="D45" s="308"/>
      <c r="E45" s="308"/>
      <c r="F45" s="308"/>
      <c r="G45" s="308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</row>
    <row r="46" spans="1:60" x14ac:dyDescent="0.2">
      <c r="A46" s="229"/>
      <c r="B46" s="230"/>
      <c r="C46" s="231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</row>
    <row r="47" spans="1:60" x14ac:dyDescent="0.2">
      <c r="C47" s="237"/>
      <c r="AE47" s="186" t="s">
        <v>288</v>
      </c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182" right="0.39370078740157505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130"/>
  <sheetViews>
    <sheetView workbookViewId="0">
      <selection sqref="A1:L1"/>
    </sheetView>
  </sheetViews>
  <sheetFormatPr defaultColWidth="11.5703125" defaultRowHeight="12.75" x14ac:dyDescent="0.2"/>
  <cols>
    <col min="1" max="1" width="3.7109375" style="238" customWidth="1"/>
    <col min="2" max="2" width="14.28515625" style="238" customWidth="1"/>
    <col min="3" max="3" width="79.7109375" style="238" customWidth="1"/>
    <col min="4" max="5" width="11.5703125" style="238" customWidth="1"/>
    <col min="6" max="6" width="4.28515625" style="238" customWidth="1"/>
    <col min="7" max="7" width="12.85546875" style="238" customWidth="1"/>
    <col min="8" max="8" width="12" style="238" customWidth="1"/>
    <col min="9" max="11" width="14.28515625" style="238" customWidth="1"/>
    <col min="12" max="12" width="11.7109375" style="238" customWidth="1"/>
    <col min="13" max="24" width="11.5703125" style="238" customWidth="1"/>
    <col min="25" max="62" width="12.140625" style="238" hidden="1" customWidth="1"/>
    <col min="63" max="63" width="11.5703125" style="238" customWidth="1"/>
    <col min="64" max="16384" width="11.5703125" style="238"/>
  </cols>
  <sheetData>
    <row r="1" spans="1:62" ht="72.95" customHeight="1" x14ac:dyDescent="0.35">
      <c r="A1" s="316" t="s">
        <v>348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62" x14ac:dyDescent="0.2">
      <c r="A2" s="317" t="s">
        <v>349</v>
      </c>
      <c r="B2" s="317"/>
      <c r="C2" s="318" t="s">
        <v>350</v>
      </c>
      <c r="D2" s="319" t="s">
        <v>351</v>
      </c>
      <c r="E2" s="319"/>
      <c r="F2" s="319" t="s">
        <v>352</v>
      </c>
      <c r="G2" s="319"/>
      <c r="H2" s="320" t="s">
        <v>9</v>
      </c>
      <c r="I2" s="321">
        <v>0</v>
      </c>
      <c r="J2" s="321"/>
      <c r="K2" s="321"/>
      <c r="L2" s="321"/>
      <c r="M2" s="239"/>
    </row>
    <row r="3" spans="1:62" x14ac:dyDescent="0.2">
      <c r="A3" s="317"/>
      <c r="B3" s="317"/>
      <c r="C3" s="318"/>
      <c r="D3" s="319"/>
      <c r="E3" s="319"/>
      <c r="F3" s="319"/>
      <c r="G3" s="319"/>
      <c r="H3" s="320"/>
      <c r="I3" s="321"/>
      <c r="J3" s="321"/>
      <c r="K3" s="321"/>
      <c r="L3" s="321"/>
      <c r="M3" s="239"/>
    </row>
    <row r="4" spans="1:62" x14ac:dyDescent="0.2">
      <c r="A4" s="322" t="s">
        <v>353</v>
      </c>
      <c r="B4" s="322"/>
      <c r="C4" s="323" t="s">
        <v>354</v>
      </c>
      <c r="D4" s="324" t="s">
        <v>355</v>
      </c>
      <c r="E4" s="324"/>
      <c r="F4" s="324" t="s">
        <v>356</v>
      </c>
      <c r="G4" s="324"/>
      <c r="H4" s="323" t="s">
        <v>12</v>
      </c>
      <c r="I4" s="325">
        <v>0</v>
      </c>
      <c r="J4" s="325"/>
      <c r="K4" s="325"/>
      <c r="L4" s="325"/>
      <c r="M4" s="239"/>
    </row>
    <row r="5" spans="1:62" x14ac:dyDescent="0.2">
      <c r="A5" s="322"/>
      <c r="B5" s="322"/>
      <c r="C5" s="323"/>
      <c r="D5" s="324"/>
      <c r="E5" s="324"/>
      <c r="F5" s="324"/>
      <c r="G5" s="324"/>
      <c r="H5" s="323"/>
      <c r="I5" s="325"/>
      <c r="J5" s="325"/>
      <c r="K5" s="325"/>
      <c r="L5" s="325"/>
      <c r="M5" s="239"/>
    </row>
    <row r="6" spans="1:62" x14ac:dyDescent="0.2">
      <c r="A6" s="322" t="s">
        <v>357</v>
      </c>
      <c r="B6" s="322"/>
      <c r="C6" s="323" t="s">
        <v>358</v>
      </c>
      <c r="D6" s="324" t="s">
        <v>359</v>
      </c>
      <c r="E6" s="324"/>
      <c r="F6" s="324" t="s">
        <v>356</v>
      </c>
      <c r="G6" s="324"/>
      <c r="H6" s="323" t="s">
        <v>13</v>
      </c>
      <c r="I6" s="325">
        <v>0</v>
      </c>
      <c r="J6" s="325"/>
      <c r="K6" s="325"/>
      <c r="L6" s="325"/>
      <c r="M6" s="239"/>
    </row>
    <row r="7" spans="1:62" x14ac:dyDescent="0.2">
      <c r="A7" s="322"/>
      <c r="B7" s="322"/>
      <c r="C7" s="323"/>
      <c r="D7" s="324"/>
      <c r="E7" s="324"/>
      <c r="F7" s="324"/>
      <c r="G7" s="324"/>
      <c r="H7" s="323"/>
      <c r="I7" s="325"/>
      <c r="J7" s="325"/>
      <c r="K7" s="325"/>
      <c r="L7" s="325"/>
      <c r="M7" s="239"/>
    </row>
    <row r="8" spans="1:62" ht="13.5" thickBot="1" x14ac:dyDescent="0.25">
      <c r="A8" s="332" t="s">
        <v>360</v>
      </c>
      <c r="B8" s="332"/>
      <c r="C8" s="333">
        <v>0</v>
      </c>
      <c r="D8" s="334" t="s">
        <v>361</v>
      </c>
      <c r="E8" s="334"/>
      <c r="F8" s="334" t="s">
        <v>362</v>
      </c>
      <c r="G8" s="334"/>
      <c r="H8" s="335" t="s">
        <v>363</v>
      </c>
      <c r="I8" s="336" t="s">
        <v>364</v>
      </c>
      <c r="J8" s="336"/>
      <c r="K8" s="336"/>
      <c r="L8" s="336"/>
      <c r="M8" s="239"/>
    </row>
    <row r="9" spans="1:62" ht="13.5" thickBot="1" x14ac:dyDescent="0.25">
      <c r="A9" s="332"/>
      <c r="B9" s="332"/>
      <c r="C9" s="333"/>
      <c r="D9" s="334"/>
      <c r="E9" s="334"/>
      <c r="F9" s="334"/>
      <c r="G9" s="334"/>
      <c r="H9" s="335"/>
      <c r="I9" s="336"/>
      <c r="J9" s="336"/>
      <c r="K9" s="336"/>
      <c r="L9" s="336"/>
      <c r="M9" s="239"/>
    </row>
    <row r="10" spans="1:62" x14ac:dyDescent="0.2">
      <c r="A10" s="240" t="s">
        <v>365</v>
      </c>
      <c r="B10" s="241" t="s">
        <v>366</v>
      </c>
      <c r="C10" s="326" t="s">
        <v>367</v>
      </c>
      <c r="D10" s="326"/>
      <c r="E10" s="326"/>
      <c r="F10" s="241" t="s">
        <v>368</v>
      </c>
      <c r="G10" s="242" t="s">
        <v>369</v>
      </c>
      <c r="H10" s="243" t="s">
        <v>370</v>
      </c>
      <c r="I10" s="327" t="s">
        <v>371</v>
      </c>
      <c r="J10" s="327"/>
      <c r="K10" s="327"/>
      <c r="L10" s="244" t="s">
        <v>372</v>
      </c>
      <c r="M10" s="245"/>
    </row>
    <row r="11" spans="1:62" ht="13.5" thickBot="1" x14ac:dyDescent="0.25">
      <c r="A11" s="246" t="s">
        <v>352</v>
      </c>
      <c r="B11" s="247" t="s">
        <v>352</v>
      </c>
      <c r="C11" s="328" t="s">
        <v>373</v>
      </c>
      <c r="D11" s="328"/>
      <c r="E11" s="328"/>
      <c r="F11" s="247" t="s">
        <v>352</v>
      </c>
      <c r="G11" s="247" t="s">
        <v>352</v>
      </c>
      <c r="H11" s="248" t="s">
        <v>374</v>
      </c>
      <c r="I11" s="249" t="s">
        <v>100</v>
      </c>
      <c r="J11" s="250" t="s">
        <v>102</v>
      </c>
      <c r="K11" s="251" t="s">
        <v>16</v>
      </c>
      <c r="L11" s="252" t="s">
        <v>375</v>
      </c>
      <c r="M11" s="245"/>
      <c r="Z11" s="253" t="s">
        <v>376</v>
      </c>
      <c r="AA11" s="253" t="s">
        <v>377</v>
      </c>
      <c r="AB11" s="253" t="s">
        <v>378</v>
      </c>
      <c r="AC11" s="253" t="s">
        <v>379</v>
      </c>
      <c r="AD11" s="253" t="s">
        <v>380</v>
      </c>
      <c r="AE11" s="253" t="s">
        <v>381</v>
      </c>
      <c r="AF11" s="253" t="s">
        <v>382</v>
      </c>
      <c r="AG11" s="253" t="s">
        <v>383</v>
      </c>
      <c r="AH11" s="253" t="s">
        <v>384</v>
      </c>
      <c r="BH11" s="253" t="s">
        <v>385</v>
      </c>
      <c r="BI11" s="253" t="s">
        <v>386</v>
      </c>
      <c r="BJ11" s="253" t="s">
        <v>387</v>
      </c>
    </row>
    <row r="12" spans="1:62" x14ac:dyDescent="0.2">
      <c r="A12" s="254"/>
      <c r="B12" s="255" t="s">
        <v>388</v>
      </c>
      <c r="C12" s="329" t="s">
        <v>389</v>
      </c>
      <c r="D12" s="329"/>
      <c r="E12" s="329"/>
      <c r="F12" s="254" t="s">
        <v>352</v>
      </c>
      <c r="G12" s="254" t="s">
        <v>352</v>
      </c>
      <c r="H12" s="254" t="s">
        <v>352</v>
      </c>
      <c r="I12" s="256">
        <f>SUM(I13:I13)</f>
        <v>0</v>
      </c>
      <c r="J12" s="256">
        <f>SUM(J13:J13)</f>
        <v>0</v>
      </c>
      <c r="K12" s="256">
        <f>SUM(K13:K13)</f>
        <v>0</v>
      </c>
      <c r="L12" s="257"/>
      <c r="AI12" s="253"/>
      <c r="AS12" s="258">
        <f>SUM(AJ13:AJ13)</f>
        <v>0</v>
      </c>
      <c r="AT12" s="258">
        <f>SUM(AK13:AK13)</f>
        <v>0</v>
      </c>
      <c r="AU12" s="258">
        <f>SUM(AL13:AL13)</f>
        <v>0</v>
      </c>
    </row>
    <row r="13" spans="1:62" x14ac:dyDescent="0.2">
      <c r="A13" s="259" t="s">
        <v>390</v>
      </c>
      <c r="B13" s="259" t="s">
        <v>391</v>
      </c>
      <c r="C13" s="330" t="s">
        <v>392</v>
      </c>
      <c r="D13" s="330"/>
      <c r="E13" s="330"/>
      <c r="F13" s="259" t="s">
        <v>393</v>
      </c>
      <c r="G13" s="260">
        <v>1</v>
      </c>
      <c r="H13" s="260">
        <v>0</v>
      </c>
      <c r="I13" s="260">
        <f>G13*AO13</f>
        <v>0</v>
      </c>
      <c r="J13" s="260">
        <f>G13*AP13</f>
        <v>0</v>
      </c>
      <c r="K13" s="260">
        <f>G13*H13</f>
        <v>0</v>
      </c>
      <c r="L13" s="261"/>
      <c r="Z13" s="262">
        <f>IF(AQ13="5",BJ13,0)</f>
        <v>0</v>
      </c>
      <c r="AB13" s="262">
        <f>IF(AQ13="1",BH13,0)</f>
        <v>0</v>
      </c>
      <c r="AC13" s="262">
        <f>IF(AQ13="1",BI13,0)</f>
        <v>0</v>
      </c>
      <c r="AD13" s="262">
        <f>IF(AQ13="7",BH13,0)</f>
        <v>0</v>
      </c>
      <c r="AE13" s="262">
        <f>IF(AQ13="7",BI13,0)</f>
        <v>0</v>
      </c>
      <c r="AF13" s="262">
        <f>IF(AQ13="2",BH13,0)</f>
        <v>0</v>
      </c>
      <c r="AG13" s="262">
        <f>IF(AQ13="2",BI13,0)</f>
        <v>0</v>
      </c>
      <c r="AH13" s="262">
        <f>IF(AQ13="0",BJ13,0)</f>
        <v>0</v>
      </c>
      <c r="AI13" s="253"/>
      <c r="AJ13" s="260">
        <f>IF(AN13=0,K13,0)</f>
        <v>0</v>
      </c>
      <c r="AK13" s="260">
        <f>IF(AN13=15,K13,0)</f>
        <v>0</v>
      </c>
      <c r="AL13" s="260">
        <f>IF(AN13=21,K13,0)</f>
        <v>0</v>
      </c>
      <c r="AN13" s="262">
        <v>21</v>
      </c>
      <c r="AO13" s="262">
        <f>H13*0</f>
        <v>0</v>
      </c>
      <c r="AP13" s="262">
        <f>H13*(1-0)</f>
        <v>0</v>
      </c>
      <c r="AQ13" s="261" t="s">
        <v>390</v>
      </c>
      <c r="AV13" s="262">
        <f>AW13+AX13</f>
        <v>0</v>
      </c>
      <c r="AW13" s="262">
        <f>G13*AO13</f>
        <v>0</v>
      </c>
      <c r="AX13" s="262">
        <f>G13*AP13</f>
        <v>0</v>
      </c>
      <c r="AY13" s="263" t="s">
        <v>394</v>
      </c>
      <c r="AZ13" s="263" t="s">
        <v>394</v>
      </c>
      <c r="BA13" s="253" t="s">
        <v>395</v>
      </c>
      <c r="BC13" s="262">
        <f>AW13+AX13</f>
        <v>0</v>
      </c>
      <c r="BD13" s="262">
        <f>H13/(100-BE13)*100</f>
        <v>0</v>
      </c>
      <c r="BE13" s="262">
        <v>0</v>
      </c>
      <c r="BF13" s="262">
        <f>13</f>
        <v>13</v>
      </c>
      <c r="BH13" s="260">
        <f>G13*AO13</f>
        <v>0</v>
      </c>
      <c r="BI13" s="260">
        <f>G13*AP13</f>
        <v>0</v>
      </c>
      <c r="BJ13" s="260">
        <f>G13*H13</f>
        <v>0</v>
      </c>
    </row>
    <row r="14" spans="1:62" x14ac:dyDescent="0.2">
      <c r="C14" s="331" t="s">
        <v>396</v>
      </c>
      <c r="D14" s="331"/>
      <c r="E14" s="331"/>
    </row>
    <row r="15" spans="1:62" x14ac:dyDescent="0.2">
      <c r="A15" s="264"/>
      <c r="B15" s="265" t="s">
        <v>397</v>
      </c>
      <c r="C15" s="338" t="s">
        <v>398</v>
      </c>
      <c r="D15" s="338"/>
      <c r="E15" s="338"/>
      <c r="F15" s="264" t="s">
        <v>352</v>
      </c>
      <c r="G15" s="264" t="s">
        <v>352</v>
      </c>
      <c r="H15" s="264" t="s">
        <v>352</v>
      </c>
      <c r="I15" s="258">
        <f>SUM(I16:I22)</f>
        <v>0</v>
      </c>
      <c r="J15" s="258">
        <f>SUM(J16:J22)</f>
        <v>0</v>
      </c>
      <c r="K15" s="258">
        <f>SUM(K16:K22)</f>
        <v>0</v>
      </c>
      <c r="L15" s="253"/>
      <c r="AI15" s="253"/>
      <c r="AS15" s="258">
        <f>SUM(AJ16:AJ22)</f>
        <v>0</v>
      </c>
      <c r="AT15" s="258">
        <f>SUM(AK16:AK22)</f>
        <v>0</v>
      </c>
      <c r="AU15" s="258">
        <f>SUM(AL16:AL22)</f>
        <v>0</v>
      </c>
    </row>
    <row r="16" spans="1:62" x14ac:dyDescent="0.2">
      <c r="A16" s="259" t="s">
        <v>399</v>
      </c>
      <c r="B16" s="259" t="s">
        <v>400</v>
      </c>
      <c r="C16" s="330" t="s">
        <v>401</v>
      </c>
      <c r="D16" s="330"/>
      <c r="E16" s="330"/>
      <c r="F16" s="259" t="s">
        <v>124</v>
      </c>
      <c r="G16" s="260">
        <v>0.05</v>
      </c>
      <c r="H16" s="260">
        <v>0</v>
      </c>
      <c r="I16" s="260">
        <f>G16*AO16</f>
        <v>0</v>
      </c>
      <c r="J16" s="260">
        <f>G16*AP16</f>
        <v>0</v>
      </c>
      <c r="K16" s="260">
        <f>G16*H16</f>
        <v>0</v>
      </c>
      <c r="L16" s="261" t="s">
        <v>402</v>
      </c>
      <c r="Z16" s="262">
        <f>IF(AQ16="5",BJ16,0)</f>
        <v>0</v>
      </c>
      <c r="AB16" s="262">
        <f>IF(AQ16="1",BH16,0)</f>
        <v>0</v>
      </c>
      <c r="AC16" s="262">
        <f>IF(AQ16="1",BI16,0)</f>
        <v>0</v>
      </c>
      <c r="AD16" s="262">
        <f>IF(AQ16="7",BH16,0)</f>
        <v>0</v>
      </c>
      <c r="AE16" s="262">
        <f>IF(AQ16="7",BI16,0)</f>
        <v>0</v>
      </c>
      <c r="AF16" s="262">
        <f>IF(AQ16="2",BH16,0)</f>
        <v>0</v>
      </c>
      <c r="AG16" s="262">
        <f>IF(AQ16="2",BI16,0)</f>
        <v>0</v>
      </c>
      <c r="AH16" s="262">
        <f>IF(AQ16="0",BJ16,0)</f>
        <v>0</v>
      </c>
      <c r="AI16" s="253"/>
      <c r="AJ16" s="260">
        <f>IF(AN16=0,K16,0)</f>
        <v>0</v>
      </c>
      <c r="AK16" s="260">
        <f>IF(AN16=15,K16,0)</f>
        <v>0</v>
      </c>
      <c r="AL16" s="260">
        <f>IF(AN16=21,K16,0)</f>
        <v>0</v>
      </c>
      <c r="AN16" s="262">
        <v>21</v>
      </c>
      <c r="AO16" s="262">
        <f>H16*0.00501495162708883</f>
        <v>0</v>
      </c>
      <c r="AP16" s="262">
        <f>H16*(1-0.00501495162708883)</f>
        <v>0</v>
      </c>
      <c r="AQ16" s="261" t="s">
        <v>390</v>
      </c>
      <c r="AV16" s="262">
        <f>AW16+AX16</f>
        <v>0</v>
      </c>
      <c r="AW16" s="262">
        <f>G16*AO16</f>
        <v>0</v>
      </c>
      <c r="AX16" s="262">
        <f>G16*AP16</f>
        <v>0</v>
      </c>
      <c r="AY16" s="263" t="s">
        <v>403</v>
      </c>
      <c r="AZ16" s="263" t="s">
        <v>404</v>
      </c>
      <c r="BA16" s="253" t="s">
        <v>395</v>
      </c>
      <c r="BC16" s="262">
        <f>AW16+AX16</f>
        <v>0</v>
      </c>
      <c r="BD16" s="262">
        <f>H16/(100-BE16)*100</f>
        <v>0</v>
      </c>
      <c r="BE16" s="262">
        <v>0</v>
      </c>
      <c r="BF16" s="262">
        <f>16</f>
        <v>16</v>
      </c>
      <c r="BH16" s="260">
        <f>G16*AO16</f>
        <v>0</v>
      </c>
      <c r="BI16" s="260">
        <f>G16*AP16</f>
        <v>0</v>
      </c>
      <c r="BJ16" s="260">
        <f>G16*H16</f>
        <v>0</v>
      </c>
    </row>
    <row r="17" spans="1:62" x14ac:dyDescent="0.2">
      <c r="C17" s="331" t="s">
        <v>405</v>
      </c>
      <c r="D17" s="331"/>
      <c r="E17" s="331"/>
    </row>
    <row r="18" spans="1:62" x14ac:dyDescent="0.2">
      <c r="A18" s="259" t="s">
        <v>51</v>
      </c>
      <c r="B18" s="259" t="s">
        <v>406</v>
      </c>
      <c r="C18" s="330" t="s">
        <v>407</v>
      </c>
      <c r="D18" s="330"/>
      <c r="E18" s="330"/>
      <c r="F18" s="259" t="s">
        <v>143</v>
      </c>
      <c r="G18" s="260">
        <v>40</v>
      </c>
      <c r="H18" s="260">
        <v>0</v>
      </c>
      <c r="I18" s="260">
        <f>G18*AO18</f>
        <v>0</v>
      </c>
      <c r="J18" s="260">
        <f>G18*AP18</f>
        <v>0</v>
      </c>
      <c r="K18" s="260">
        <f>G18*H18</f>
        <v>0</v>
      </c>
      <c r="L18" s="261" t="s">
        <v>402</v>
      </c>
      <c r="Z18" s="262">
        <f>IF(AQ18="5",BJ18,0)</f>
        <v>0</v>
      </c>
      <c r="AB18" s="262">
        <f>IF(AQ18="1",BH18,0)</f>
        <v>0</v>
      </c>
      <c r="AC18" s="262">
        <f>IF(AQ18="1",BI18,0)</f>
        <v>0</v>
      </c>
      <c r="AD18" s="262">
        <f>IF(AQ18="7",BH18,0)</f>
        <v>0</v>
      </c>
      <c r="AE18" s="262">
        <f>IF(AQ18="7",BI18,0)</f>
        <v>0</v>
      </c>
      <c r="AF18" s="262">
        <f>IF(AQ18="2",BH18,0)</f>
        <v>0</v>
      </c>
      <c r="AG18" s="262">
        <f>IF(AQ18="2",BI18,0)</f>
        <v>0</v>
      </c>
      <c r="AH18" s="262">
        <f>IF(AQ18="0",BJ18,0)</f>
        <v>0</v>
      </c>
      <c r="AI18" s="253"/>
      <c r="AJ18" s="260">
        <f>IF(AN18=0,K18,0)</f>
        <v>0</v>
      </c>
      <c r="AK18" s="260">
        <f>IF(AN18=15,K18,0)</f>
        <v>0</v>
      </c>
      <c r="AL18" s="260">
        <f>IF(AN18=21,K18,0)</f>
        <v>0</v>
      </c>
      <c r="AN18" s="262">
        <v>21</v>
      </c>
      <c r="AO18" s="262">
        <f>H18*0.147932734859021</f>
        <v>0</v>
      </c>
      <c r="AP18" s="262">
        <f>H18*(1-0.147932734859021)</f>
        <v>0</v>
      </c>
      <c r="AQ18" s="261" t="s">
        <v>390</v>
      </c>
      <c r="AV18" s="262">
        <f>AW18+AX18</f>
        <v>0</v>
      </c>
      <c r="AW18" s="262">
        <f>G18*AO18</f>
        <v>0</v>
      </c>
      <c r="AX18" s="262">
        <f>G18*AP18</f>
        <v>0</v>
      </c>
      <c r="AY18" s="263" t="s">
        <v>403</v>
      </c>
      <c r="AZ18" s="263" t="s">
        <v>404</v>
      </c>
      <c r="BA18" s="253" t="s">
        <v>395</v>
      </c>
      <c r="BC18" s="262">
        <f>AW18+AX18</f>
        <v>0</v>
      </c>
      <c r="BD18" s="262">
        <f>H18/(100-BE18)*100</f>
        <v>0</v>
      </c>
      <c r="BE18" s="262">
        <v>0</v>
      </c>
      <c r="BF18" s="262">
        <f>18</f>
        <v>18</v>
      </c>
      <c r="BH18" s="260">
        <f>G18*AO18</f>
        <v>0</v>
      </c>
      <c r="BI18" s="260">
        <f>G18*AP18</f>
        <v>0</v>
      </c>
      <c r="BJ18" s="260">
        <f>G18*H18</f>
        <v>0</v>
      </c>
    </row>
    <row r="19" spans="1:62" x14ac:dyDescent="0.2">
      <c r="B19" s="266" t="s">
        <v>408</v>
      </c>
      <c r="C19" s="337" t="s">
        <v>409</v>
      </c>
      <c r="D19" s="337"/>
      <c r="E19" s="337"/>
      <c r="F19" s="337"/>
      <c r="G19" s="337"/>
      <c r="H19" s="337"/>
      <c r="I19" s="337"/>
      <c r="J19" s="337"/>
      <c r="K19" s="337"/>
      <c r="L19" s="337"/>
    </row>
    <row r="20" spans="1:62" x14ac:dyDescent="0.2">
      <c r="A20" s="259" t="s">
        <v>410</v>
      </c>
      <c r="B20" s="259" t="s">
        <v>411</v>
      </c>
      <c r="C20" s="330" t="s">
        <v>412</v>
      </c>
      <c r="D20" s="330"/>
      <c r="E20" s="330"/>
      <c r="F20" s="259" t="s">
        <v>143</v>
      </c>
      <c r="G20" s="260">
        <v>30</v>
      </c>
      <c r="H20" s="260">
        <v>0</v>
      </c>
      <c r="I20" s="260">
        <f>G20*AO20</f>
        <v>0</v>
      </c>
      <c r="J20" s="260">
        <f>G20*AP20</f>
        <v>0</v>
      </c>
      <c r="K20" s="260">
        <f>G20*H20</f>
        <v>0</v>
      </c>
      <c r="L20" s="261" t="s">
        <v>402</v>
      </c>
      <c r="Z20" s="262">
        <f>IF(AQ20="5",BJ20,0)</f>
        <v>0</v>
      </c>
      <c r="AB20" s="262">
        <f>IF(AQ20="1",BH20,0)</f>
        <v>0</v>
      </c>
      <c r="AC20" s="262">
        <f>IF(AQ20="1",BI20,0)</f>
        <v>0</v>
      </c>
      <c r="AD20" s="262">
        <f>IF(AQ20="7",BH20,0)</f>
        <v>0</v>
      </c>
      <c r="AE20" s="262">
        <f>IF(AQ20="7",BI20,0)</f>
        <v>0</v>
      </c>
      <c r="AF20" s="262">
        <f>IF(AQ20="2",BH20,0)</f>
        <v>0</v>
      </c>
      <c r="AG20" s="262">
        <f>IF(AQ20="2",BI20,0)</f>
        <v>0</v>
      </c>
      <c r="AH20" s="262">
        <f>IF(AQ20="0",BJ20,0)</f>
        <v>0</v>
      </c>
      <c r="AI20" s="253"/>
      <c r="AJ20" s="260">
        <f>IF(AN20=0,K20,0)</f>
        <v>0</v>
      </c>
      <c r="AK20" s="260">
        <f>IF(AN20=15,K20,0)</f>
        <v>0</v>
      </c>
      <c r="AL20" s="260">
        <f>IF(AN20=21,K20,0)</f>
        <v>0</v>
      </c>
      <c r="AN20" s="262">
        <v>21</v>
      </c>
      <c r="AO20" s="262">
        <f>H20*0.169075144508671</f>
        <v>0</v>
      </c>
      <c r="AP20" s="262">
        <f>H20*(1-0.169075144508671)</f>
        <v>0</v>
      </c>
      <c r="AQ20" s="261" t="s">
        <v>390</v>
      </c>
      <c r="AV20" s="262">
        <f>AW20+AX20</f>
        <v>0</v>
      </c>
      <c r="AW20" s="262">
        <f>G20*AO20</f>
        <v>0</v>
      </c>
      <c r="AX20" s="262">
        <f>G20*AP20</f>
        <v>0</v>
      </c>
      <c r="AY20" s="263" t="s">
        <v>403</v>
      </c>
      <c r="AZ20" s="263" t="s">
        <v>404</v>
      </c>
      <c r="BA20" s="253" t="s">
        <v>395</v>
      </c>
      <c r="BC20" s="262">
        <f>AW20+AX20</f>
        <v>0</v>
      </c>
      <c r="BD20" s="262">
        <f>H20/(100-BE20)*100</f>
        <v>0</v>
      </c>
      <c r="BE20" s="262">
        <v>0</v>
      </c>
      <c r="BF20" s="262">
        <f>20</f>
        <v>20</v>
      </c>
      <c r="BH20" s="260">
        <f>G20*AO20</f>
        <v>0</v>
      </c>
      <c r="BI20" s="260">
        <f>G20*AP20</f>
        <v>0</v>
      </c>
      <c r="BJ20" s="260">
        <f>G20*H20</f>
        <v>0</v>
      </c>
    </row>
    <row r="21" spans="1:62" x14ac:dyDescent="0.2">
      <c r="B21" s="266" t="s">
        <v>408</v>
      </c>
      <c r="C21" s="337" t="s">
        <v>409</v>
      </c>
      <c r="D21" s="337"/>
      <c r="E21" s="337"/>
      <c r="F21" s="337"/>
      <c r="G21" s="337"/>
      <c r="H21" s="337"/>
      <c r="I21" s="337"/>
      <c r="J21" s="337"/>
      <c r="K21" s="337"/>
      <c r="L21" s="337"/>
    </row>
    <row r="22" spans="1:62" x14ac:dyDescent="0.2">
      <c r="A22" s="259" t="s">
        <v>413</v>
      </c>
      <c r="B22" s="259" t="s">
        <v>414</v>
      </c>
      <c r="C22" s="330" t="s">
        <v>415</v>
      </c>
      <c r="D22" s="330"/>
      <c r="E22" s="330"/>
      <c r="F22" s="259" t="s">
        <v>173</v>
      </c>
      <c r="G22" s="260">
        <v>28</v>
      </c>
      <c r="H22" s="260">
        <v>0</v>
      </c>
      <c r="I22" s="260">
        <f>G22*AO22</f>
        <v>0</v>
      </c>
      <c r="J22" s="260">
        <f>G22*AP22</f>
        <v>0</v>
      </c>
      <c r="K22" s="260">
        <f>G22*H22</f>
        <v>0</v>
      </c>
      <c r="L22" s="261" t="s">
        <v>402</v>
      </c>
      <c r="Z22" s="262">
        <f>IF(AQ22="5",BJ22,0)</f>
        <v>0</v>
      </c>
      <c r="AB22" s="262">
        <f>IF(AQ22="1",BH22,0)</f>
        <v>0</v>
      </c>
      <c r="AC22" s="262">
        <f>IF(AQ22="1",BI22,0)</f>
        <v>0</v>
      </c>
      <c r="AD22" s="262">
        <f>IF(AQ22="7",BH22,0)</f>
        <v>0</v>
      </c>
      <c r="AE22" s="262">
        <f>IF(AQ22="7",BI22,0)</f>
        <v>0</v>
      </c>
      <c r="AF22" s="262">
        <f>IF(AQ22="2",BH22,0)</f>
        <v>0</v>
      </c>
      <c r="AG22" s="262">
        <f>IF(AQ22="2",BI22,0)</f>
        <v>0</v>
      </c>
      <c r="AH22" s="262">
        <f>IF(AQ22="0",BJ22,0)</f>
        <v>0</v>
      </c>
      <c r="AI22" s="253"/>
      <c r="AJ22" s="260">
        <f>IF(AN22=0,K22,0)</f>
        <v>0</v>
      </c>
      <c r="AK22" s="260">
        <f>IF(AN22=15,K22,0)</f>
        <v>0</v>
      </c>
      <c r="AL22" s="260">
        <f>IF(AN22=21,K22,0)</f>
        <v>0</v>
      </c>
      <c r="AN22" s="262">
        <v>21</v>
      </c>
      <c r="AO22" s="262">
        <f>H22*0.0386317907444668</f>
        <v>0</v>
      </c>
      <c r="AP22" s="262">
        <f>H22*(1-0.0386317907444668)</f>
        <v>0</v>
      </c>
      <c r="AQ22" s="261" t="s">
        <v>390</v>
      </c>
      <c r="AV22" s="262">
        <f>AW22+AX22</f>
        <v>0</v>
      </c>
      <c r="AW22" s="262">
        <f>G22*AO22</f>
        <v>0</v>
      </c>
      <c r="AX22" s="262">
        <f>G22*AP22</f>
        <v>0</v>
      </c>
      <c r="AY22" s="263" t="s">
        <v>403</v>
      </c>
      <c r="AZ22" s="263" t="s">
        <v>404</v>
      </c>
      <c r="BA22" s="253" t="s">
        <v>395</v>
      </c>
      <c r="BC22" s="262">
        <f>AW22+AX22</f>
        <v>0</v>
      </c>
      <c r="BD22" s="262">
        <f>H22/(100-BE22)*100</f>
        <v>0</v>
      </c>
      <c r="BE22" s="262">
        <v>0</v>
      </c>
      <c r="BF22" s="262">
        <f>22</f>
        <v>22</v>
      </c>
      <c r="BH22" s="260">
        <f>G22*AO22</f>
        <v>0</v>
      </c>
      <c r="BI22" s="260">
        <f>G22*AP22</f>
        <v>0</v>
      </c>
      <c r="BJ22" s="260">
        <f>G22*H22</f>
        <v>0</v>
      </c>
    </row>
    <row r="23" spans="1:62" x14ac:dyDescent="0.2">
      <c r="B23" s="266" t="s">
        <v>408</v>
      </c>
      <c r="C23" s="337" t="s">
        <v>416</v>
      </c>
      <c r="D23" s="337"/>
      <c r="E23" s="337"/>
      <c r="F23" s="337"/>
      <c r="G23" s="337"/>
      <c r="H23" s="337"/>
      <c r="I23" s="337"/>
      <c r="J23" s="337"/>
      <c r="K23" s="337"/>
      <c r="L23" s="337"/>
    </row>
    <row r="24" spans="1:62" x14ac:dyDescent="0.2">
      <c r="A24" s="264"/>
      <c r="B24" s="265" t="s">
        <v>79</v>
      </c>
      <c r="C24" s="338" t="s">
        <v>80</v>
      </c>
      <c r="D24" s="338"/>
      <c r="E24" s="338"/>
      <c r="F24" s="264" t="s">
        <v>352</v>
      </c>
      <c r="G24" s="264" t="s">
        <v>352</v>
      </c>
      <c r="H24" s="264" t="s">
        <v>352</v>
      </c>
      <c r="I24" s="258">
        <f>SUM(I25:I46)</f>
        <v>0</v>
      </c>
      <c r="J24" s="258">
        <f>SUM(J25:J46)</f>
        <v>0</v>
      </c>
      <c r="K24" s="258">
        <f>SUM(K25:K46)</f>
        <v>0</v>
      </c>
      <c r="L24" s="253"/>
      <c r="AI24" s="253"/>
      <c r="AS24" s="258">
        <f>SUM(AJ25:AJ46)</f>
        <v>0</v>
      </c>
      <c r="AT24" s="258">
        <f>SUM(AK25:AK46)</f>
        <v>0</v>
      </c>
      <c r="AU24" s="258">
        <f>SUM(AL25:AL46)</f>
        <v>0</v>
      </c>
    </row>
    <row r="25" spans="1:62" x14ac:dyDescent="0.2">
      <c r="A25" s="259" t="s">
        <v>417</v>
      </c>
      <c r="B25" s="259" t="s">
        <v>418</v>
      </c>
      <c r="C25" s="330" t="s">
        <v>419</v>
      </c>
      <c r="D25" s="330"/>
      <c r="E25" s="330"/>
      <c r="F25" s="259" t="s">
        <v>143</v>
      </c>
      <c r="G25" s="260">
        <v>16</v>
      </c>
      <c r="H25" s="260">
        <v>0</v>
      </c>
      <c r="I25" s="260">
        <f>G25*AO25</f>
        <v>0</v>
      </c>
      <c r="J25" s="260">
        <f>G25*AP25</f>
        <v>0</v>
      </c>
      <c r="K25" s="260">
        <f>G25*H25</f>
        <v>0</v>
      </c>
      <c r="L25" s="261" t="s">
        <v>402</v>
      </c>
      <c r="Z25" s="262">
        <f>IF(AQ25="5",BJ25,0)</f>
        <v>0</v>
      </c>
      <c r="AB25" s="262">
        <f>IF(AQ25="1",BH25,0)</f>
        <v>0</v>
      </c>
      <c r="AC25" s="262">
        <f>IF(AQ25="1",BI25,0)</f>
        <v>0</v>
      </c>
      <c r="AD25" s="262">
        <f>IF(AQ25="7",BH25,0)</f>
        <v>0</v>
      </c>
      <c r="AE25" s="262">
        <f>IF(AQ25="7",BI25,0)</f>
        <v>0</v>
      </c>
      <c r="AF25" s="262">
        <f>IF(AQ25="2",BH25,0)</f>
        <v>0</v>
      </c>
      <c r="AG25" s="262">
        <f>IF(AQ25="2",BI25,0)</f>
        <v>0</v>
      </c>
      <c r="AH25" s="262">
        <f>IF(AQ25="0",BJ25,0)</f>
        <v>0</v>
      </c>
      <c r="AI25" s="253"/>
      <c r="AJ25" s="260">
        <f>IF(AN25=0,K25,0)</f>
        <v>0</v>
      </c>
      <c r="AK25" s="260">
        <f>IF(AN25=15,K25,0)</f>
        <v>0</v>
      </c>
      <c r="AL25" s="260">
        <f>IF(AN25=21,K25,0)</f>
        <v>0</v>
      </c>
      <c r="AN25" s="262">
        <v>21</v>
      </c>
      <c r="AO25" s="262">
        <f>H25*0</f>
        <v>0</v>
      </c>
      <c r="AP25" s="262">
        <f>H25*(1-0)</f>
        <v>0</v>
      </c>
      <c r="AQ25" s="261" t="s">
        <v>399</v>
      </c>
      <c r="AV25" s="262">
        <f>AW25+AX25</f>
        <v>0</v>
      </c>
      <c r="AW25" s="262">
        <f>G25*AO25</f>
        <v>0</v>
      </c>
      <c r="AX25" s="262">
        <f>G25*AP25</f>
        <v>0</v>
      </c>
      <c r="AY25" s="263" t="s">
        <v>420</v>
      </c>
      <c r="AZ25" s="263" t="s">
        <v>404</v>
      </c>
      <c r="BA25" s="253" t="s">
        <v>395</v>
      </c>
      <c r="BC25" s="262">
        <f>AW25+AX25</f>
        <v>0</v>
      </c>
      <c r="BD25" s="262">
        <f>H25/(100-BE25)*100</f>
        <v>0</v>
      </c>
      <c r="BE25" s="262">
        <v>0</v>
      </c>
      <c r="BF25" s="262">
        <f>25</f>
        <v>25</v>
      </c>
      <c r="BH25" s="260">
        <f>G25*AO25</f>
        <v>0</v>
      </c>
      <c r="BI25" s="260">
        <f>G25*AP25</f>
        <v>0</v>
      </c>
      <c r="BJ25" s="260">
        <f>G25*H25</f>
        <v>0</v>
      </c>
    </row>
    <row r="26" spans="1:62" x14ac:dyDescent="0.2">
      <c r="B26" s="266" t="s">
        <v>408</v>
      </c>
      <c r="C26" s="337" t="s">
        <v>421</v>
      </c>
      <c r="D26" s="337"/>
      <c r="E26" s="337"/>
      <c r="F26" s="337"/>
      <c r="G26" s="337"/>
      <c r="H26" s="337"/>
      <c r="I26" s="337"/>
      <c r="J26" s="337"/>
      <c r="K26" s="337"/>
      <c r="L26" s="337"/>
    </row>
    <row r="27" spans="1:62" x14ac:dyDescent="0.2">
      <c r="A27" s="259" t="s">
        <v>422</v>
      </c>
      <c r="B27" s="259" t="s">
        <v>423</v>
      </c>
      <c r="C27" s="330" t="s">
        <v>424</v>
      </c>
      <c r="D27" s="330"/>
      <c r="E27" s="330"/>
      <c r="F27" s="259" t="s">
        <v>173</v>
      </c>
      <c r="G27" s="260">
        <v>32</v>
      </c>
      <c r="H27" s="260">
        <v>0</v>
      </c>
      <c r="I27" s="260">
        <f>G27*AO27</f>
        <v>0</v>
      </c>
      <c r="J27" s="260">
        <f>G27*AP27</f>
        <v>0</v>
      </c>
      <c r="K27" s="260">
        <f>G27*H27</f>
        <v>0</v>
      </c>
      <c r="L27" s="261" t="s">
        <v>402</v>
      </c>
      <c r="Z27" s="262">
        <f>IF(AQ27="5",BJ27,0)</f>
        <v>0</v>
      </c>
      <c r="AB27" s="262">
        <f>IF(AQ27="1",BH27,0)</f>
        <v>0</v>
      </c>
      <c r="AC27" s="262">
        <f>IF(AQ27="1",BI27,0)</f>
        <v>0</v>
      </c>
      <c r="AD27" s="262">
        <f>IF(AQ27="7",BH27,0)</f>
        <v>0</v>
      </c>
      <c r="AE27" s="262">
        <f>IF(AQ27="7",BI27,0)</f>
        <v>0</v>
      </c>
      <c r="AF27" s="262">
        <f>IF(AQ27="2",BH27,0)</f>
        <v>0</v>
      </c>
      <c r="AG27" s="262">
        <f>IF(AQ27="2",BI27,0)</f>
        <v>0</v>
      </c>
      <c r="AH27" s="262">
        <f>IF(AQ27="0",BJ27,0)</f>
        <v>0</v>
      </c>
      <c r="AI27" s="253"/>
      <c r="AJ27" s="260">
        <f>IF(AN27=0,K27,0)</f>
        <v>0</v>
      </c>
      <c r="AK27" s="260">
        <f>IF(AN27=15,K27,0)</f>
        <v>0</v>
      </c>
      <c r="AL27" s="260">
        <f>IF(AN27=21,K27,0)</f>
        <v>0</v>
      </c>
      <c r="AN27" s="262">
        <v>21</v>
      </c>
      <c r="AO27" s="262">
        <f>H27*0</f>
        <v>0</v>
      </c>
      <c r="AP27" s="262">
        <f>H27*(1-0)</f>
        <v>0</v>
      </c>
      <c r="AQ27" s="261" t="s">
        <v>399</v>
      </c>
      <c r="AV27" s="262">
        <f>AW27+AX27</f>
        <v>0</v>
      </c>
      <c r="AW27" s="262">
        <f>G27*AO27</f>
        <v>0</v>
      </c>
      <c r="AX27" s="262">
        <f>G27*AP27</f>
        <v>0</v>
      </c>
      <c r="AY27" s="263" t="s">
        <v>420</v>
      </c>
      <c r="AZ27" s="263" t="s">
        <v>404</v>
      </c>
      <c r="BA27" s="253" t="s">
        <v>395</v>
      </c>
      <c r="BC27" s="262">
        <f>AW27+AX27</f>
        <v>0</v>
      </c>
      <c r="BD27" s="262">
        <f>H27/(100-BE27)*100</f>
        <v>0</v>
      </c>
      <c r="BE27" s="262">
        <v>0</v>
      </c>
      <c r="BF27" s="262">
        <f>27</f>
        <v>27</v>
      </c>
      <c r="BH27" s="260">
        <f>G27*AO27</f>
        <v>0</v>
      </c>
      <c r="BI27" s="260">
        <f>G27*AP27</f>
        <v>0</v>
      </c>
      <c r="BJ27" s="260">
        <f>G27*H27</f>
        <v>0</v>
      </c>
    </row>
    <row r="28" spans="1:62" x14ac:dyDescent="0.2">
      <c r="A28" s="259" t="s">
        <v>425</v>
      </c>
      <c r="B28" s="259" t="s">
        <v>426</v>
      </c>
      <c r="C28" s="330" t="s">
        <v>427</v>
      </c>
      <c r="D28" s="330"/>
      <c r="E28" s="330"/>
      <c r="F28" s="259" t="s">
        <v>173</v>
      </c>
      <c r="G28" s="260">
        <v>5</v>
      </c>
      <c r="H28" s="260">
        <v>0</v>
      </c>
      <c r="I28" s="260">
        <f>G28*AO28</f>
        <v>0</v>
      </c>
      <c r="J28" s="260">
        <f>G28*AP28</f>
        <v>0</v>
      </c>
      <c r="K28" s="260">
        <f>G28*H28</f>
        <v>0</v>
      </c>
      <c r="L28" s="261" t="s">
        <v>402</v>
      </c>
      <c r="Z28" s="262">
        <f>IF(AQ28="5",BJ28,0)</f>
        <v>0</v>
      </c>
      <c r="AB28" s="262">
        <f>IF(AQ28="1",BH28,0)</f>
        <v>0</v>
      </c>
      <c r="AC28" s="262">
        <f>IF(AQ28="1",BI28,0)</f>
        <v>0</v>
      </c>
      <c r="AD28" s="262">
        <f>IF(AQ28="7",BH28,0)</f>
        <v>0</v>
      </c>
      <c r="AE28" s="262">
        <f>IF(AQ28="7",BI28,0)</f>
        <v>0</v>
      </c>
      <c r="AF28" s="262">
        <f>IF(AQ28="2",BH28,0)</f>
        <v>0</v>
      </c>
      <c r="AG28" s="262">
        <f>IF(AQ28="2",BI28,0)</f>
        <v>0</v>
      </c>
      <c r="AH28" s="262">
        <f>IF(AQ28="0",BJ28,0)</f>
        <v>0</v>
      </c>
      <c r="AI28" s="253"/>
      <c r="AJ28" s="260">
        <f>IF(AN28=0,K28,0)</f>
        <v>0</v>
      </c>
      <c r="AK28" s="260">
        <f>IF(AN28=15,K28,0)</f>
        <v>0</v>
      </c>
      <c r="AL28" s="260">
        <f>IF(AN28=21,K28,0)</f>
        <v>0</v>
      </c>
      <c r="AN28" s="262">
        <v>21</v>
      </c>
      <c r="AO28" s="262">
        <f>H28*0</f>
        <v>0</v>
      </c>
      <c r="AP28" s="262">
        <f>H28*(1-0)</f>
        <v>0</v>
      </c>
      <c r="AQ28" s="261" t="s">
        <v>399</v>
      </c>
      <c r="AV28" s="262">
        <f>AW28+AX28</f>
        <v>0</v>
      </c>
      <c r="AW28" s="262">
        <f>G28*AO28</f>
        <v>0</v>
      </c>
      <c r="AX28" s="262">
        <f>G28*AP28</f>
        <v>0</v>
      </c>
      <c r="AY28" s="263" t="s">
        <v>420</v>
      </c>
      <c r="AZ28" s="263" t="s">
        <v>404</v>
      </c>
      <c r="BA28" s="253" t="s">
        <v>395</v>
      </c>
      <c r="BC28" s="262">
        <f>AW28+AX28</f>
        <v>0</v>
      </c>
      <c r="BD28" s="262">
        <f>H28/(100-BE28)*100</f>
        <v>0</v>
      </c>
      <c r="BE28" s="262">
        <v>0</v>
      </c>
      <c r="BF28" s="262">
        <f>28</f>
        <v>28</v>
      </c>
      <c r="BH28" s="260">
        <f>G28*AO28</f>
        <v>0</v>
      </c>
      <c r="BI28" s="260">
        <f>G28*AP28</f>
        <v>0</v>
      </c>
      <c r="BJ28" s="260">
        <f>G28*H28</f>
        <v>0</v>
      </c>
    </row>
    <row r="29" spans="1:62" x14ac:dyDescent="0.2">
      <c r="B29" s="266" t="s">
        <v>408</v>
      </c>
      <c r="C29" s="337" t="s">
        <v>428</v>
      </c>
      <c r="D29" s="337"/>
      <c r="E29" s="337"/>
      <c r="F29" s="337"/>
      <c r="G29" s="337"/>
      <c r="H29" s="337"/>
      <c r="I29" s="337"/>
      <c r="J29" s="337"/>
      <c r="K29" s="337"/>
      <c r="L29" s="337"/>
    </row>
    <row r="30" spans="1:62" x14ac:dyDescent="0.2">
      <c r="A30" s="259" t="s">
        <v>429</v>
      </c>
      <c r="B30" s="259" t="s">
        <v>430</v>
      </c>
      <c r="C30" s="330" t="s">
        <v>431</v>
      </c>
      <c r="D30" s="330"/>
      <c r="E30" s="330"/>
      <c r="F30" s="259" t="s">
        <v>173</v>
      </c>
      <c r="G30" s="260">
        <v>1</v>
      </c>
      <c r="H30" s="260">
        <v>0</v>
      </c>
      <c r="I30" s="260">
        <f t="shared" ref="I30:I39" si="0">G30*AO30</f>
        <v>0</v>
      </c>
      <c r="J30" s="260">
        <f t="shared" ref="J30:J39" si="1">G30*AP30</f>
        <v>0</v>
      </c>
      <c r="K30" s="260">
        <f t="shared" ref="K30:K39" si="2">G30*H30</f>
        <v>0</v>
      </c>
      <c r="L30" s="261" t="s">
        <v>402</v>
      </c>
      <c r="Z30" s="262">
        <f t="shared" ref="Z30:Z39" si="3">IF(AQ30="5",BJ30,0)</f>
        <v>0</v>
      </c>
      <c r="AB30" s="262">
        <f t="shared" ref="AB30:AB39" si="4">IF(AQ30="1",BH30,0)</f>
        <v>0</v>
      </c>
      <c r="AC30" s="262">
        <f t="shared" ref="AC30:AC39" si="5">IF(AQ30="1",BI30,0)</f>
        <v>0</v>
      </c>
      <c r="AD30" s="262">
        <f t="shared" ref="AD30:AD39" si="6">IF(AQ30="7",BH30,0)</f>
        <v>0</v>
      </c>
      <c r="AE30" s="262">
        <f t="shared" ref="AE30:AE39" si="7">IF(AQ30="7",BI30,0)</f>
        <v>0</v>
      </c>
      <c r="AF30" s="262">
        <f t="shared" ref="AF30:AF39" si="8">IF(AQ30="2",BH30,0)</f>
        <v>0</v>
      </c>
      <c r="AG30" s="262">
        <f t="shared" ref="AG30:AG39" si="9">IF(AQ30="2",BI30,0)</f>
        <v>0</v>
      </c>
      <c r="AH30" s="262">
        <f t="shared" ref="AH30:AH39" si="10">IF(AQ30="0",BJ30,0)</f>
        <v>0</v>
      </c>
      <c r="AI30" s="253"/>
      <c r="AJ30" s="260">
        <f t="shared" ref="AJ30:AJ39" si="11">IF(AN30=0,K30,0)</f>
        <v>0</v>
      </c>
      <c r="AK30" s="260">
        <f t="shared" ref="AK30:AK39" si="12">IF(AN30=15,K30,0)</f>
        <v>0</v>
      </c>
      <c r="AL30" s="260">
        <f t="shared" ref="AL30:AL39" si="13">IF(AN30=21,K30,0)</f>
        <v>0</v>
      </c>
      <c r="AN30" s="262">
        <v>21</v>
      </c>
      <c r="AO30" s="262">
        <f t="shared" ref="AO30:AO39" si="14">H30*0</f>
        <v>0</v>
      </c>
      <c r="AP30" s="262">
        <f t="shared" ref="AP30:AP39" si="15">H30*(1-0)</f>
        <v>0</v>
      </c>
      <c r="AQ30" s="261" t="s">
        <v>399</v>
      </c>
      <c r="AV30" s="262">
        <f t="shared" ref="AV30:AV39" si="16">AW30+AX30</f>
        <v>0</v>
      </c>
      <c r="AW30" s="262">
        <f t="shared" ref="AW30:AW39" si="17">G30*AO30</f>
        <v>0</v>
      </c>
      <c r="AX30" s="262">
        <f t="shared" ref="AX30:AX39" si="18">G30*AP30</f>
        <v>0</v>
      </c>
      <c r="AY30" s="263" t="s">
        <v>420</v>
      </c>
      <c r="AZ30" s="263" t="s">
        <v>404</v>
      </c>
      <c r="BA30" s="253" t="s">
        <v>395</v>
      </c>
      <c r="BC30" s="262">
        <f t="shared" ref="BC30:BC39" si="19">AW30+AX30</f>
        <v>0</v>
      </c>
      <c r="BD30" s="262">
        <f t="shared" ref="BD30:BD39" si="20">H30/(100-BE30)*100</f>
        <v>0</v>
      </c>
      <c r="BE30" s="262">
        <v>0</v>
      </c>
      <c r="BF30" s="262">
        <f>30</f>
        <v>30</v>
      </c>
      <c r="BH30" s="260">
        <f t="shared" ref="BH30:BH39" si="21">G30*AO30</f>
        <v>0</v>
      </c>
      <c r="BI30" s="260">
        <f t="shared" ref="BI30:BI39" si="22">G30*AP30</f>
        <v>0</v>
      </c>
      <c r="BJ30" s="260">
        <f t="shared" ref="BJ30:BJ39" si="23">G30*H30</f>
        <v>0</v>
      </c>
    </row>
    <row r="31" spans="1:62" x14ac:dyDescent="0.2">
      <c r="A31" s="259" t="s">
        <v>432</v>
      </c>
      <c r="B31" s="259" t="s">
        <v>433</v>
      </c>
      <c r="C31" s="330" t="s">
        <v>434</v>
      </c>
      <c r="D31" s="330"/>
      <c r="E31" s="330"/>
      <c r="F31" s="259" t="s">
        <v>173</v>
      </c>
      <c r="G31" s="260">
        <v>2</v>
      </c>
      <c r="H31" s="260">
        <v>0</v>
      </c>
      <c r="I31" s="260">
        <f t="shared" si="0"/>
        <v>0</v>
      </c>
      <c r="J31" s="260">
        <f t="shared" si="1"/>
        <v>0</v>
      </c>
      <c r="K31" s="260">
        <f t="shared" si="2"/>
        <v>0</v>
      </c>
      <c r="L31" s="261" t="s">
        <v>402</v>
      </c>
      <c r="Z31" s="262">
        <f t="shared" si="3"/>
        <v>0</v>
      </c>
      <c r="AB31" s="262">
        <f t="shared" si="4"/>
        <v>0</v>
      </c>
      <c r="AC31" s="262">
        <f t="shared" si="5"/>
        <v>0</v>
      </c>
      <c r="AD31" s="262">
        <f t="shared" si="6"/>
        <v>0</v>
      </c>
      <c r="AE31" s="262">
        <f t="shared" si="7"/>
        <v>0</v>
      </c>
      <c r="AF31" s="262">
        <f t="shared" si="8"/>
        <v>0</v>
      </c>
      <c r="AG31" s="262">
        <f t="shared" si="9"/>
        <v>0</v>
      </c>
      <c r="AH31" s="262">
        <f t="shared" si="10"/>
        <v>0</v>
      </c>
      <c r="AI31" s="253"/>
      <c r="AJ31" s="260">
        <f t="shared" si="11"/>
        <v>0</v>
      </c>
      <c r="AK31" s="260">
        <f t="shared" si="12"/>
        <v>0</v>
      </c>
      <c r="AL31" s="260">
        <f t="shared" si="13"/>
        <v>0</v>
      </c>
      <c r="AN31" s="262">
        <v>21</v>
      </c>
      <c r="AO31" s="262">
        <f t="shared" si="14"/>
        <v>0</v>
      </c>
      <c r="AP31" s="262">
        <f t="shared" si="15"/>
        <v>0</v>
      </c>
      <c r="AQ31" s="261" t="s">
        <v>399</v>
      </c>
      <c r="AV31" s="262">
        <f t="shared" si="16"/>
        <v>0</v>
      </c>
      <c r="AW31" s="262">
        <f t="shared" si="17"/>
        <v>0</v>
      </c>
      <c r="AX31" s="262">
        <f t="shared" si="18"/>
        <v>0</v>
      </c>
      <c r="AY31" s="263" t="s">
        <v>420</v>
      </c>
      <c r="AZ31" s="263" t="s">
        <v>404</v>
      </c>
      <c r="BA31" s="253" t="s">
        <v>395</v>
      </c>
      <c r="BC31" s="262">
        <f t="shared" si="19"/>
        <v>0</v>
      </c>
      <c r="BD31" s="262">
        <f t="shared" si="20"/>
        <v>0</v>
      </c>
      <c r="BE31" s="262">
        <v>0</v>
      </c>
      <c r="BF31" s="262">
        <f>31</f>
        <v>31</v>
      </c>
      <c r="BH31" s="260">
        <f t="shared" si="21"/>
        <v>0</v>
      </c>
      <c r="BI31" s="260">
        <f t="shared" si="22"/>
        <v>0</v>
      </c>
      <c r="BJ31" s="260">
        <f t="shared" si="23"/>
        <v>0</v>
      </c>
    </row>
    <row r="32" spans="1:62" x14ac:dyDescent="0.2">
      <c r="A32" s="259" t="s">
        <v>435</v>
      </c>
      <c r="B32" s="259" t="s">
        <v>436</v>
      </c>
      <c r="C32" s="330" t="s">
        <v>437</v>
      </c>
      <c r="D32" s="330"/>
      <c r="E32" s="330"/>
      <c r="F32" s="259" t="s">
        <v>173</v>
      </c>
      <c r="G32" s="260">
        <v>3</v>
      </c>
      <c r="H32" s="260">
        <v>0</v>
      </c>
      <c r="I32" s="260">
        <f t="shared" si="0"/>
        <v>0</v>
      </c>
      <c r="J32" s="260">
        <f t="shared" si="1"/>
        <v>0</v>
      </c>
      <c r="K32" s="260">
        <f t="shared" si="2"/>
        <v>0</v>
      </c>
      <c r="L32" s="261" t="s">
        <v>402</v>
      </c>
      <c r="Z32" s="262">
        <f t="shared" si="3"/>
        <v>0</v>
      </c>
      <c r="AB32" s="262">
        <f t="shared" si="4"/>
        <v>0</v>
      </c>
      <c r="AC32" s="262">
        <f t="shared" si="5"/>
        <v>0</v>
      </c>
      <c r="AD32" s="262">
        <f t="shared" si="6"/>
        <v>0</v>
      </c>
      <c r="AE32" s="262">
        <f t="shared" si="7"/>
        <v>0</v>
      </c>
      <c r="AF32" s="262">
        <f t="shared" si="8"/>
        <v>0</v>
      </c>
      <c r="AG32" s="262">
        <f t="shared" si="9"/>
        <v>0</v>
      </c>
      <c r="AH32" s="262">
        <f t="shared" si="10"/>
        <v>0</v>
      </c>
      <c r="AI32" s="253"/>
      <c r="AJ32" s="260">
        <f t="shared" si="11"/>
        <v>0</v>
      </c>
      <c r="AK32" s="260">
        <f t="shared" si="12"/>
        <v>0</v>
      </c>
      <c r="AL32" s="260">
        <f t="shared" si="13"/>
        <v>0</v>
      </c>
      <c r="AN32" s="262">
        <v>21</v>
      </c>
      <c r="AO32" s="262">
        <f t="shared" si="14"/>
        <v>0</v>
      </c>
      <c r="AP32" s="262">
        <f t="shared" si="15"/>
        <v>0</v>
      </c>
      <c r="AQ32" s="261" t="s">
        <v>399</v>
      </c>
      <c r="AV32" s="262">
        <f t="shared" si="16"/>
        <v>0</v>
      </c>
      <c r="AW32" s="262">
        <f t="shared" si="17"/>
        <v>0</v>
      </c>
      <c r="AX32" s="262">
        <f t="shared" si="18"/>
        <v>0</v>
      </c>
      <c r="AY32" s="263" t="s">
        <v>420</v>
      </c>
      <c r="AZ32" s="263" t="s">
        <v>404</v>
      </c>
      <c r="BA32" s="253" t="s">
        <v>395</v>
      </c>
      <c r="BC32" s="262">
        <f t="shared" si="19"/>
        <v>0</v>
      </c>
      <c r="BD32" s="262">
        <f t="shared" si="20"/>
        <v>0</v>
      </c>
      <c r="BE32" s="262">
        <v>0</v>
      </c>
      <c r="BF32" s="262">
        <f>32</f>
        <v>32</v>
      </c>
      <c r="BH32" s="260">
        <f t="shared" si="21"/>
        <v>0</v>
      </c>
      <c r="BI32" s="260">
        <f t="shared" si="22"/>
        <v>0</v>
      </c>
      <c r="BJ32" s="260">
        <f t="shared" si="23"/>
        <v>0</v>
      </c>
    </row>
    <row r="33" spans="1:62" x14ac:dyDescent="0.2">
      <c r="A33" s="259" t="s">
        <v>438</v>
      </c>
      <c r="B33" s="259" t="s">
        <v>439</v>
      </c>
      <c r="C33" s="330" t="s">
        <v>440</v>
      </c>
      <c r="D33" s="330"/>
      <c r="E33" s="330"/>
      <c r="F33" s="259" t="s">
        <v>173</v>
      </c>
      <c r="G33" s="260">
        <v>17</v>
      </c>
      <c r="H33" s="260">
        <v>0</v>
      </c>
      <c r="I33" s="260">
        <f t="shared" si="0"/>
        <v>0</v>
      </c>
      <c r="J33" s="260">
        <f t="shared" si="1"/>
        <v>0</v>
      </c>
      <c r="K33" s="260">
        <f t="shared" si="2"/>
        <v>0</v>
      </c>
      <c r="L33" s="261" t="s">
        <v>402</v>
      </c>
      <c r="Z33" s="262">
        <f t="shared" si="3"/>
        <v>0</v>
      </c>
      <c r="AB33" s="262">
        <f t="shared" si="4"/>
        <v>0</v>
      </c>
      <c r="AC33" s="262">
        <f t="shared" si="5"/>
        <v>0</v>
      </c>
      <c r="AD33" s="262">
        <f t="shared" si="6"/>
        <v>0</v>
      </c>
      <c r="AE33" s="262">
        <f t="shared" si="7"/>
        <v>0</v>
      </c>
      <c r="AF33" s="262">
        <f t="shared" si="8"/>
        <v>0</v>
      </c>
      <c r="AG33" s="262">
        <f t="shared" si="9"/>
        <v>0</v>
      </c>
      <c r="AH33" s="262">
        <f t="shared" si="10"/>
        <v>0</v>
      </c>
      <c r="AI33" s="253"/>
      <c r="AJ33" s="260">
        <f t="shared" si="11"/>
        <v>0</v>
      </c>
      <c r="AK33" s="260">
        <f t="shared" si="12"/>
        <v>0</v>
      </c>
      <c r="AL33" s="260">
        <f t="shared" si="13"/>
        <v>0</v>
      </c>
      <c r="AN33" s="262">
        <v>21</v>
      </c>
      <c r="AO33" s="262">
        <f t="shared" si="14"/>
        <v>0</v>
      </c>
      <c r="AP33" s="262">
        <f t="shared" si="15"/>
        <v>0</v>
      </c>
      <c r="AQ33" s="261" t="s">
        <v>399</v>
      </c>
      <c r="AV33" s="262">
        <f t="shared" si="16"/>
        <v>0</v>
      </c>
      <c r="AW33" s="262">
        <f t="shared" si="17"/>
        <v>0</v>
      </c>
      <c r="AX33" s="262">
        <f t="shared" si="18"/>
        <v>0</v>
      </c>
      <c r="AY33" s="263" t="s">
        <v>420</v>
      </c>
      <c r="AZ33" s="263" t="s">
        <v>404</v>
      </c>
      <c r="BA33" s="253" t="s">
        <v>395</v>
      </c>
      <c r="BC33" s="262">
        <f t="shared" si="19"/>
        <v>0</v>
      </c>
      <c r="BD33" s="262">
        <f t="shared" si="20"/>
        <v>0</v>
      </c>
      <c r="BE33" s="262">
        <v>0</v>
      </c>
      <c r="BF33" s="262">
        <f>33</f>
        <v>33</v>
      </c>
      <c r="BH33" s="260">
        <f t="shared" si="21"/>
        <v>0</v>
      </c>
      <c r="BI33" s="260">
        <f t="shared" si="22"/>
        <v>0</v>
      </c>
      <c r="BJ33" s="260">
        <f t="shared" si="23"/>
        <v>0</v>
      </c>
    </row>
    <row r="34" spans="1:62" x14ac:dyDescent="0.2">
      <c r="A34" s="259" t="s">
        <v>441</v>
      </c>
      <c r="B34" s="259" t="s">
        <v>442</v>
      </c>
      <c r="C34" s="330" t="s">
        <v>443</v>
      </c>
      <c r="D34" s="330"/>
      <c r="E34" s="330"/>
      <c r="F34" s="259" t="s">
        <v>143</v>
      </c>
      <c r="G34" s="260">
        <v>130</v>
      </c>
      <c r="H34" s="260">
        <v>0</v>
      </c>
      <c r="I34" s="260">
        <f t="shared" si="0"/>
        <v>0</v>
      </c>
      <c r="J34" s="260">
        <f t="shared" si="1"/>
        <v>0</v>
      </c>
      <c r="K34" s="260">
        <f t="shared" si="2"/>
        <v>0</v>
      </c>
      <c r="L34" s="261" t="s">
        <v>402</v>
      </c>
      <c r="Z34" s="262">
        <f t="shared" si="3"/>
        <v>0</v>
      </c>
      <c r="AB34" s="262">
        <f t="shared" si="4"/>
        <v>0</v>
      </c>
      <c r="AC34" s="262">
        <f t="shared" si="5"/>
        <v>0</v>
      </c>
      <c r="AD34" s="262">
        <f t="shared" si="6"/>
        <v>0</v>
      </c>
      <c r="AE34" s="262">
        <f t="shared" si="7"/>
        <v>0</v>
      </c>
      <c r="AF34" s="262">
        <f t="shared" si="8"/>
        <v>0</v>
      </c>
      <c r="AG34" s="262">
        <f t="shared" si="9"/>
        <v>0</v>
      </c>
      <c r="AH34" s="262">
        <f t="shared" si="10"/>
        <v>0</v>
      </c>
      <c r="AI34" s="253"/>
      <c r="AJ34" s="260">
        <f t="shared" si="11"/>
        <v>0</v>
      </c>
      <c r="AK34" s="260">
        <f t="shared" si="12"/>
        <v>0</v>
      </c>
      <c r="AL34" s="260">
        <f t="shared" si="13"/>
        <v>0</v>
      </c>
      <c r="AN34" s="262">
        <v>21</v>
      </c>
      <c r="AO34" s="262">
        <f t="shared" si="14"/>
        <v>0</v>
      </c>
      <c r="AP34" s="262">
        <f t="shared" si="15"/>
        <v>0</v>
      </c>
      <c r="AQ34" s="261" t="s">
        <v>399</v>
      </c>
      <c r="AV34" s="262">
        <f t="shared" si="16"/>
        <v>0</v>
      </c>
      <c r="AW34" s="262">
        <f t="shared" si="17"/>
        <v>0</v>
      </c>
      <c r="AX34" s="262">
        <f t="shared" si="18"/>
        <v>0</v>
      </c>
      <c r="AY34" s="263" t="s">
        <v>420</v>
      </c>
      <c r="AZ34" s="263" t="s">
        <v>404</v>
      </c>
      <c r="BA34" s="253" t="s">
        <v>395</v>
      </c>
      <c r="BC34" s="262">
        <f t="shared" si="19"/>
        <v>0</v>
      </c>
      <c r="BD34" s="262">
        <f t="shared" si="20"/>
        <v>0</v>
      </c>
      <c r="BE34" s="262">
        <v>0</v>
      </c>
      <c r="BF34" s="262">
        <f>34</f>
        <v>34</v>
      </c>
      <c r="BH34" s="260">
        <f t="shared" si="21"/>
        <v>0</v>
      </c>
      <c r="BI34" s="260">
        <f t="shared" si="22"/>
        <v>0</v>
      </c>
      <c r="BJ34" s="260">
        <f t="shared" si="23"/>
        <v>0</v>
      </c>
    </row>
    <row r="35" spans="1:62" x14ac:dyDescent="0.2">
      <c r="A35" s="259" t="s">
        <v>444</v>
      </c>
      <c r="B35" s="259" t="s">
        <v>445</v>
      </c>
      <c r="C35" s="330" t="s">
        <v>446</v>
      </c>
      <c r="D35" s="330"/>
      <c r="E35" s="330"/>
      <c r="F35" s="259" t="s">
        <v>143</v>
      </c>
      <c r="G35" s="260">
        <v>145</v>
      </c>
      <c r="H35" s="260">
        <v>0</v>
      </c>
      <c r="I35" s="260">
        <f t="shared" si="0"/>
        <v>0</v>
      </c>
      <c r="J35" s="260">
        <f t="shared" si="1"/>
        <v>0</v>
      </c>
      <c r="K35" s="260">
        <f t="shared" si="2"/>
        <v>0</v>
      </c>
      <c r="L35" s="261" t="s">
        <v>402</v>
      </c>
      <c r="Z35" s="262">
        <f t="shared" si="3"/>
        <v>0</v>
      </c>
      <c r="AB35" s="262">
        <f t="shared" si="4"/>
        <v>0</v>
      </c>
      <c r="AC35" s="262">
        <f t="shared" si="5"/>
        <v>0</v>
      </c>
      <c r="AD35" s="262">
        <f t="shared" si="6"/>
        <v>0</v>
      </c>
      <c r="AE35" s="262">
        <f t="shared" si="7"/>
        <v>0</v>
      </c>
      <c r="AF35" s="262">
        <f t="shared" si="8"/>
        <v>0</v>
      </c>
      <c r="AG35" s="262">
        <f t="shared" si="9"/>
        <v>0</v>
      </c>
      <c r="AH35" s="262">
        <f t="shared" si="10"/>
        <v>0</v>
      </c>
      <c r="AI35" s="253"/>
      <c r="AJ35" s="260">
        <f t="shared" si="11"/>
        <v>0</v>
      </c>
      <c r="AK35" s="260">
        <f t="shared" si="12"/>
        <v>0</v>
      </c>
      <c r="AL35" s="260">
        <f t="shared" si="13"/>
        <v>0</v>
      </c>
      <c r="AN35" s="262">
        <v>21</v>
      </c>
      <c r="AO35" s="262">
        <f t="shared" si="14"/>
        <v>0</v>
      </c>
      <c r="AP35" s="262">
        <f t="shared" si="15"/>
        <v>0</v>
      </c>
      <c r="AQ35" s="261" t="s">
        <v>399</v>
      </c>
      <c r="AV35" s="262">
        <f t="shared" si="16"/>
        <v>0</v>
      </c>
      <c r="AW35" s="262">
        <f t="shared" si="17"/>
        <v>0</v>
      </c>
      <c r="AX35" s="262">
        <f t="shared" si="18"/>
        <v>0</v>
      </c>
      <c r="AY35" s="263" t="s">
        <v>420</v>
      </c>
      <c r="AZ35" s="263" t="s">
        <v>404</v>
      </c>
      <c r="BA35" s="253" t="s">
        <v>395</v>
      </c>
      <c r="BC35" s="262">
        <f t="shared" si="19"/>
        <v>0</v>
      </c>
      <c r="BD35" s="262">
        <f t="shared" si="20"/>
        <v>0</v>
      </c>
      <c r="BE35" s="262">
        <v>0</v>
      </c>
      <c r="BF35" s="262">
        <f>35</f>
        <v>35</v>
      </c>
      <c r="BH35" s="260">
        <f t="shared" si="21"/>
        <v>0</v>
      </c>
      <c r="BI35" s="260">
        <f t="shared" si="22"/>
        <v>0</v>
      </c>
      <c r="BJ35" s="260">
        <f t="shared" si="23"/>
        <v>0</v>
      </c>
    </row>
    <row r="36" spans="1:62" x14ac:dyDescent="0.2">
      <c r="A36" s="259" t="s">
        <v>447</v>
      </c>
      <c r="B36" s="259" t="s">
        <v>448</v>
      </c>
      <c r="C36" s="330" t="s">
        <v>449</v>
      </c>
      <c r="D36" s="330"/>
      <c r="E36" s="330"/>
      <c r="F36" s="259" t="s">
        <v>143</v>
      </c>
      <c r="G36" s="260">
        <v>5</v>
      </c>
      <c r="H36" s="260">
        <v>0</v>
      </c>
      <c r="I36" s="260">
        <f t="shared" si="0"/>
        <v>0</v>
      </c>
      <c r="J36" s="260">
        <f t="shared" si="1"/>
        <v>0</v>
      </c>
      <c r="K36" s="260">
        <f t="shared" si="2"/>
        <v>0</v>
      </c>
      <c r="L36" s="261" t="s">
        <v>402</v>
      </c>
      <c r="Z36" s="262">
        <f t="shared" si="3"/>
        <v>0</v>
      </c>
      <c r="AB36" s="262">
        <f t="shared" si="4"/>
        <v>0</v>
      </c>
      <c r="AC36" s="262">
        <f t="shared" si="5"/>
        <v>0</v>
      </c>
      <c r="AD36" s="262">
        <f t="shared" si="6"/>
        <v>0</v>
      </c>
      <c r="AE36" s="262">
        <f t="shared" si="7"/>
        <v>0</v>
      </c>
      <c r="AF36" s="262">
        <f t="shared" si="8"/>
        <v>0</v>
      </c>
      <c r="AG36" s="262">
        <f t="shared" si="9"/>
        <v>0</v>
      </c>
      <c r="AH36" s="262">
        <f t="shared" si="10"/>
        <v>0</v>
      </c>
      <c r="AI36" s="253"/>
      <c r="AJ36" s="260">
        <f t="shared" si="11"/>
        <v>0</v>
      </c>
      <c r="AK36" s="260">
        <f t="shared" si="12"/>
        <v>0</v>
      </c>
      <c r="AL36" s="260">
        <f t="shared" si="13"/>
        <v>0</v>
      </c>
      <c r="AN36" s="262">
        <v>21</v>
      </c>
      <c r="AO36" s="262">
        <f t="shared" si="14"/>
        <v>0</v>
      </c>
      <c r="AP36" s="262">
        <f t="shared" si="15"/>
        <v>0</v>
      </c>
      <c r="AQ36" s="261" t="s">
        <v>399</v>
      </c>
      <c r="AV36" s="262">
        <f t="shared" si="16"/>
        <v>0</v>
      </c>
      <c r="AW36" s="262">
        <f t="shared" si="17"/>
        <v>0</v>
      </c>
      <c r="AX36" s="262">
        <f t="shared" si="18"/>
        <v>0</v>
      </c>
      <c r="AY36" s="263" t="s">
        <v>420</v>
      </c>
      <c r="AZ36" s="263" t="s">
        <v>404</v>
      </c>
      <c r="BA36" s="253" t="s">
        <v>395</v>
      </c>
      <c r="BC36" s="262">
        <f t="shared" si="19"/>
        <v>0</v>
      </c>
      <c r="BD36" s="262">
        <f t="shared" si="20"/>
        <v>0</v>
      </c>
      <c r="BE36" s="262">
        <v>0</v>
      </c>
      <c r="BF36" s="262">
        <f>36</f>
        <v>36</v>
      </c>
      <c r="BH36" s="260">
        <f t="shared" si="21"/>
        <v>0</v>
      </c>
      <c r="BI36" s="260">
        <f t="shared" si="22"/>
        <v>0</v>
      </c>
      <c r="BJ36" s="260">
        <f t="shared" si="23"/>
        <v>0</v>
      </c>
    </row>
    <row r="37" spans="1:62" x14ac:dyDescent="0.2">
      <c r="A37" s="259" t="s">
        <v>450</v>
      </c>
      <c r="B37" s="259" t="s">
        <v>451</v>
      </c>
      <c r="C37" s="330" t="s">
        <v>452</v>
      </c>
      <c r="D37" s="330"/>
      <c r="E37" s="330"/>
      <c r="F37" s="259" t="s">
        <v>143</v>
      </c>
      <c r="G37" s="260">
        <v>50</v>
      </c>
      <c r="H37" s="260">
        <v>0</v>
      </c>
      <c r="I37" s="260">
        <f t="shared" si="0"/>
        <v>0</v>
      </c>
      <c r="J37" s="260">
        <f t="shared" si="1"/>
        <v>0</v>
      </c>
      <c r="K37" s="260">
        <f t="shared" si="2"/>
        <v>0</v>
      </c>
      <c r="L37" s="261" t="s">
        <v>402</v>
      </c>
      <c r="Z37" s="262">
        <f t="shared" si="3"/>
        <v>0</v>
      </c>
      <c r="AB37" s="262">
        <f t="shared" si="4"/>
        <v>0</v>
      </c>
      <c r="AC37" s="262">
        <f t="shared" si="5"/>
        <v>0</v>
      </c>
      <c r="AD37" s="262">
        <f t="shared" si="6"/>
        <v>0</v>
      </c>
      <c r="AE37" s="262">
        <f t="shared" si="7"/>
        <v>0</v>
      </c>
      <c r="AF37" s="262">
        <f t="shared" si="8"/>
        <v>0</v>
      </c>
      <c r="AG37" s="262">
        <f t="shared" si="9"/>
        <v>0</v>
      </c>
      <c r="AH37" s="262">
        <f t="shared" si="10"/>
        <v>0</v>
      </c>
      <c r="AI37" s="253"/>
      <c r="AJ37" s="260">
        <f t="shared" si="11"/>
        <v>0</v>
      </c>
      <c r="AK37" s="260">
        <f t="shared" si="12"/>
        <v>0</v>
      </c>
      <c r="AL37" s="260">
        <f t="shared" si="13"/>
        <v>0</v>
      </c>
      <c r="AN37" s="262">
        <v>21</v>
      </c>
      <c r="AO37" s="262">
        <f t="shared" si="14"/>
        <v>0</v>
      </c>
      <c r="AP37" s="262">
        <f t="shared" si="15"/>
        <v>0</v>
      </c>
      <c r="AQ37" s="261" t="s">
        <v>399</v>
      </c>
      <c r="AV37" s="262">
        <f t="shared" si="16"/>
        <v>0</v>
      </c>
      <c r="AW37" s="262">
        <f t="shared" si="17"/>
        <v>0</v>
      </c>
      <c r="AX37" s="262">
        <f t="shared" si="18"/>
        <v>0</v>
      </c>
      <c r="AY37" s="263" t="s">
        <v>420</v>
      </c>
      <c r="AZ37" s="263" t="s">
        <v>404</v>
      </c>
      <c r="BA37" s="253" t="s">
        <v>395</v>
      </c>
      <c r="BC37" s="262">
        <f t="shared" si="19"/>
        <v>0</v>
      </c>
      <c r="BD37" s="262">
        <f t="shared" si="20"/>
        <v>0</v>
      </c>
      <c r="BE37" s="262">
        <v>0</v>
      </c>
      <c r="BF37" s="262">
        <f>37</f>
        <v>37</v>
      </c>
      <c r="BH37" s="260">
        <f t="shared" si="21"/>
        <v>0</v>
      </c>
      <c r="BI37" s="260">
        <f t="shared" si="22"/>
        <v>0</v>
      </c>
      <c r="BJ37" s="260">
        <f t="shared" si="23"/>
        <v>0</v>
      </c>
    </row>
    <row r="38" spans="1:62" x14ac:dyDescent="0.2">
      <c r="A38" s="259" t="s">
        <v>453</v>
      </c>
      <c r="B38" s="259" t="s">
        <v>454</v>
      </c>
      <c r="C38" s="330" t="s">
        <v>455</v>
      </c>
      <c r="D38" s="330"/>
      <c r="E38" s="330"/>
      <c r="F38" s="259" t="s">
        <v>173</v>
      </c>
      <c r="G38" s="260">
        <v>2</v>
      </c>
      <c r="H38" s="260">
        <v>0</v>
      </c>
      <c r="I38" s="260">
        <f t="shared" si="0"/>
        <v>0</v>
      </c>
      <c r="J38" s="260">
        <f t="shared" si="1"/>
        <v>0</v>
      </c>
      <c r="K38" s="260">
        <f t="shared" si="2"/>
        <v>0</v>
      </c>
      <c r="L38" s="261" t="s">
        <v>402</v>
      </c>
      <c r="Z38" s="262">
        <f t="shared" si="3"/>
        <v>0</v>
      </c>
      <c r="AB38" s="262">
        <f t="shared" si="4"/>
        <v>0</v>
      </c>
      <c r="AC38" s="262">
        <f t="shared" si="5"/>
        <v>0</v>
      </c>
      <c r="AD38" s="262">
        <f t="shared" si="6"/>
        <v>0</v>
      </c>
      <c r="AE38" s="262">
        <f t="shared" si="7"/>
        <v>0</v>
      </c>
      <c r="AF38" s="262">
        <f t="shared" si="8"/>
        <v>0</v>
      </c>
      <c r="AG38" s="262">
        <f t="shared" si="9"/>
        <v>0</v>
      </c>
      <c r="AH38" s="262">
        <f t="shared" si="10"/>
        <v>0</v>
      </c>
      <c r="AI38" s="253"/>
      <c r="AJ38" s="260">
        <f t="shared" si="11"/>
        <v>0</v>
      </c>
      <c r="AK38" s="260">
        <f t="shared" si="12"/>
        <v>0</v>
      </c>
      <c r="AL38" s="260">
        <f t="shared" si="13"/>
        <v>0</v>
      </c>
      <c r="AN38" s="262">
        <v>21</v>
      </c>
      <c r="AO38" s="262">
        <f t="shared" si="14"/>
        <v>0</v>
      </c>
      <c r="AP38" s="262">
        <f t="shared" si="15"/>
        <v>0</v>
      </c>
      <c r="AQ38" s="261" t="s">
        <v>399</v>
      </c>
      <c r="AV38" s="262">
        <f t="shared" si="16"/>
        <v>0</v>
      </c>
      <c r="AW38" s="262">
        <f t="shared" si="17"/>
        <v>0</v>
      </c>
      <c r="AX38" s="262">
        <f t="shared" si="18"/>
        <v>0</v>
      </c>
      <c r="AY38" s="263" t="s">
        <v>420</v>
      </c>
      <c r="AZ38" s="263" t="s">
        <v>404</v>
      </c>
      <c r="BA38" s="253" t="s">
        <v>395</v>
      </c>
      <c r="BC38" s="262">
        <f t="shared" si="19"/>
        <v>0</v>
      </c>
      <c r="BD38" s="262">
        <f t="shared" si="20"/>
        <v>0</v>
      </c>
      <c r="BE38" s="262">
        <v>0</v>
      </c>
      <c r="BF38" s="262">
        <f>38</f>
        <v>38</v>
      </c>
      <c r="BH38" s="260">
        <f t="shared" si="21"/>
        <v>0</v>
      </c>
      <c r="BI38" s="260">
        <f t="shared" si="22"/>
        <v>0</v>
      </c>
      <c r="BJ38" s="260">
        <f t="shared" si="23"/>
        <v>0</v>
      </c>
    </row>
    <row r="39" spans="1:62" x14ac:dyDescent="0.2">
      <c r="A39" s="259" t="s">
        <v>456</v>
      </c>
      <c r="B39" s="259" t="s">
        <v>457</v>
      </c>
      <c r="C39" s="330" t="s">
        <v>458</v>
      </c>
      <c r="D39" s="330"/>
      <c r="E39" s="330"/>
      <c r="F39" s="259" t="s">
        <v>173</v>
      </c>
      <c r="G39" s="260">
        <v>2</v>
      </c>
      <c r="H39" s="260">
        <v>0</v>
      </c>
      <c r="I39" s="260">
        <f t="shared" si="0"/>
        <v>0</v>
      </c>
      <c r="J39" s="260">
        <f t="shared" si="1"/>
        <v>0</v>
      </c>
      <c r="K39" s="260">
        <f t="shared" si="2"/>
        <v>0</v>
      </c>
      <c r="L39" s="261" t="s">
        <v>402</v>
      </c>
      <c r="Z39" s="262">
        <f t="shared" si="3"/>
        <v>0</v>
      </c>
      <c r="AB39" s="262">
        <f t="shared" si="4"/>
        <v>0</v>
      </c>
      <c r="AC39" s="262">
        <f t="shared" si="5"/>
        <v>0</v>
      </c>
      <c r="AD39" s="262">
        <f t="shared" si="6"/>
        <v>0</v>
      </c>
      <c r="AE39" s="262">
        <f t="shared" si="7"/>
        <v>0</v>
      </c>
      <c r="AF39" s="262">
        <f t="shared" si="8"/>
        <v>0</v>
      </c>
      <c r="AG39" s="262">
        <f t="shared" si="9"/>
        <v>0</v>
      </c>
      <c r="AH39" s="262">
        <f t="shared" si="10"/>
        <v>0</v>
      </c>
      <c r="AI39" s="253"/>
      <c r="AJ39" s="260">
        <f t="shared" si="11"/>
        <v>0</v>
      </c>
      <c r="AK39" s="260">
        <f t="shared" si="12"/>
        <v>0</v>
      </c>
      <c r="AL39" s="260">
        <f t="shared" si="13"/>
        <v>0</v>
      </c>
      <c r="AN39" s="262">
        <v>21</v>
      </c>
      <c r="AO39" s="262">
        <f t="shared" si="14"/>
        <v>0</v>
      </c>
      <c r="AP39" s="262">
        <f t="shared" si="15"/>
        <v>0</v>
      </c>
      <c r="AQ39" s="261" t="s">
        <v>399</v>
      </c>
      <c r="AV39" s="262">
        <f t="shared" si="16"/>
        <v>0</v>
      </c>
      <c r="AW39" s="262">
        <f t="shared" si="17"/>
        <v>0</v>
      </c>
      <c r="AX39" s="262">
        <f t="shared" si="18"/>
        <v>0</v>
      </c>
      <c r="AY39" s="263" t="s">
        <v>420</v>
      </c>
      <c r="AZ39" s="263" t="s">
        <v>404</v>
      </c>
      <c r="BA39" s="253" t="s">
        <v>395</v>
      </c>
      <c r="BC39" s="262">
        <f t="shared" si="19"/>
        <v>0</v>
      </c>
      <c r="BD39" s="262">
        <f t="shared" si="20"/>
        <v>0</v>
      </c>
      <c r="BE39" s="262">
        <v>0</v>
      </c>
      <c r="BF39" s="262">
        <f>39</f>
        <v>39</v>
      </c>
      <c r="BH39" s="260">
        <f t="shared" si="21"/>
        <v>0</v>
      </c>
      <c r="BI39" s="260">
        <f t="shared" si="22"/>
        <v>0</v>
      </c>
      <c r="BJ39" s="260">
        <f t="shared" si="23"/>
        <v>0</v>
      </c>
    </row>
    <row r="40" spans="1:62" x14ac:dyDescent="0.2">
      <c r="B40" s="266" t="s">
        <v>408</v>
      </c>
      <c r="C40" s="337" t="s">
        <v>459</v>
      </c>
      <c r="D40" s="337"/>
      <c r="E40" s="337"/>
      <c r="F40" s="337"/>
      <c r="G40" s="337"/>
      <c r="H40" s="337"/>
      <c r="I40" s="337"/>
      <c r="J40" s="337"/>
      <c r="K40" s="337"/>
      <c r="L40" s="337"/>
    </row>
    <row r="41" spans="1:62" x14ac:dyDescent="0.2">
      <c r="A41" s="259" t="s">
        <v>460</v>
      </c>
      <c r="B41" s="259" t="s">
        <v>461</v>
      </c>
      <c r="C41" s="330" t="s">
        <v>462</v>
      </c>
      <c r="D41" s="330"/>
      <c r="E41" s="330"/>
      <c r="F41" s="259" t="s">
        <v>173</v>
      </c>
      <c r="G41" s="260">
        <v>4</v>
      </c>
      <c r="H41" s="260">
        <v>0</v>
      </c>
      <c r="I41" s="260">
        <f t="shared" ref="I41:I46" si="24">G41*AO41</f>
        <v>0</v>
      </c>
      <c r="J41" s="260">
        <f t="shared" ref="J41:J46" si="25">G41*AP41</f>
        <v>0</v>
      </c>
      <c r="K41" s="260">
        <f t="shared" ref="K41:K46" si="26">G41*H41</f>
        <v>0</v>
      </c>
      <c r="L41" s="261" t="s">
        <v>402</v>
      </c>
      <c r="Z41" s="262">
        <f t="shared" ref="Z41:Z46" si="27">IF(AQ41="5",BJ41,0)</f>
        <v>0</v>
      </c>
      <c r="AB41" s="262">
        <f t="shared" ref="AB41:AB46" si="28">IF(AQ41="1",BH41,0)</f>
        <v>0</v>
      </c>
      <c r="AC41" s="262">
        <f t="shared" ref="AC41:AC46" si="29">IF(AQ41="1",BI41,0)</f>
        <v>0</v>
      </c>
      <c r="AD41" s="262">
        <f t="shared" ref="AD41:AD46" si="30">IF(AQ41="7",BH41,0)</f>
        <v>0</v>
      </c>
      <c r="AE41" s="262">
        <f t="shared" ref="AE41:AE46" si="31">IF(AQ41="7",BI41,0)</f>
        <v>0</v>
      </c>
      <c r="AF41" s="262">
        <f t="shared" ref="AF41:AF46" si="32">IF(AQ41="2",BH41,0)</f>
        <v>0</v>
      </c>
      <c r="AG41" s="262">
        <f t="shared" ref="AG41:AG46" si="33">IF(AQ41="2",BI41,0)</f>
        <v>0</v>
      </c>
      <c r="AH41" s="262">
        <f t="shared" ref="AH41:AH46" si="34">IF(AQ41="0",BJ41,0)</f>
        <v>0</v>
      </c>
      <c r="AI41" s="253"/>
      <c r="AJ41" s="260">
        <f t="shared" ref="AJ41:AJ46" si="35">IF(AN41=0,K41,0)</f>
        <v>0</v>
      </c>
      <c r="AK41" s="260">
        <f t="shared" ref="AK41:AK46" si="36">IF(AN41=15,K41,0)</f>
        <v>0</v>
      </c>
      <c r="AL41" s="260">
        <f t="shared" ref="AL41:AL46" si="37">IF(AN41=21,K41,0)</f>
        <v>0</v>
      </c>
      <c r="AN41" s="262">
        <v>21</v>
      </c>
      <c r="AO41" s="262">
        <f t="shared" ref="AO41:AO46" si="38">H41*0</f>
        <v>0</v>
      </c>
      <c r="AP41" s="262">
        <f t="shared" ref="AP41:AP46" si="39">H41*(1-0)</f>
        <v>0</v>
      </c>
      <c r="AQ41" s="261" t="s">
        <v>399</v>
      </c>
      <c r="AV41" s="262">
        <f t="shared" ref="AV41:AV46" si="40">AW41+AX41</f>
        <v>0</v>
      </c>
      <c r="AW41" s="262">
        <f t="shared" ref="AW41:AW46" si="41">G41*AO41</f>
        <v>0</v>
      </c>
      <c r="AX41" s="262">
        <f t="shared" ref="AX41:AX46" si="42">G41*AP41</f>
        <v>0</v>
      </c>
      <c r="AY41" s="263" t="s">
        <v>420</v>
      </c>
      <c r="AZ41" s="263" t="s">
        <v>404</v>
      </c>
      <c r="BA41" s="253" t="s">
        <v>395</v>
      </c>
      <c r="BC41" s="262">
        <f t="shared" ref="BC41:BC46" si="43">AW41+AX41</f>
        <v>0</v>
      </c>
      <c r="BD41" s="262">
        <f t="shared" ref="BD41:BD46" si="44">H41/(100-BE41)*100</f>
        <v>0</v>
      </c>
      <c r="BE41" s="262">
        <v>0</v>
      </c>
      <c r="BF41" s="262">
        <f>41</f>
        <v>41</v>
      </c>
      <c r="BH41" s="260">
        <f t="shared" ref="BH41:BH46" si="45">G41*AO41</f>
        <v>0</v>
      </c>
      <c r="BI41" s="260">
        <f t="shared" ref="BI41:BI46" si="46">G41*AP41</f>
        <v>0</v>
      </c>
      <c r="BJ41" s="260">
        <f t="shared" ref="BJ41:BJ46" si="47">G41*H41</f>
        <v>0</v>
      </c>
    </row>
    <row r="42" spans="1:62" x14ac:dyDescent="0.2">
      <c r="A42" s="259" t="s">
        <v>463</v>
      </c>
      <c r="B42" s="259" t="s">
        <v>464</v>
      </c>
      <c r="C42" s="330" t="s">
        <v>465</v>
      </c>
      <c r="D42" s="330"/>
      <c r="E42" s="330"/>
      <c r="F42" s="259" t="s">
        <v>173</v>
      </c>
      <c r="G42" s="260">
        <v>7</v>
      </c>
      <c r="H42" s="260">
        <v>0</v>
      </c>
      <c r="I42" s="260">
        <f t="shared" si="24"/>
        <v>0</v>
      </c>
      <c r="J42" s="260">
        <f t="shared" si="25"/>
        <v>0</v>
      </c>
      <c r="K42" s="260">
        <f t="shared" si="26"/>
        <v>0</v>
      </c>
      <c r="L42" s="261" t="s">
        <v>402</v>
      </c>
      <c r="Z42" s="262">
        <f t="shared" si="27"/>
        <v>0</v>
      </c>
      <c r="AB42" s="262">
        <f t="shared" si="28"/>
        <v>0</v>
      </c>
      <c r="AC42" s="262">
        <f t="shared" si="29"/>
        <v>0</v>
      </c>
      <c r="AD42" s="262">
        <f t="shared" si="30"/>
        <v>0</v>
      </c>
      <c r="AE42" s="262">
        <f t="shared" si="31"/>
        <v>0</v>
      </c>
      <c r="AF42" s="262">
        <f t="shared" si="32"/>
        <v>0</v>
      </c>
      <c r="AG42" s="262">
        <f t="shared" si="33"/>
        <v>0</v>
      </c>
      <c r="AH42" s="262">
        <f t="shared" si="34"/>
        <v>0</v>
      </c>
      <c r="AI42" s="253"/>
      <c r="AJ42" s="260">
        <f t="shared" si="35"/>
        <v>0</v>
      </c>
      <c r="AK42" s="260">
        <f t="shared" si="36"/>
        <v>0</v>
      </c>
      <c r="AL42" s="260">
        <f t="shared" si="37"/>
        <v>0</v>
      </c>
      <c r="AN42" s="262">
        <v>21</v>
      </c>
      <c r="AO42" s="262">
        <f t="shared" si="38"/>
        <v>0</v>
      </c>
      <c r="AP42" s="262">
        <f t="shared" si="39"/>
        <v>0</v>
      </c>
      <c r="AQ42" s="261" t="s">
        <v>399</v>
      </c>
      <c r="AV42" s="262">
        <f t="shared" si="40"/>
        <v>0</v>
      </c>
      <c r="AW42" s="262">
        <f t="shared" si="41"/>
        <v>0</v>
      </c>
      <c r="AX42" s="262">
        <f t="shared" si="42"/>
        <v>0</v>
      </c>
      <c r="AY42" s="263" t="s">
        <v>420</v>
      </c>
      <c r="AZ42" s="263" t="s">
        <v>404</v>
      </c>
      <c r="BA42" s="253" t="s">
        <v>395</v>
      </c>
      <c r="BC42" s="262">
        <f t="shared" si="43"/>
        <v>0</v>
      </c>
      <c r="BD42" s="262">
        <f t="shared" si="44"/>
        <v>0</v>
      </c>
      <c r="BE42" s="262">
        <v>0</v>
      </c>
      <c r="BF42" s="262">
        <f>42</f>
        <v>42</v>
      </c>
      <c r="BH42" s="260">
        <f t="shared" si="45"/>
        <v>0</v>
      </c>
      <c r="BI42" s="260">
        <f t="shared" si="46"/>
        <v>0</v>
      </c>
      <c r="BJ42" s="260">
        <f t="shared" si="47"/>
        <v>0</v>
      </c>
    </row>
    <row r="43" spans="1:62" x14ac:dyDescent="0.2">
      <c r="A43" s="259" t="s">
        <v>466</v>
      </c>
      <c r="B43" s="259" t="s">
        <v>464</v>
      </c>
      <c r="C43" s="330" t="s">
        <v>465</v>
      </c>
      <c r="D43" s="330"/>
      <c r="E43" s="330"/>
      <c r="F43" s="259" t="s">
        <v>173</v>
      </c>
      <c r="G43" s="260">
        <v>2</v>
      </c>
      <c r="H43" s="260">
        <v>0</v>
      </c>
      <c r="I43" s="260">
        <f t="shared" si="24"/>
        <v>0</v>
      </c>
      <c r="J43" s="260">
        <f t="shared" si="25"/>
        <v>0</v>
      </c>
      <c r="K43" s="260">
        <f t="shared" si="26"/>
        <v>0</v>
      </c>
      <c r="L43" s="261" t="s">
        <v>402</v>
      </c>
      <c r="Z43" s="262">
        <f t="shared" si="27"/>
        <v>0</v>
      </c>
      <c r="AB43" s="262">
        <f t="shared" si="28"/>
        <v>0</v>
      </c>
      <c r="AC43" s="262">
        <f t="shared" si="29"/>
        <v>0</v>
      </c>
      <c r="AD43" s="262">
        <f t="shared" si="30"/>
        <v>0</v>
      </c>
      <c r="AE43" s="262">
        <f t="shared" si="31"/>
        <v>0</v>
      </c>
      <c r="AF43" s="262">
        <f t="shared" si="32"/>
        <v>0</v>
      </c>
      <c r="AG43" s="262">
        <f t="shared" si="33"/>
        <v>0</v>
      </c>
      <c r="AH43" s="262">
        <f t="shared" si="34"/>
        <v>0</v>
      </c>
      <c r="AI43" s="253"/>
      <c r="AJ43" s="260">
        <f t="shared" si="35"/>
        <v>0</v>
      </c>
      <c r="AK43" s="260">
        <f t="shared" si="36"/>
        <v>0</v>
      </c>
      <c r="AL43" s="260">
        <f t="shared" si="37"/>
        <v>0</v>
      </c>
      <c r="AN43" s="262">
        <v>21</v>
      </c>
      <c r="AO43" s="262">
        <f t="shared" si="38"/>
        <v>0</v>
      </c>
      <c r="AP43" s="262">
        <f t="shared" si="39"/>
        <v>0</v>
      </c>
      <c r="AQ43" s="261" t="s">
        <v>399</v>
      </c>
      <c r="AV43" s="262">
        <f t="shared" si="40"/>
        <v>0</v>
      </c>
      <c r="AW43" s="262">
        <f t="shared" si="41"/>
        <v>0</v>
      </c>
      <c r="AX43" s="262">
        <f t="shared" si="42"/>
        <v>0</v>
      </c>
      <c r="AY43" s="263" t="s">
        <v>420</v>
      </c>
      <c r="AZ43" s="263" t="s">
        <v>404</v>
      </c>
      <c r="BA43" s="253" t="s">
        <v>395</v>
      </c>
      <c r="BC43" s="262">
        <f t="shared" si="43"/>
        <v>0</v>
      </c>
      <c r="BD43" s="262">
        <f t="shared" si="44"/>
        <v>0</v>
      </c>
      <c r="BE43" s="262">
        <v>0</v>
      </c>
      <c r="BF43" s="262">
        <f>43</f>
        <v>43</v>
      </c>
      <c r="BH43" s="260">
        <f t="shared" si="45"/>
        <v>0</v>
      </c>
      <c r="BI43" s="260">
        <f t="shared" si="46"/>
        <v>0</v>
      </c>
      <c r="BJ43" s="260">
        <f t="shared" si="47"/>
        <v>0</v>
      </c>
    </row>
    <row r="44" spans="1:62" x14ac:dyDescent="0.2">
      <c r="A44" s="259" t="s">
        <v>467</v>
      </c>
      <c r="B44" s="259" t="s">
        <v>468</v>
      </c>
      <c r="C44" s="330" t="s">
        <v>469</v>
      </c>
      <c r="D44" s="330"/>
      <c r="E44" s="330"/>
      <c r="F44" s="259" t="s">
        <v>173</v>
      </c>
      <c r="G44" s="260">
        <v>20</v>
      </c>
      <c r="H44" s="260">
        <v>0</v>
      </c>
      <c r="I44" s="260">
        <f t="shared" si="24"/>
        <v>0</v>
      </c>
      <c r="J44" s="260">
        <f t="shared" si="25"/>
        <v>0</v>
      </c>
      <c r="K44" s="260">
        <f t="shared" si="26"/>
        <v>0</v>
      </c>
      <c r="L44" s="261" t="s">
        <v>402</v>
      </c>
      <c r="Z44" s="262">
        <f t="shared" si="27"/>
        <v>0</v>
      </c>
      <c r="AB44" s="262">
        <f t="shared" si="28"/>
        <v>0</v>
      </c>
      <c r="AC44" s="262">
        <f t="shared" si="29"/>
        <v>0</v>
      </c>
      <c r="AD44" s="262">
        <f t="shared" si="30"/>
        <v>0</v>
      </c>
      <c r="AE44" s="262">
        <f t="shared" si="31"/>
        <v>0</v>
      </c>
      <c r="AF44" s="262">
        <f t="shared" si="32"/>
        <v>0</v>
      </c>
      <c r="AG44" s="262">
        <f t="shared" si="33"/>
        <v>0</v>
      </c>
      <c r="AH44" s="262">
        <f t="shared" si="34"/>
        <v>0</v>
      </c>
      <c r="AI44" s="253"/>
      <c r="AJ44" s="260">
        <f t="shared" si="35"/>
        <v>0</v>
      </c>
      <c r="AK44" s="260">
        <f t="shared" si="36"/>
        <v>0</v>
      </c>
      <c r="AL44" s="260">
        <f t="shared" si="37"/>
        <v>0</v>
      </c>
      <c r="AN44" s="262">
        <v>21</v>
      </c>
      <c r="AO44" s="262">
        <f t="shared" si="38"/>
        <v>0</v>
      </c>
      <c r="AP44" s="262">
        <f t="shared" si="39"/>
        <v>0</v>
      </c>
      <c r="AQ44" s="261" t="s">
        <v>399</v>
      </c>
      <c r="AV44" s="262">
        <f t="shared" si="40"/>
        <v>0</v>
      </c>
      <c r="AW44" s="262">
        <f t="shared" si="41"/>
        <v>0</v>
      </c>
      <c r="AX44" s="262">
        <f t="shared" si="42"/>
        <v>0</v>
      </c>
      <c r="AY44" s="263" t="s">
        <v>420</v>
      </c>
      <c r="AZ44" s="263" t="s">
        <v>404</v>
      </c>
      <c r="BA44" s="253" t="s">
        <v>395</v>
      </c>
      <c r="BC44" s="262">
        <f t="shared" si="43"/>
        <v>0</v>
      </c>
      <c r="BD44" s="262">
        <f t="shared" si="44"/>
        <v>0</v>
      </c>
      <c r="BE44" s="262">
        <v>0</v>
      </c>
      <c r="BF44" s="262">
        <f>44</f>
        <v>44</v>
      </c>
      <c r="BH44" s="260">
        <f t="shared" si="45"/>
        <v>0</v>
      </c>
      <c r="BI44" s="260">
        <f t="shared" si="46"/>
        <v>0</v>
      </c>
      <c r="BJ44" s="260">
        <f t="shared" si="47"/>
        <v>0</v>
      </c>
    </row>
    <row r="45" spans="1:62" x14ac:dyDescent="0.2">
      <c r="A45" s="259" t="s">
        <v>470</v>
      </c>
      <c r="B45" s="259" t="s">
        <v>471</v>
      </c>
      <c r="C45" s="330" t="s">
        <v>472</v>
      </c>
      <c r="D45" s="330"/>
      <c r="E45" s="330"/>
      <c r="F45" s="259" t="s">
        <v>173</v>
      </c>
      <c r="G45" s="260">
        <v>2</v>
      </c>
      <c r="H45" s="260">
        <v>0</v>
      </c>
      <c r="I45" s="260">
        <f t="shared" si="24"/>
        <v>0</v>
      </c>
      <c r="J45" s="260">
        <f t="shared" si="25"/>
        <v>0</v>
      </c>
      <c r="K45" s="260">
        <f t="shared" si="26"/>
        <v>0</v>
      </c>
      <c r="L45" s="261" t="s">
        <v>402</v>
      </c>
      <c r="Z45" s="262">
        <f t="shared" si="27"/>
        <v>0</v>
      </c>
      <c r="AB45" s="262">
        <f t="shared" si="28"/>
        <v>0</v>
      </c>
      <c r="AC45" s="262">
        <f t="shared" si="29"/>
        <v>0</v>
      </c>
      <c r="AD45" s="262">
        <f t="shared" si="30"/>
        <v>0</v>
      </c>
      <c r="AE45" s="262">
        <f t="shared" si="31"/>
        <v>0</v>
      </c>
      <c r="AF45" s="262">
        <f t="shared" si="32"/>
        <v>0</v>
      </c>
      <c r="AG45" s="262">
        <f t="shared" si="33"/>
        <v>0</v>
      </c>
      <c r="AH45" s="262">
        <f t="shared" si="34"/>
        <v>0</v>
      </c>
      <c r="AI45" s="253"/>
      <c r="AJ45" s="260">
        <f t="shared" si="35"/>
        <v>0</v>
      </c>
      <c r="AK45" s="260">
        <f t="shared" si="36"/>
        <v>0</v>
      </c>
      <c r="AL45" s="260">
        <f t="shared" si="37"/>
        <v>0</v>
      </c>
      <c r="AN45" s="262">
        <v>21</v>
      </c>
      <c r="AO45" s="262">
        <f t="shared" si="38"/>
        <v>0</v>
      </c>
      <c r="AP45" s="262">
        <f t="shared" si="39"/>
        <v>0</v>
      </c>
      <c r="AQ45" s="261" t="s">
        <v>399</v>
      </c>
      <c r="AV45" s="262">
        <f t="shared" si="40"/>
        <v>0</v>
      </c>
      <c r="AW45" s="262">
        <f t="shared" si="41"/>
        <v>0</v>
      </c>
      <c r="AX45" s="262">
        <f t="shared" si="42"/>
        <v>0</v>
      </c>
      <c r="AY45" s="263" t="s">
        <v>420</v>
      </c>
      <c r="AZ45" s="263" t="s">
        <v>404</v>
      </c>
      <c r="BA45" s="253" t="s">
        <v>395</v>
      </c>
      <c r="BC45" s="262">
        <f t="shared" si="43"/>
        <v>0</v>
      </c>
      <c r="BD45" s="262">
        <f t="shared" si="44"/>
        <v>0</v>
      </c>
      <c r="BE45" s="262">
        <v>0</v>
      </c>
      <c r="BF45" s="262">
        <f>45</f>
        <v>45</v>
      </c>
      <c r="BH45" s="260">
        <f t="shared" si="45"/>
        <v>0</v>
      </c>
      <c r="BI45" s="260">
        <f t="shared" si="46"/>
        <v>0</v>
      </c>
      <c r="BJ45" s="260">
        <f t="shared" si="47"/>
        <v>0</v>
      </c>
    </row>
    <row r="46" spans="1:62" x14ac:dyDescent="0.2">
      <c r="A46" s="259" t="s">
        <v>473</v>
      </c>
      <c r="B46" s="259" t="s">
        <v>474</v>
      </c>
      <c r="C46" s="330" t="s">
        <v>475</v>
      </c>
      <c r="D46" s="330"/>
      <c r="E46" s="330"/>
      <c r="F46" s="259" t="s">
        <v>173</v>
      </c>
      <c r="G46" s="260">
        <v>10</v>
      </c>
      <c r="H46" s="260">
        <v>0</v>
      </c>
      <c r="I46" s="260">
        <f t="shared" si="24"/>
        <v>0</v>
      </c>
      <c r="J46" s="260">
        <f t="shared" si="25"/>
        <v>0</v>
      </c>
      <c r="K46" s="260">
        <f t="shared" si="26"/>
        <v>0</v>
      </c>
      <c r="L46" s="261" t="s">
        <v>402</v>
      </c>
      <c r="Z46" s="262">
        <f t="shared" si="27"/>
        <v>0</v>
      </c>
      <c r="AB46" s="262">
        <f t="shared" si="28"/>
        <v>0</v>
      </c>
      <c r="AC46" s="262">
        <f t="shared" si="29"/>
        <v>0</v>
      </c>
      <c r="AD46" s="262">
        <f t="shared" si="30"/>
        <v>0</v>
      </c>
      <c r="AE46" s="262">
        <f t="shared" si="31"/>
        <v>0</v>
      </c>
      <c r="AF46" s="262">
        <f t="shared" si="32"/>
        <v>0</v>
      </c>
      <c r="AG46" s="262">
        <f t="shared" si="33"/>
        <v>0</v>
      </c>
      <c r="AH46" s="262">
        <f t="shared" si="34"/>
        <v>0</v>
      </c>
      <c r="AI46" s="253"/>
      <c r="AJ46" s="260">
        <f t="shared" si="35"/>
        <v>0</v>
      </c>
      <c r="AK46" s="260">
        <f t="shared" si="36"/>
        <v>0</v>
      </c>
      <c r="AL46" s="260">
        <f t="shared" si="37"/>
        <v>0</v>
      </c>
      <c r="AN46" s="262">
        <v>21</v>
      </c>
      <c r="AO46" s="262">
        <f t="shared" si="38"/>
        <v>0</v>
      </c>
      <c r="AP46" s="262">
        <f t="shared" si="39"/>
        <v>0</v>
      </c>
      <c r="AQ46" s="261" t="s">
        <v>399</v>
      </c>
      <c r="AV46" s="262">
        <f t="shared" si="40"/>
        <v>0</v>
      </c>
      <c r="AW46" s="262">
        <f t="shared" si="41"/>
        <v>0</v>
      </c>
      <c r="AX46" s="262">
        <f t="shared" si="42"/>
        <v>0</v>
      </c>
      <c r="AY46" s="263" t="s">
        <v>420</v>
      </c>
      <c r="AZ46" s="263" t="s">
        <v>404</v>
      </c>
      <c r="BA46" s="253" t="s">
        <v>395</v>
      </c>
      <c r="BC46" s="262">
        <f t="shared" si="43"/>
        <v>0</v>
      </c>
      <c r="BD46" s="262">
        <f t="shared" si="44"/>
        <v>0</v>
      </c>
      <c r="BE46" s="262">
        <v>0</v>
      </c>
      <c r="BF46" s="262">
        <f>46</f>
        <v>46</v>
      </c>
      <c r="BH46" s="260">
        <f t="shared" si="45"/>
        <v>0</v>
      </c>
      <c r="BI46" s="260">
        <f t="shared" si="46"/>
        <v>0</v>
      </c>
      <c r="BJ46" s="260">
        <f t="shared" si="47"/>
        <v>0</v>
      </c>
    </row>
    <row r="47" spans="1:62" x14ac:dyDescent="0.2">
      <c r="A47" s="264"/>
      <c r="B47" s="265" t="s">
        <v>476</v>
      </c>
      <c r="C47" s="338" t="s">
        <v>477</v>
      </c>
      <c r="D47" s="338"/>
      <c r="E47" s="338"/>
      <c r="F47" s="264" t="s">
        <v>352</v>
      </c>
      <c r="G47" s="264" t="s">
        <v>352</v>
      </c>
      <c r="H47" s="264" t="s">
        <v>352</v>
      </c>
      <c r="I47" s="258">
        <f>SUM(I48:I53)</f>
        <v>0</v>
      </c>
      <c r="J47" s="258">
        <f>SUM(J48:J53)</f>
        <v>0</v>
      </c>
      <c r="K47" s="258">
        <f>SUM(K48:K53)</f>
        <v>0</v>
      </c>
      <c r="L47" s="253"/>
      <c r="AI47" s="253"/>
      <c r="AS47" s="258">
        <f>SUM(AJ48:AJ53)</f>
        <v>0</v>
      </c>
      <c r="AT47" s="258">
        <f>SUM(AK48:AK53)</f>
        <v>0</v>
      </c>
      <c r="AU47" s="258">
        <f>SUM(AL48:AL53)</f>
        <v>0</v>
      </c>
    </row>
    <row r="48" spans="1:62" x14ac:dyDescent="0.2">
      <c r="A48" s="259" t="s">
        <v>478</v>
      </c>
      <c r="B48" s="259" t="s">
        <v>479</v>
      </c>
      <c r="C48" s="330" t="s">
        <v>480</v>
      </c>
      <c r="D48" s="330"/>
      <c r="E48" s="330"/>
      <c r="F48" s="259" t="s">
        <v>177</v>
      </c>
      <c r="G48" s="260">
        <v>1</v>
      </c>
      <c r="H48" s="260">
        <v>0</v>
      </c>
      <c r="I48" s="260">
        <f>G48*AO48</f>
        <v>0</v>
      </c>
      <c r="J48" s="260">
        <f>G48*AP48</f>
        <v>0</v>
      </c>
      <c r="K48" s="260">
        <f>G48*H48</f>
        <v>0</v>
      </c>
      <c r="L48" s="261" t="s">
        <v>402</v>
      </c>
      <c r="Z48" s="262">
        <f>IF(AQ48="5",BJ48,0)</f>
        <v>0</v>
      </c>
      <c r="AB48" s="262">
        <f>IF(AQ48="1",BH48,0)</f>
        <v>0</v>
      </c>
      <c r="AC48" s="262">
        <f>IF(AQ48="1",BI48,0)</f>
        <v>0</v>
      </c>
      <c r="AD48" s="262">
        <f>IF(AQ48="7",BH48,0)</f>
        <v>0</v>
      </c>
      <c r="AE48" s="262">
        <f>IF(AQ48="7",BI48,0)</f>
        <v>0</v>
      </c>
      <c r="AF48" s="262">
        <f>IF(AQ48="2",BH48,0)</f>
        <v>0</v>
      </c>
      <c r="AG48" s="262">
        <f>IF(AQ48="2",BI48,0)</f>
        <v>0</v>
      </c>
      <c r="AH48" s="262">
        <f>IF(AQ48="0",BJ48,0)</f>
        <v>0</v>
      </c>
      <c r="AI48" s="253"/>
      <c r="AJ48" s="260">
        <f>IF(AN48=0,K48,0)</f>
        <v>0</v>
      </c>
      <c r="AK48" s="260">
        <f>IF(AN48=15,K48,0)</f>
        <v>0</v>
      </c>
      <c r="AL48" s="260">
        <f>IF(AN48=21,K48,0)</f>
        <v>0</v>
      </c>
      <c r="AN48" s="262">
        <v>21</v>
      </c>
      <c r="AO48" s="262">
        <f>H48*0</f>
        <v>0</v>
      </c>
      <c r="AP48" s="262">
        <f>H48*(1-0)</f>
        <v>0</v>
      </c>
      <c r="AQ48" s="261" t="s">
        <v>413</v>
      </c>
      <c r="AV48" s="262">
        <f>AW48+AX48</f>
        <v>0</v>
      </c>
      <c r="AW48" s="262">
        <f>G48*AO48</f>
        <v>0</v>
      </c>
      <c r="AX48" s="262">
        <f>G48*AP48</f>
        <v>0</v>
      </c>
      <c r="AY48" s="263" t="s">
        <v>481</v>
      </c>
      <c r="AZ48" s="263" t="s">
        <v>404</v>
      </c>
      <c r="BA48" s="253" t="s">
        <v>395</v>
      </c>
      <c r="BC48" s="262">
        <f>AW48+AX48</f>
        <v>0</v>
      </c>
      <c r="BD48" s="262">
        <f>H48/(100-BE48)*100</f>
        <v>0</v>
      </c>
      <c r="BE48" s="262">
        <v>0</v>
      </c>
      <c r="BF48" s="262">
        <f>48</f>
        <v>48</v>
      </c>
      <c r="BH48" s="260">
        <f>G48*AO48</f>
        <v>0</v>
      </c>
      <c r="BI48" s="260">
        <f>G48*AP48</f>
        <v>0</v>
      </c>
      <c r="BJ48" s="260">
        <f>G48*H48</f>
        <v>0</v>
      </c>
    </row>
    <row r="49" spans="1:62" x14ac:dyDescent="0.2">
      <c r="A49" s="259" t="s">
        <v>482</v>
      </c>
      <c r="B49" s="259" t="s">
        <v>483</v>
      </c>
      <c r="C49" s="330" t="s">
        <v>484</v>
      </c>
      <c r="D49" s="330"/>
      <c r="E49" s="330"/>
      <c r="F49" s="259" t="s">
        <v>177</v>
      </c>
      <c r="G49" s="260">
        <v>10</v>
      </c>
      <c r="H49" s="260">
        <v>0</v>
      </c>
      <c r="I49" s="260">
        <f>G49*AO49</f>
        <v>0</v>
      </c>
      <c r="J49" s="260">
        <f>G49*AP49</f>
        <v>0</v>
      </c>
      <c r="K49" s="260">
        <f>G49*H49</f>
        <v>0</v>
      </c>
      <c r="L49" s="261" t="s">
        <v>402</v>
      </c>
      <c r="Z49" s="262">
        <f>IF(AQ49="5",BJ49,0)</f>
        <v>0</v>
      </c>
      <c r="AB49" s="262">
        <f>IF(AQ49="1",BH49,0)</f>
        <v>0</v>
      </c>
      <c r="AC49" s="262">
        <f>IF(AQ49="1",BI49,0)</f>
        <v>0</v>
      </c>
      <c r="AD49" s="262">
        <f>IF(AQ49="7",BH49,0)</f>
        <v>0</v>
      </c>
      <c r="AE49" s="262">
        <f>IF(AQ49="7",BI49,0)</f>
        <v>0</v>
      </c>
      <c r="AF49" s="262">
        <f>IF(AQ49="2",BH49,0)</f>
        <v>0</v>
      </c>
      <c r="AG49" s="262">
        <f>IF(AQ49="2",BI49,0)</f>
        <v>0</v>
      </c>
      <c r="AH49" s="262">
        <f>IF(AQ49="0",BJ49,0)</f>
        <v>0</v>
      </c>
      <c r="AI49" s="253"/>
      <c r="AJ49" s="260">
        <f>IF(AN49=0,K49,0)</f>
        <v>0</v>
      </c>
      <c r="AK49" s="260">
        <f>IF(AN49=15,K49,0)</f>
        <v>0</v>
      </c>
      <c r="AL49" s="260">
        <f>IF(AN49=21,K49,0)</f>
        <v>0</v>
      </c>
      <c r="AN49" s="262">
        <v>21</v>
      </c>
      <c r="AO49" s="262">
        <f>H49*0</f>
        <v>0</v>
      </c>
      <c r="AP49" s="262">
        <f>H49*(1-0)</f>
        <v>0</v>
      </c>
      <c r="AQ49" s="261" t="s">
        <v>413</v>
      </c>
      <c r="AV49" s="262">
        <f>AW49+AX49</f>
        <v>0</v>
      </c>
      <c r="AW49" s="262">
        <f>G49*AO49</f>
        <v>0</v>
      </c>
      <c r="AX49" s="262">
        <f>G49*AP49</f>
        <v>0</v>
      </c>
      <c r="AY49" s="263" t="s">
        <v>481</v>
      </c>
      <c r="AZ49" s="263" t="s">
        <v>404</v>
      </c>
      <c r="BA49" s="253" t="s">
        <v>395</v>
      </c>
      <c r="BC49" s="262">
        <f>AW49+AX49</f>
        <v>0</v>
      </c>
      <c r="BD49" s="262">
        <f>H49/(100-BE49)*100</f>
        <v>0</v>
      </c>
      <c r="BE49" s="262">
        <v>0</v>
      </c>
      <c r="BF49" s="262">
        <f>49</f>
        <v>49</v>
      </c>
      <c r="BH49" s="260">
        <f>G49*AO49</f>
        <v>0</v>
      </c>
      <c r="BI49" s="260">
        <f>G49*AP49</f>
        <v>0</v>
      </c>
      <c r="BJ49" s="260">
        <f>G49*H49</f>
        <v>0</v>
      </c>
    </row>
    <row r="50" spans="1:62" x14ac:dyDescent="0.2">
      <c r="A50" s="259" t="s">
        <v>485</v>
      </c>
      <c r="B50" s="259" t="s">
        <v>486</v>
      </c>
      <c r="C50" s="330" t="s">
        <v>487</v>
      </c>
      <c r="D50" s="330"/>
      <c r="E50" s="330"/>
      <c r="F50" s="259" t="s">
        <v>177</v>
      </c>
      <c r="G50" s="260">
        <v>1</v>
      </c>
      <c r="H50" s="260">
        <v>0</v>
      </c>
      <c r="I50" s="260">
        <f>G50*AO50</f>
        <v>0</v>
      </c>
      <c r="J50" s="260">
        <f>G50*AP50</f>
        <v>0</v>
      </c>
      <c r="K50" s="260">
        <f>G50*H50</f>
        <v>0</v>
      </c>
      <c r="L50" s="261" t="s">
        <v>402</v>
      </c>
      <c r="Z50" s="262">
        <f>IF(AQ50="5",BJ50,0)</f>
        <v>0</v>
      </c>
      <c r="AB50" s="262">
        <f>IF(AQ50="1",BH50,0)</f>
        <v>0</v>
      </c>
      <c r="AC50" s="262">
        <f>IF(AQ50="1",BI50,0)</f>
        <v>0</v>
      </c>
      <c r="AD50" s="262">
        <f>IF(AQ50="7",BH50,0)</f>
        <v>0</v>
      </c>
      <c r="AE50" s="262">
        <f>IF(AQ50="7",BI50,0)</f>
        <v>0</v>
      </c>
      <c r="AF50" s="262">
        <f>IF(AQ50="2",BH50,0)</f>
        <v>0</v>
      </c>
      <c r="AG50" s="262">
        <f>IF(AQ50="2",BI50,0)</f>
        <v>0</v>
      </c>
      <c r="AH50" s="262">
        <f>IF(AQ50="0",BJ50,0)</f>
        <v>0</v>
      </c>
      <c r="AI50" s="253"/>
      <c r="AJ50" s="260">
        <f>IF(AN50=0,K50,0)</f>
        <v>0</v>
      </c>
      <c r="AK50" s="260">
        <f>IF(AN50=15,K50,0)</f>
        <v>0</v>
      </c>
      <c r="AL50" s="260">
        <f>IF(AN50=21,K50,0)</f>
        <v>0</v>
      </c>
      <c r="AN50" s="262">
        <v>21</v>
      </c>
      <c r="AO50" s="262">
        <f>H50*0</f>
        <v>0</v>
      </c>
      <c r="AP50" s="262">
        <f>H50*(1-0)</f>
        <v>0</v>
      </c>
      <c r="AQ50" s="261" t="s">
        <v>413</v>
      </c>
      <c r="AV50" s="262">
        <f>AW50+AX50</f>
        <v>0</v>
      </c>
      <c r="AW50" s="262">
        <f>G50*AO50</f>
        <v>0</v>
      </c>
      <c r="AX50" s="262">
        <f>G50*AP50</f>
        <v>0</v>
      </c>
      <c r="AY50" s="263" t="s">
        <v>481</v>
      </c>
      <c r="AZ50" s="263" t="s">
        <v>404</v>
      </c>
      <c r="BA50" s="253" t="s">
        <v>395</v>
      </c>
      <c r="BC50" s="262">
        <f>AW50+AX50</f>
        <v>0</v>
      </c>
      <c r="BD50" s="262">
        <f>H50/(100-BE50)*100</f>
        <v>0</v>
      </c>
      <c r="BE50" s="262">
        <v>0</v>
      </c>
      <c r="BF50" s="262">
        <f>50</f>
        <v>50</v>
      </c>
      <c r="BH50" s="260">
        <f>G50*AO50</f>
        <v>0</v>
      </c>
      <c r="BI50" s="260">
        <f>G50*AP50</f>
        <v>0</v>
      </c>
      <c r="BJ50" s="260">
        <f>G50*H50</f>
        <v>0</v>
      </c>
    </row>
    <row r="51" spans="1:62" x14ac:dyDescent="0.2">
      <c r="B51" s="266" t="s">
        <v>408</v>
      </c>
      <c r="C51" s="337" t="s">
        <v>488</v>
      </c>
      <c r="D51" s="337"/>
      <c r="E51" s="337"/>
      <c r="F51" s="337"/>
      <c r="G51" s="337"/>
      <c r="H51" s="337"/>
      <c r="I51" s="337"/>
      <c r="J51" s="337"/>
      <c r="K51" s="337"/>
      <c r="L51" s="337"/>
    </row>
    <row r="52" spans="1:62" x14ac:dyDescent="0.2">
      <c r="A52" s="259" t="s">
        <v>489</v>
      </c>
      <c r="B52" s="259" t="s">
        <v>490</v>
      </c>
      <c r="C52" s="330" t="s">
        <v>491</v>
      </c>
      <c r="D52" s="330"/>
      <c r="E52" s="330"/>
      <c r="F52" s="259" t="s">
        <v>177</v>
      </c>
      <c r="G52" s="260">
        <v>1</v>
      </c>
      <c r="H52" s="260">
        <v>0</v>
      </c>
      <c r="I52" s="260">
        <f>G52*AO52</f>
        <v>0</v>
      </c>
      <c r="J52" s="260">
        <f>G52*AP52</f>
        <v>0</v>
      </c>
      <c r="K52" s="260">
        <f>G52*H52</f>
        <v>0</v>
      </c>
      <c r="L52" s="261" t="s">
        <v>402</v>
      </c>
      <c r="Z52" s="262">
        <f>IF(AQ52="5",BJ52,0)</f>
        <v>0</v>
      </c>
      <c r="AB52" s="262">
        <f>IF(AQ52="1",BH52,0)</f>
        <v>0</v>
      </c>
      <c r="AC52" s="262">
        <f>IF(AQ52="1",BI52,0)</f>
        <v>0</v>
      </c>
      <c r="AD52" s="262">
        <f>IF(AQ52="7",BH52,0)</f>
        <v>0</v>
      </c>
      <c r="AE52" s="262">
        <f>IF(AQ52="7",BI52,0)</f>
        <v>0</v>
      </c>
      <c r="AF52" s="262">
        <f>IF(AQ52="2",BH52,0)</f>
        <v>0</v>
      </c>
      <c r="AG52" s="262">
        <f>IF(AQ52="2",BI52,0)</f>
        <v>0</v>
      </c>
      <c r="AH52" s="262">
        <f>IF(AQ52="0",BJ52,0)</f>
        <v>0</v>
      </c>
      <c r="AI52" s="253"/>
      <c r="AJ52" s="260">
        <f>IF(AN52=0,K52,0)</f>
        <v>0</v>
      </c>
      <c r="AK52" s="260">
        <f>IF(AN52=15,K52,0)</f>
        <v>0</v>
      </c>
      <c r="AL52" s="260">
        <f>IF(AN52=21,K52,0)</f>
        <v>0</v>
      </c>
      <c r="AN52" s="262">
        <v>21</v>
      </c>
      <c r="AO52" s="262">
        <f>H52*0</f>
        <v>0</v>
      </c>
      <c r="AP52" s="262">
        <f>H52*(1-0)</f>
        <v>0</v>
      </c>
      <c r="AQ52" s="261" t="s">
        <v>413</v>
      </c>
      <c r="AV52" s="262">
        <f>AW52+AX52</f>
        <v>0</v>
      </c>
      <c r="AW52" s="262">
        <f>G52*AO52</f>
        <v>0</v>
      </c>
      <c r="AX52" s="262">
        <f>G52*AP52</f>
        <v>0</v>
      </c>
      <c r="AY52" s="263" t="s">
        <v>481</v>
      </c>
      <c r="AZ52" s="263" t="s">
        <v>404</v>
      </c>
      <c r="BA52" s="253" t="s">
        <v>395</v>
      </c>
      <c r="BC52" s="262">
        <f>AW52+AX52</f>
        <v>0</v>
      </c>
      <c r="BD52" s="262">
        <f>H52/(100-BE52)*100</f>
        <v>0</v>
      </c>
      <c r="BE52" s="262">
        <v>0</v>
      </c>
      <c r="BF52" s="262">
        <f>52</f>
        <v>52</v>
      </c>
      <c r="BH52" s="260">
        <f>G52*AO52</f>
        <v>0</v>
      </c>
      <c r="BI52" s="260">
        <f>G52*AP52</f>
        <v>0</v>
      </c>
      <c r="BJ52" s="260">
        <f>G52*H52</f>
        <v>0</v>
      </c>
    </row>
    <row r="53" spans="1:62" x14ac:dyDescent="0.2">
      <c r="A53" s="259" t="s">
        <v>492</v>
      </c>
      <c r="B53" s="259" t="s">
        <v>493</v>
      </c>
      <c r="C53" s="330" t="s">
        <v>494</v>
      </c>
      <c r="D53" s="330"/>
      <c r="E53" s="330"/>
      <c r="F53" s="259" t="s">
        <v>177</v>
      </c>
      <c r="G53" s="260">
        <v>1</v>
      </c>
      <c r="H53" s="260">
        <v>0</v>
      </c>
      <c r="I53" s="260">
        <f>G53*AO53</f>
        <v>0</v>
      </c>
      <c r="J53" s="260">
        <f>G53*AP53</f>
        <v>0</v>
      </c>
      <c r="K53" s="260">
        <f>G53*H53</f>
        <v>0</v>
      </c>
      <c r="L53" s="261" t="s">
        <v>402</v>
      </c>
      <c r="Z53" s="262">
        <f>IF(AQ53="5",BJ53,0)</f>
        <v>0</v>
      </c>
      <c r="AB53" s="262">
        <f>IF(AQ53="1",BH53,0)</f>
        <v>0</v>
      </c>
      <c r="AC53" s="262">
        <f>IF(AQ53="1",BI53,0)</f>
        <v>0</v>
      </c>
      <c r="AD53" s="262">
        <f>IF(AQ53="7",BH53,0)</f>
        <v>0</v>
      </c>
      <c r="AE53" s="262">
        <f>IF(AQ53="7",BI53,0)</f>
        <v>0</v>
      </c>
      <c r="AF53" s="262">
        <f>IF(AQ53="2",BH53,0)</f>
        <v>0</v>
      </c>
      <c r="AG53" s="262">
        <f>IF(AQ53="2",BI53,0)</f>
        <v>0</v>
      </c>
      <c r="AH53" s="262">
        <f>IF(AQ53="0",BJ53,0)</f>
        <v>0</v>
      </c>
      <c r="AI53" s="253"/>
      <c r="AJ53" s="260">
        <f>IF(AN53=0,K53,0)</f>
        <v>0</v>
      </c>
      <c r="AK53" s="260">
        <f>IF(AN53=15,K53,0)</f>
        <v>0</v>
      </c>
      <c r="AL53" s="260">
        <f>IF(AN53=21,K53,0)</f>
        <v>0</v>
      </c>
      <c r="AN53" s="262">
        <v>21</v>
      </c>
      <c r="AO53" s="262">
        <f>H53*0</f>
        <v>0</v>
      </c>
      <c r="AP53" s="262">
        <f>H53*(1-0)</f>
        <v>0</v>
      </c>
      <c r="AQ53" s="261" t="s">
        <v>413</v>
      </c>
      <c r="AV53" s="262">
        <f>AW53+AX53</f>
        <v>0</v>
      </c>
      <c r="AW53" s="262">
        <f>G53*AO53</f>
        <v>0</v>
      </c>
      <c r="AX53" s="262">
        <f>G53*AP53</f>
        <v>0</v>
      </c>
      <c r="AY53" s="263" t="s">
        <v>481</v>
      </c>
      <c r="AZ53" s="263" t="s">
        <v>404</v>
      </c>
      <c r="BA53" s="253" t="s">
        <v>395</v>
      </c>
      <c r="BC53" s="262">
        <f>AW53+AX53</f>
        <v>0</v>
      </c>
      <c r="BD53" s="262">
        <f>H53/(100-BE53)*100</f>
        <v>0</v>
      </c>
      <c r="BE53" s="262">
        <v>0</v>
      </c>
      <c r="BF53" s="262">
        <f>53</f>
        <v>53</v>
      </c>
      <c r="BH53" s="260">
        <f>G53*AO53</f>
        <v>0</v>
      </c>
      <c r="BI53" s="260">
        <f>G53*AP53</f>
        <v>0</v>
      </c>
      <c r="BJ53" s="260">
        <f>G53*H53</f>
        <v>0</v>
      </c>
    </row>
    <row r="54" spans="1:62" x14ac:dyDescent="0.2">
      <c r="A54" s="264"/>
      <c r="B54" s="265"/>
      <c r="C54" s="338" t="s">
        <v>495</v>
      </c>
      <c r="D54" s="338"/>
      <c r="E54" s="338"/>
      <c r="F54" s="264" t="s">
        <v>352</v>
      </c>
      <c r="G54" s="264" t="s">
        <v>352</v>
      </c>
      <c r="H54" s="264" t="s">
        <v>352</v>
      </c>
      <c r="I54" s="258">
        <f>SUM(I55:I127)</f>
        <v>0</v>
      </c>
      <c r="J54" s="258">
        <f>SUM(J55:J127)</f>
        <v>0</v>
      </c>
      <c r="K54" s="258">
        <f>SUM(K55:K127)</f>
        <v>0</v>
      </c>
      <c r="L54" s="253"/>
      <c r="AI54" s="253"/>
      <c r="AS54" s="258">
        <f>SUM(AJ55:AJ104)</f>
        <v>0</v>
      </c>
      <c r="AT54" s="258">
        <f>SUM(AK55:AK104)</f>
        <v>0</v>
      </c>
      <c r="AU54" s="258">
        <f>SUM(AL55:AL104)</f>
        <v>0</v>
      </c>
    </row>
    <row r="55" spans="1:62" x14ac:dyDescent="0.2">
      <c r="A55" s="267" t="s">
        <v>496</v>
      </c>
      <c r="B55" s="267" t="s">
        <v>497</v>
      </c>
      <c r="C55" s="339" t="s">
        <v>498</v>
      </c>
      <c r="D55" s="339"/>
      <c r="E55" s="339"/>
      <c r="F55" s="267" t="s">
        <v>499</v>
      </c>
      <c r="G55" s="268">
        <v>2</v>
      </c>
      <c r="H55" s="268">
        <v>0</v>
      </c>
      <c r="I55" s="268">
        <f>G55*AO55</f>
        <v>0</v>
      </c>
      <c r="J55" s="268">
        <f>G55*AP55</f>
        <v>0</v>
      </c>
      <c r="K55" s="268">
        <f>G55*H55</f>
        <v>0</v>
      </c>
      <c r="L55" s="269"/>
      <c r="Z55" s="262">
        <f>IF(AQ55="5",BJ55,0)</f>
        <v>0</v>
      </c>
      <c r="AB55" s="262">
        <f>IF(AQ55="1",BH55,0)</f>
        <v>0</v>
      </c>
      <c r="AC55" s="262">
        <f>IF(AQ55="1",BI55,0)</f>
        <v>0</v>
      </c>
      <c r="AD55" s="262">
        <f>IF(AQ55="7",BH55,0)</f>
        <v>0</v>
      </c>
      <c r="AE55" s="262">
        <f>IF(AQ55="7",BI55,0)</f>
        <v>0</v>
      </c>
      <c r="AF55" s="262">
        <f>IF(AQ55="2",BH55,0)</f>
        <v>0</v>
      </c>
      <c r="AG55" s="262">
        <f>IF(AQ55="2",BI55,0)</f>
        <v>0</v>
      </c>
      <c r="AH55" s="262">
        <f>IF(AQ55="0",BJ55,0)</f>
        <v>0</v>
      </c>
      <c r="AI55" s="253"/>
      <c r="AJ55" s="268">
        <f>IF(AN55=0,K55,0)</f>
        <v>0</v>
      </c>
      <c r="AK55" s="268">
        <f>IF(AN55=15,K55,0)</f>
        <v>0</v>
      </c>
      <c r="AL55" s="268">
        <f>IF(AN55=21,K55,0)</f>
        <v>0</v>
      </c>
      <c r="AN55" s="262">
        <v>21</v>
      </c>
      <c r="AO55" s="262">
        <f>H55*1</f>
        <v>0</v>
      </c>
      <c r="AP55" s="262">
        <f>H55*(1-1)</f>
        <v>0</v>
      </c>
      <c r="AQ55" s="269" t="s">
        <v>388</v>
      </c>
      <c r="AV55" s="262">
        <f>AW55+AX55</f>
        <v>0</v>
      </c>
      <c r="AW55" s="262">
        <f>G55*AO55</f>
        <v>0</v>
      </c>
      <c r="AX55" s="262">
        <f>G55*AP55</f>
        <v>0</v>
      </c>
      <c r="AY55" s="263" t="s">
        <v>500</v>
      </c>
      <c r="AZ55" s="263" t="s">
        <v>501</v>
      </c>
      <c r="BA55" s="253" t="s">
        <v>395</v>
      </c>
      <c r="BC55" s="262">
        <f>AW55+AX55</f>
        <v>0</v>
      </c>
      <c r="BD55" s="262">
        <f>H55/(100-BE55)*100</f>
        <v>0</v>
      </c>
      <c r="BE55" s="262">
        <v>0</v>
      </c>
      <c r="BF55" s="262">
        <f>55</f>
        <v>55</v>
      </c>
      <c r="BH55" s="268">
        <f>G55*AO55</f>
        <v>0</v>
      </c>
      <c r="BI55" s="268">
        <f>G55*AP55</f>
        <v>0</v>
      </c>
      <c r="BJ55" s="268">
        <f>G55*H55</f>
        <v>0</v>
      </c>
    </row>
    <row r="56" spans="1:62" x14ac:dyDescent="0.2">
      <c r="A56" s="267" t="s">
        <v>125</v>
      </c>
      <c r="B56" s="267" t="s">
        <v>502</v>
      </c>
      <c r="C56" s="339" t="s">
        <v>503</v>
      </c>
      <c r="D56" s="339"/>
      <c r="E56" s="339"/>
      <c r="F56" s="267" t="s">
        <v>499</v>
      </c>
      <c r="G56" s="268">
        <v>2</v>
      </c>
      <c r="H56" s="268">
        <v>0</v>
      </c>
      <c r="I56" s="268">
        <f>G56*AO56</f>
        <v>0</v>
      </c>
      <c r="J56" s="268">
        <f>G56*AP56</f>
        <v>0</v>
      </c>
      <c r="K56" s="268">
        <f>G56*H56</f>
        <v>0</v>
      </c>
      <c r="L56" s="269"/>
      <c r="Z56" s="262">
        <f>IF(AQ56="5",BJ56,0)</f>
        <v>0</v>
      </c>
      <c r="AB56" s="262">
        <f>IF(AQ56="1",BH56,0)</f>
        <v>0</v>
      </c>
      <c r="AC56" s="262">
        <f>IF(AQ56="1",BI56,0)</f>
        <v>0</v>
      </c>
      <c r="AD56" s="262">
        <f>IF(AQ56="7",BH56,0)</f>
        <v>0</v>
      </c>
      <c r="AE56" s="262">
        <f>IF(AQ56="7",BI56,0)</f>
        <v>0</v>
      </c>
      <c r="AF56" s="262">
        <f>IF(AQ56="2",BH56,0)</f>
        <v>0</v>
      </c>
      <c r="AG56" s="262">
        <f>IF(AQ56="2",BI56,0)</f>
        <v>0</v>
      </c>
      <c r="AH56" s="262">
        <f>IF(AQ56="0",BJ56,0)</f>
        <v>0</v>
      </c>
      <c r="AI56" s="253"/>
      <c r="AJ56" s="268">
        <f>IF(AN56=0,K56,0)</f>
        <v>0</v>
      </c>
      <c r="AK56" s="268">
        <f>IF(AN56=15,K56,0)</f>
        <v>0</v>
      </c>
      <c r="AL56" s="268">
        <f>IF(AN56=21,K56,0)</f>
        <v>0</v>
      </c>
      <c r="AN56" s="262">
        <v>21</v>
      </c>
      <c r="AO56" s="262">
        <f>H56*1</f>
        <v>0</v>
      </c>
      <c r="AP56" s="262">
        <f>H56*(1-1)</f>
        <v>0</v>
      </c>
      <c r="AQ56" s="269" t="s">
        <v>388</v>
      </c>
      <c r="AV56" s="262">
        <f>AW56+AX56</f>
        <v>0</v>
      </c>
      <c r="AW56" s="262">
        <f>G56*AO56</f>
        <v>0</v>
      </c>
      <c r="AX56" s="262">
        <f>G56*AP56</f>
        <v>0</v>
      </c>
      <c r="AY56" s="263" t="s">
        <v>500</v>
      </c>
      <c r="AZ56" s="263" t="s">
        <v>501</v>
      </c>
      <c r="BA56" s="253" t="s">
        <v>395</v>
      </c>
      <c r="BC56" s="262">
        <f>AW56+AX56</f>
        <v>0</v>
      </c>
      <c r="BD56" s="262">
        <f>H56/(100-BE56)*100</f>
        <v>0</v>
      </c>
      <c r="BE56" s="262">
        <v>0</v>
      </c>
      <c r="BF56" s="262">
        <f>56</f>
        <v>56</v>
      </c>
      <c r="BH56" s="268">
        <f>G56*AO56</f>
        <v>0</v>
      </c>
      <c r="BI56" s="268">
        <f>G56*AP56</f>
        <v>0</v>
      </c>
      <c r="BJ56" s="268">
        <f>G56*H56</f>
        <v>0</v>
      </c>
    </row>
    <row r="57" spans="1:62" x14ac:dyDescent="0.2">
      <c r="A57" s="267" t="s">
        <v>504</v>
      </c>
      <c r="B57" s="267" t="s">
        <v>505</v>
      </c>
      <c r="C57" s="339" t="s">
        <v>506</v>
      </c>
      <c r="D57" s="339"/>
      <c r="E57" s="339"/>
      <c r="F57" s="267" t="s">
        <v>143</v>
      </c>
      <c r="G57" s="268">
        <v>130</v>
      </c>
      <c r="H57" s="268">
        <v>0</v>
      </c>
      <c r="I57" s="268">
        <f>G57*AO57</f>
        <v>0</v>
      </c>
      <c r="J57" s="268">
        <f>G57*AP57</f>
        <v>0</v>
      </c>
      <c r="K57" s="268">
        <f>G57*H57</f>
        <v>0</v>
      </c>
      <c r="L57" s="269" t="s">
        <v>402</v>
      </c>
      <c r="Z57" s="262">
        <f>IF(AQ57="5",BJ57,0)</f>
        <v>0</v>
      </c>
      <c r="AB57" s="262">
        <f>IF(AQ57="1",BH57,0)</f>
        <v>0</v>
      </c>
      <c r="AC57" s="262">
        <f>IF(AQ57="1",BI57,0)</f>
        <v>0</v>
      </c>
      <c r="AD57" s="262">
        <f>IF(AQ57="7",BH57,0)</f>
        <v>0</v>
      </c>
      <c r="AE57" s="262">
        <f>IF(AQ57="7",BI57,0)</f>
        <v>0</v>
      </c>
      <c r="AF57" s="262">
        <f>IF(AQ57="2",BH57,0)</f>
        <v>0</v>
      </c>
      <c r="AG57" s="262">
        <f>IF(AQ57="2",BI57,0)</f>
        <v>0</v>
      </c>
      <c r="AH57" s="262">
        <f>IF(AQ57="0",BJ57,0)</f>
        <v>0</v>
      </c>
      <c r="AI57" s="253"/>
      <c r="AJ57" s="268">
        <f>IF(AN57=0,K57,0)</f>
        <v>0</v>
      </c>
      <c r="AK57" s="268">
        <f>IF(AN57=15,K57,0)</f>
        <v>0</v>
      </c>
      <c r="AL57" s="268">
        <f>IF(AN57=21,K57,0)</f>
        <v>0</v>
      </c>
      <c r="AN57" s="262">
        <v>21</v>
      </c>
      <c r="AO57" s="262">
        <f>H57*1</f>
        <v>0</v>
      </c>
      <c r="AP57" s="262">
        <f>H57*(1-1)</f>
        <v>0</v>
      </c>
      <c r="AQ57" s="269" t="s">
        <v>388</v>
      </c>
      <c r="AV57" s="262">
        <f>AW57+AX57</f>
        <v>0</v>
      </c>
      <c r="AW57" s="262">
        <f>G57*AO57</f>
        <v>0</v>
      </c>
      <c r="AX57" s="262">
        <f>G57*AP57</f>
        <v>0</v>
      </c>
      <c r="AY57" s="263" t="s">
        <v>500</v>
      </c>
      <c r="AZ57" s="263" t="s">
        <v>501</v>
      </c>
      <c r="BA57" s="253" t="s">
        <v>395</v>
      </c>
      <c r="BC57" s="262">
        <f>AW57+AX57</f>
        <v>0</v>
      </c>
      <c r="BD57" s="262">
        <f>H57/(100-BE57)*100</f>
        <v>0</v>
      </c>
      <c r="BE57" s="262">
        <v>0</v>
      </c>
      <c r="BF57" s="262">
        <f>57</f>
        <v>57</v>
      </c>
      <c r="BH57" s="268">
        <f>G57*AO57</f>
        <v>0</v>
      </c>
      <c r="BI57" s="268">
        <f>G57*AP57</f>
        <v>0</v>
      </c>
      <c r="BJ57" s="268">
        <f>G57*H57</f>
        <v>0</v>
      </c>
    </row>
    <row r="58" spans="1:62" x14ac:dyDescent="0.2">
      <c r="B58" s="266" t="s">
        <v>408</v>
      </c>
      <c r="C58" s="337" t="s">
        <v>507</v>
      </c>
      <c r="D58" s="337"/>
      <c r="E58" s="337"/>
      <c r="F58" s="337"/>
      <c r="G58" s="337"/>
      <c r="H58" s="337"/>
      <c r="I58" s="337"/>
      <c r="J58" s="337"/>
      <c r="K58" s="337"/>
      <c r="L58" s="337"/>
    </row>
    <row r="59" spans="1:62" x14ac:dyDescent="0.2">
      <c r="A59" s="267" t="s">
        <v>508</v>
      </c>
      <c r="B59" s="267" t="s">
        <v>509</v>
      </c>
      <c r="C59" s="339" t="s">
        <v>510</v>
      </c>
      <c r="D59" s="339"/>
      <c r="E59" s="339"/>
      <c r="F59" s="267" t="s">
        <v>143</v>
      </c>
      <c r="G59" s="268">
        <v>50</v>
      </c>
      <c r="H59" s="268">
        <v>0</v>
      </c>
      <c r="I59" s="268">
        <f>G59*AO59</f>
        <v>0</v>
      </c>
      <c r="J59" s="268">
        <f>G59*AP59</f>
        <v>0</v>
      </c>
      <c r="K59" s="268">
        <f>G59*H59</f>
        <v>0</v>
      </c>
      <c r="L59" s="269" t="s">
        <v>402</v>
      </c>
      <c r="Z59" s="262">
        <f>IF(AQ59="5",BJ59,0)</f>
        <v>0</v>
      </c>
      <c r="AB59" s="262">
        <f>IF(AQ59="1",BH59,0)</f>
        <v>0</v>
      </c>
      <c r="AC59" s="262">
        <f>IF(AQ59="1",BI59,0)</f>
        <v>0</v>
      </c>
      <c r="AD59" s="262">
        <f>IF(AQ59="7",BH59,0)</f>
        <v>0</v>
      </c>
      <c r="AE59" s="262">
        <f>IF(AQ59="7",BI59,0)</f>
        <v>0</v>
      </c>
      <c r="AF59" s="262">
        <f>IF(AQ59="2",BH59,0)</f>
        <v>0</v>
      </c>
      <c r="AG59" s="262">
        <f>IF(AQ59="2",BI59,0)</f>
        <v>0</v>
      </c>
      <c r="AH59" s="262">
        <f>IF(AQ59="0",BJ59,0)</f>
        <v>0</v>
      </c>
      <c r="AI59" s="253"/>
      <c r="AJ59" s="268">
        <f>IF(AN59=0,K59,0)</f>
        <v>0</v>
      </c>
      <c r="AK59" s="268">
        <f>IF(AN59=15,K59,0)</f>
        <v>0</v>
      </c>
      <c r="AL59" s="268">
        <f>IF(AN59=21,K59,0)</f>
        <v>0</v>
      </c>
      <c r="AN59" s="262">
        <v>21</v>
      </c>
      <c r="AO59" s="262">
        <f>H59*1</f>
        <v>0</v>
      </c>
      <c r="AP59" s="262">
        <f>H59*(1-1)</f>
        <v>0</v>
      </c>
      <c r="AQ59" s="269" t="s">
        <v>388</v>
      </c>
      <c r="AV59" s="262">
        <f>AW59+AX59</f>
        <v>0</v>
      </c>
      <c r="AW59" s="262">
        <f>G59*AO59</f>
        <v>0</v>
      </c>
      <c r="AX59" s="262">
        <f>G59*AP59</f>
        <v>0</v>
      </c>
      <c r="AY59" s="263" t="s">
        <v>500</v>
      </c>
      <c r="AZ59" s="263" t="s">
        <v>501</v>
      </c>
      <c r="BA59" s="253" t="s">
        <v>395</v>
      </c>
      <c r="BC59" s="262">
        <f>AW59+AX59</f>
        <v>0</v>
      </c>
      <c r="BD59" s="262">
        <f>H59/(100-BE59)*100</f>
        <v>0</v>
      </c>
      <c r="BE59" s="262">
        <v>0</v>
      </c>
      <c r="BF59" s="262">
        <f>59</f>
        <v>59</v>
      </c>
      <c r="BH59" s="268">
        <f>G59*AO59</f>
        <v>0</v>
      </c>
      <c r="BI59" s="268">
        <f>G59*AP59</f>
        <v>0</v>
      </c>
      <c r="BJ59" s="268">
        <f>G59*H59</f>
        <v>0</v>
      </c>
    </row>
    <row r="60" spans="1:62" x14ac:dyDescent="0.2">
      <c r="B60" s="266" t="s">
        <v>408</v>
      </c>
      <c r="C60" s="337" t="s">
        <v>507</v>
      </c>
      <c r="D60" s="337"/>
      <c r="E60" s="337"/>
      <c r="F60" s="337"/>
      <c r="G60" s="337"/>
      <c r="H60" s="337"/>
      <c r="I60" s="337"/>
      <c r="J60" s="337"/>
      <c r="K60" s="337"/>
      <c r="L60" s="337"/>
    </row>
    <row r="61" spans="1:62" x14ac:dyDescent="0.2">
      <c r="A61" s="267" t="s">
        <v>511</v>
      </c>
      <c r="B61" s="267" t="s">
        <v>512</v>
      </c>
      <c r="C61" s="339" t="s">
        <v>513</v>
      </c>
      <c r="D61" s="339"/>
      <c r="E61" s="339"/>
      <c r="F61" s="267" t="s">
        <v>143</v>
      </c>
      <c r="G61" s="268">
        <v>130</v>
      </c>
      <c r="H61" s="268">
        <v>0</v>
      </c>
      <c r="I61" s="268">
        <f>G61*AO61</f>
        <v>0</v>
      </c>
      <c r="J61" s="268">
        <f>G61*AP61</f>
        <v>0</v>
      </c>
      <c r="K61" s="268">
        <f>G61*H61</f>
        <v>0</v>
      </c>
      <c r="L61" s="269" t="s">
        <v>402</v>
      </c>
      <c r="Z61" s="262">
        <f>IF(AQ61="5",BJ61,0)</f>
        <v>0</v>
      </c>
      <c r="AB61" s="262">
        <f>IF(AQ61="1",BH61,0)</f>
        <v>0</v>
      </c>
      <c r="AC61" s="262">
        <f>IF(AQ61="1",BI61,0)</f>
        <v>0</v>
      </c>
      <c r="AD61" s="262">
        <f>IF(AQ61="7",BH61,0)</f>
        <v>0</v>
      </c>
      <c r="AE61" s="262">
        <f>IF(AQ61="7",BI61,0)</f>
        <v>0</v>
      </c>
      <c r="AF61" s="262">
        <f>IF(AQ61="2",BH61,0)</f>
        <v>0</v>
      </c>
      <c r="AG61" s="262">
        <f>IF(AQ61="2",BI61,0)</f>
        <v>0</v>
      </c>
      <c r="AH61" s="262">
        <f>IF(AQ61="0",BJ61,0)</f>
        <v>0</v>
      </c>
      <c r="AI61" s="253"/>
      <c r="AJ61" s="268">
        <f>IF(AN61=0,K61,0)</f>
        <v>0</v>
      </c>
      <c r="AK61" s="268">
        <f>IF(AN61=15,K61,0)</f>
        <v>0</v>
      </c>
      <c r="AL61" s="268">
        <f>IF(AN61=21,K61,0)</f>
        <v>0</v>
      </c>
      <c r="AN61" s="262">
        <v>21</v>
      </c>
      <c r="AO61" s="262">
        <f>H61*1</f>
        <v>0</v>
      </c>
      <c r="AP61" s="262">
        <f>H61*(1-1)</f>
        <v>0</v>
      </c>
      <c r="AQ61" s="269" t="s">
        <v>388</v>
      </c>
      <c r="AV61" s="262">
        <f>AW61+AX61</f>
        <v>0</v>
      </c>
      <c r="AW61" s="262">
        <f>G61*AO61</f>
        <v>0</v>
      </c>
      <c r="AX61" s="262">
        <f>G61*AP61</f>
        <v>0</v>
      </c>
      <c r="AY61" s="263" t="s">
        <v>500</v>
      </c>
      <c r="AZ61" s="263" t="s">
        <v>501</v>
      </c>
      <c r="BA61" s="253" t="s">
        <v>395</v>
      </c>
      <c r="BC61" s="262">
        <f>AW61+AX61</f>
        <v>0</v>
      </c>
      <c r="BD61" s="262">
        <f>H61/(100-BE61)*100</f>
        <v>0</v>
      </c>
      <c r="BE61" s="262">
        <v>0</v>
      </c>
      <c r="BF61" s="262">
        <f>61</f>
        <v>61</v>
      </c>
      <c r="BH61" s="268">
        <f>G61*AO61</f>
        <v>0</v>
      </c>
      <c r="BI61" s="268">
        <f>G61*AP61</f>
        <v>0</v>
      </c>
      <c r="BJ61" s="268">
        <f>G61*H61</f>
        <v>0</v>
      </c>
    </row>
    <row r="62" spans="1:62" x14ac:dyDescent="0.2">
      <c r="B62" s="266" t="s">
        <v>408</v>
      </c>
      <c r="C62" s="337" t="s">
        <v>507</v>
      </c>
      <c r="D62" s="337"/>
      <c r="E62" s="337"/>
      <c r="F62" s="337"/>
      <c r="G62" s="337"/>
      <c r="H62" s="337"/>
      <c r="I62" s="337"/>
      <c r="J62" s="337"/>
      <c r="K62" s="337"/>
      <c r="L62" s="337"/>
    </row>
    <row r="63" spans="1:62" x14ac:dyDescent="0.2">
      <c r="A63" s="267" t="s">
        <v>514</v>
      </c>
      <c r="B63" s="267" t="s">
        <v>515</v>
      </c>
      <c r="C63" s="339" t="s">
        <v>516</v>
      </c>
      <c r="D63" s="339"/>
      <c r="E63" s="339"/>
      <c r="F63" s="267" t="s">
        <v>143</v>
      </c>
      <c r="G63" s="268">
        <v>15</v>
      </c>
      <c r="H63" s="268">
        <v>0</v>
      </c>
      <c r="I63" s="268">
        <f>G63*AO63</f>
        <v>0</v>
      </c>
      <c r="J63" s="268">
        <f>G63*AP63</f>
        <v>0</v>
      </c>
      <c r="K63" s="268">
        <f>G63*H63</f>
        <v>0</v>
      </c>
      <c r="L63" s="269" t="s">
        <v>402</v>
      </c>
      <c r="Z63" s="262">
        <f>IF(AQ63="5",BJ63,0)</f>
        <v>0</v>
      </c>
      <c r="AB63" s="262">
        <f>IF(AQ63="1",BH63,0)</f>
        <v>0</v>
      </c>
      <c r="AC63" s="262">
        <f>IF(AQ63="1",BI63,0)</f>
        <v>0</v>
      </c>
      <c r="AD63" s="262">
        <f>IF(AQ63="7",BH63,0)</f>
        <v>0</v>
      </c>
      <c r="AE63" s="262">
        <f>IF(AQ63="7",BI63,0)</f>
        <v>0</v>
      </c>
      <c r="AF63" s="262">
        <f>IF(AQ63="2",BH63,0)</f>
        <v>0</v>
      </c>
      <c r="AG63" s="262">
        <f>IF(AQ63="2",BI63,0)</f>
        <v>0</v>
      </c>
      <c r="AH63" s="262">
        <f>IF(AQ63="0",BJ63,0)</f>
        <v>0</v>
      </c>
      <c r="AI63" s="253"/>
      <c r="AJ63" s="268">
        <f>IF(AN63=0,K63,0)</f>
        <v>0</v>
      </c>
      <c r="AK63" s="268">
        <f>IF(AN63=15,K63,0)</f>
        <v>0</v>
      </c>
      <c r="AL63" s="268">
        <f>IF(AN63=21,K63,0)</f>
        <v>0</v>
      </c>
      <c r="AN63" s="262">
        <v>21</v>
      </c>
      <c r="AO63" s="262">
        <f>H63*1</f>
        <v>0</v>
      </c>
      <c r="AP63" s="262">
        <f>H63*(1-1)</f>
        <v>0</v>
      </c>
      <c r="AQ63" s="269" t="s">
        <v>388</v>
      </c>
      <c r="AV63" s="262">
        <f>AW63+AX63</f>
        <v>0</v>
      </c>
      <c r="AW63" s="262">
        <f>G63*AO63</f>
        <v>0</v>
      </c>
      <c r="AX63" s="262">
        <f>G63*AP63</f>
        <v>0</v>
      </c>
      <c r="AY63" s="263" t="s">
        <v>500</v>
      </c>
      <c r="AZ63" s="263" t="s">
        <v>501</v>
      </c>
      <c r="BA63" s="253" t="s">
        <v>395</v>
      </c>
      <c r="BC63" s="262">
        <f>AW63+AX63</f>
        <v>0</v>
      </c>
      <c r="BD63" s="262">
        <f>H63/(100-BE63)*100</f>
        <v>0</v>
      </c>
      <c r="BE63" s="262">
        <v>0</v>
      </c>
      <c r="BF63" s="262">
        <f>63</f>
        <v>63</v>
      </c>
      <c r="BH63" s="268">
        <f>G63*AO63</f>
        <v>0</v>
      </c>
      <c r="BI63" s="268">
        <f>G63*AP63</f>
        <v>0</v>
      </c>
      <c r="BJ63" s="268">
        <f>G63*H63</f>
        <v>0</v>
      </c>
    </row>
    <row r="64" spans="1:62" x14ac:dyDescent="0.2">
      <c r="B64" s="266" t="s">
        <v>408</v>
      </c>
      <c r="C64" s="337" t="s">
        <v>507</v>
      </c>
      <c r="D64" s="337"/>
      <c r="E64" s="337"/>
      <c r="F64" s="337"/>
      <c r="G64" s="337"/>
      <c r="H64" s="337"/>
      <c r="I64" s="337"/>
      <c r="J64" s="337"/>
      <c r="K64" s="337"/>
      <c r="L64" s="337"/>
    </row>
    <row r="65" spans="1:62" x14ac:dyDescent="0.2">
      <c r="A65" s="267" t="s">
        <v>517</v>
      </c>
      <c r="B65" s="267" t="s">
        <v>518</v>
      </c>
      <c r="C65" s="339" t="s">
        <v>519</v>
      </c>
      <c r="D65" s="339"/>
      <c r="E65" s="339"/>
      <c r="F65" s="267" t="s">
        <v>143</v>
      </c>
      <c r="G65" s="268">
        <v>5</v>
      </c>
      <c r="H65" s="268">
        <v>0</v>
      </c>
      <c r="I65" s="268">
        <f>G65*AO65</f>
        <v>0</v>
      </c>
      <c r="J65" s="268">
        <f>G65*AP65</f>
        <v>0</v>
      </c>
      <c r="K65" s="268">
        <f>G65*H65</f>
        <v>0</v>
      </c>
      <c r="L65" s="269" t="s">
        <v>402</v>
      </c>
      <c r="Z65" s="262">
        <f>IF(AQ65="5",BJ65,0)</f>
        <v>0</v>
      </c>
      <c r="AB65" s="262">
        <f>IF(AQ65="1",BH65,0)</f>
        <v>0</v>
      </c>
      <c r="AC65" s="262">
        <f>IF(AQ65="1",BI65,0)</f>
        <v>0</v>
      </c>
      <c r="AD65" s="262">
        <f>IF(AQ65="7",BH65,0)</f>
        <v>0</v>
      </c>
      <c r="AE65" s="262">
        <f>IF(AQ65="7",BI65,0)</f>
        <v>0</v>
      </c>
      <c r="AF65" s="262">
        <f>IF(AQ65="2",BH65,0)</f>
        <v>0</v>
      </c>
      <c r="AG65" s="262">
        <f>IF(AQ65="2",BI65,0)</f>
        <v>0</v>
      </c>
      <c r="AH65" s="262">
        <f>IF(AQ65="0",BJ65,0)</f>
        <v>0</v>
      </c>
      <c r="AI65" s="253"/>
      <c r="AJ65" s="268">
        <f>IF(AN65=0,K65,0)</f>
        <v>0</v>
      </c>
      <c r="AK65" s="268">
        <f>IF(AN65=15,K65,0)</f>
        <v>0</v>
      </c>
      <c r="AL65" s="268">
        <f>IF(AN65=21,K65,0)</f>
        <v>0</v>
      </c>
      <c r="AN65" s="262">
        <v>21</v>
      </c>
      <c r="AO65" s="262">
        <f>H65*1</f>
        <v>0</v>
      </c>
      <c r="AP65" s="262">
        <f>H65*(1-1)</f>
        <v>0</v>
      </c>
      <c r="AQ65" s="269" t="s">
        <v>388</v>
      </c>
      <c r="AV65" s="262">
        <f>AW65+AX65</f>
        <v>0</v>
      </c>
      <c r="AW65" s="262">
        <f>G65*AO65</f>
        <v>0</v>
      </c>
      <c r="AX65" s="262">
        <f>G65*AP65</f>
        <v>0</v>
      </c>
      <c r="AY65" s="263" t="s">
        <v>500</v>
      </c>
      <c r="AZ65" s="263" t="s">
        <v>501</v>
      </c>
      <c r="BA65" s="253" t="s">
        <v>395</v>
      </c>
      <c r="BC65" s="262">
        <f>AW65+AX65</f>
        <v>0</v>
      </c>
      <c r="BD65" s="262">
        <f>H65/(100-BE65)*100</f>
        <v>0</v>
      </c>
      <c r="BE65" s="262">
        <v>0</v>
      </c>
      <c r="BF65" s="262">
        <f>65</f>
        <v>65</v>
      </c>
      <c r="BH65" s="268">
        <f>G65*AO65</f>
        <v>0</v>
      </c>
      <c r="BI65" s="268">
        <f>G65*AP65</f>
        <v>0</v>
      </c>
      <c r="BJ65" s="268">
        <f>G65*H65</f>
        <v>0</v>
      </c>
    </row>
    <row r="66" spans="1:62" x14ac:dyDescent="0.2">
      <c r="B66" s="266" t="s">
        <v>408</v>
      </c>
      <c r="C66" s="337" t="s">
        <v>507</v>
      </c>
      <c r="D66" s="337"/>
      <c r="E66" s="337"/>
      <c r="F66" s="337"/>
      <c r="G66" s="337"/>
      <c r="H66" s="337"/>
      <c r="I66" s="337"/>
      <c r="J66" s="337"/>
      <c r="K66" s="337"/>
      <c r="L66" s="337"/>
    </row>
    <row r="67" spans="1:62" x14ac:dyDescent="0.2">
      <c r="A67" s="267" t="s">
        <v>520</v>
      </c>
      <c r="B67" s="267" t="s">
        <v>521</v>
      </c>
      <c r="C67" s="339" t="s">
        <v>522</v>
      </c>
      <c r="D67" s="339"/>
      <c r="E67" s="339"/>
      <c r="F67" s="267" t="s">
        <v>499</v>
      </c>
      <c r="G67" s="268">
        <v>1</v>
      </c>
      <c r="H67" s="268">
        <v>0</v>
      </c>
      <c r="I67" s="268">
        <f>G67*AO67</f>
        <v>0</v>
      </c>
      <c r="J67" s="268">
        <f>G67*AP67</f>
        <v>0</v>
      </c>
      <c r="K67" s="268">
        <f>G67*H67</f>
        <v>0</v>
      </c>
      <c r="L67" s="269"/>
      <c r="Z67" s="262">
        <f>IF(AQ67="5",BJ67,0)</f>
        <v>0</v>
      </c>
      <c r="AB67" s="262">
        <f>IF(AQ67="1",BH67,0)</f>
        <v>0</v>
      </c>
      <c r="AC67" s="262">
        <f>IF(AQ67="1",BI67,0)</f>
        <v>0</v>
      </c>
      <c r="AD67" s="262">
        <f>IF(AQ67="7",BH67,0)</f>
        <v>0</v>
      </c>
      <c r="AE67" s="262">
        <f>IF(AQ67="7",BI67,0)</f>
        <v>0</v>
      </c>
      <c r="AF67" s="262">
        <f>IF(AQ67="2",BH67,0)</f>
        <v>0</v>
      </c>
      <c r="AG67" s="262">
        <f>IF(AQ67="2",BI67,0)</f>
        <v>0</v>
      </c>
      <c r="AH67" s="262">
        <f>IF(AQ67="0",BJ67,0)</f>
        <v>0</v>
      </c>
      <c r="AI67" s="253"/>
      <c r="AJ67" s="268">
        <f>IF(AN67=0,K67,0)</f>
        <v>0</v>
      </c>
      <c r="AK67" s="268">
        <f>IF(AN67=15,K67,0)</f>
        <v>0</v>
      </c>
      <c r="AL67" s="268">
        <f>IF(AN67=21,K67,0)</f>
        <v>0</v>
      </c>
      <c r="AN67" s="262">
        <v>21</v>
      </c>
      <c r="AO67" s="262">
        <f>H67*1</f>
        <v>0</v>
      </c>
      <c r="AP67" s="262">
        <f>H67*(1-1)</f>
        <v>0</v>
      </c>
      <c r="AQ67" s="269" t="s">
        <v>388</v>
      </c>
      <c r="AV67" s="262">
        <f>AW67+AX67</f>
        <v>0</v>
      </c>
      <c r="AW67" s="262">
        <f>G67*AO67</f>
        <v>0</v>
      </c>
      <c r="AX67" s="262">
        <f>G67*AP67</f>
        <v>0</v>
      </c>
      <c r="AY67" s="263" t="s">
        <v>500</v>
      </c>
      <c r="AZ67" s="263" t="s">
        <v>501</v>
      </c>
      <c r="BA67" s="253" t="s">
        <v>395</v>
      </c>
      <c r="BC67" s="262">
        <f>AW67+AX67</f>
        <v>0</v>
      </c>
      <c r="BD67" s="262">
        <f>H67/(100-BE67)*100</f>
        <v>0</v>
      </c>
      <c r="BE67" s="262">
        <v>0</v>
      </c>
      <c r="BF67" s="262">
        <f>67</f>
        <v>67</v>
      </c>
      <c r="BH67" s="268">
        <f>G67*AO67</f>
        <v>0</v>
      </c>
      <c r="BI67" s="268">
        <f>G67*AP67</f>
        <v>0</v>
      </c>
      <c r="BJ67" s="268">
        <f>G67*H67</f>
        <v>0</v>
      </c>
    </row>
    <row r="68" spans="1:62" x14ac:dyDescent="0.2">
      <c r="A68" s="267" t="s">
        <v>523</v>
      </c>
      <c r="B68" s="267" t="s">
        <v>524</v>
      </c>
      <c r="C68" s="339" t="s">
        <v>525</v>
      </c>
      <c r="D68" s="339"/>
      <c r="E68" s="339"/>
      <c r="F68" s="267" t="s">
        <v>499</v>
      </c>
      <c r="G68" s="268">
        <v>1</v>
      </c>
      <c r="H68" s="268">
        <v>0</v>
      </c>
      <c r="I68" s="268">
        <f>G68*AO68</f>
        <v>0</v>
      </c>
      <c r="J68" s="268">
        <f>G68*AP68</f>
        <v>0</v>
      </c>
      <c r="K68" s="268">
        <f>G68*H68</f>
        <v>0</v>
      </c>
      <c r="L68" s="269"/>
      <c r="Z68" s="262">
        <f>IF(AQ68="5",BJ68,0)</f>
        <v>0</v>
      </c>
      <c r="AB68" s="262">
        <f>IF(AQ68="1",BH68,0)</f>
        <v>0</v>
      </c>
      <c r="AC68" s="262">
        <f>IF(AQ68="1",BI68,0)</f>
        <v>0</v>
      </c>
      <c r="AD68" s="262">
        <f>IF(AQ68="7",BH68,0)</f>
        <v>0</v>
      </c>
      <c r="AE68" s="262">
        <f>IF(AQ68="7",BI68,0)</f>
        <v>0</v>
      </c>
      <c r="AF68" s="262">
        <f>IF(AQ68="2",BH68,0)</f>
        <v>0</v>
      </c>
      <c r="AG68" s="262">
        <f>IF(AQ68="2",BI68,0)</f>
        <v>0</v>
      </c>
      <c r="AH68" s="262">
        <f>IF(AQ68="0",BJ68,0)</f>
        <v>0</v>
      </c>
      <c r="AI68" s="253"/>
      <c r="AJ68" s="268">
        <f>IF(AN68=0,K68,0)</f>
        <v>0</v>
      </c>
      <c r="AK68" s="268">
        <f>IF(AN68=15,K68,0)</f>
        <v>0</v>
      </c>
      <c r="AL68" s="268">
        <f>IF(AN68=21,K68,0)</f>
        <v>0</v>
      </c>
      <c r="AN68" s="262">
        <v>21</v>
      </c>
      <c r="AO68" s="262">
        <f>H68*1</f>
        <v>0</v>
      </c>
      <c r="AP68" s="262">
        <f>H68*(1-1)</f>
        <v>0</v>
      </c>
      <c r="AQ68" s="269" t="s">
        <v>388</v>
      </c>
      <c r="AV68" s="262">
        <f>AW68+AX68</f>
        <v>0</v>
      </c>
      <c r="AW68" s="262">
        <f>G68*AO68</f>
        <v>0</v>
      </c>
      <c r="AX68" s="262">
        <f>G68*AP68</f>
        <v>0</v>
      </c>
      <c r="AY68" s="263" t="s">
        <v>500</v>
      </c>
      <c r="AZ68" s="263" t="s">
        <v>501</v>
      </c>
      <c r="BA68" s="253" t="s">
        <v>395</v>
      </c>
      <c r="BC68" s="262">
        <f>AW68+AX68</f>
        <v>0</v>
      </c>
      <c r="BD68" s="262">
        <f>H68/(100-BE68)*100</f>
        <v>0</v>
      </c>
      <c r="BE68" s="262">
        <v>0</v>
      </c>
      <c r="BF68" s="262">
        <f>68</f>
        <v>68</v>
      </c>
      <c r="BH68" s="268">
        <f>G68*AO68</f>
        <v>0</v>
      </c>
      <c r="BI68" s="268">
        <f>G68*AP68</f>
        <v>0</v>
      </c>
      <c r="BJ68" s="268">
        <f>G68*H68</f>
        <v>0</v>
      </c>
    </row>
    <row r="69" spans="1:62" x14ac:dyDescent="0.2">
      <c r="B69" s="266" t="s">
        <v>408</v>
      </c>
      <c r="C69" s="337" t="s">
        <v>526</v>
      </c>
      <c r="D69" s="337"/>
      <c r="E69" s="337"/>
      <c r="F69" s="337"/>
      <c r="G69" s="337"/>
      <c r="H69" s="337"/>
      <c r="I69" s="337"/>
      <c r="J69" s="337"/>
      <c r="K69" s="337"/>
      <c r="L69" s="337"/>
    </row>
    <row r="70" spans="1:62" x14ac:dyDescent="0.2">
      <c r="A70" s="267" t="s">
        <v>527</v>
      </c>
      <c r="B70" s="267" t="s">
        <v>528</v>
      </c>
      <c r="C70" s="339" t="s">
        <v>529</v>
      </c>
      <c r="D70" s="339"/>
      <c r="E70" s="339"/>
      <c r="F70" s="267" t="s">
        <v>499</v>
      </c>
      <c r="G70" s="268">
        <v>3</v>
      </c>
      <c r="H70" s="268">
        <v>0</v>
      </c>
      <c r="I70" s="268">
        <f>G70*AO70</f>
        <v>0</v>
      </c>
      <c r="J70" s="268">
        <f>G70*AP70</f>
        <v>0</v>
      </c>
      <c r="K70" s="268">
        <f>G70*H70</f>
        <v>0</v>
      </c>
      <c r="L70" s="269"/>
      <c r="Z70" s="262">
        <f>IF(AQ70="5",BJ70,0)</f>
        <v>0</v>
      </c>
      <c r="AB70" s="262">
        <f>IF(AQ70="1",BH70,0)</f>
        <v>0</v>
      </c>
      <c r="AC70" s="262">
        <f>IF(AQ70="1",BI70,0)</f>
        <v>0</v>
      </c>
      <c r="AD70" s="262">
        <f>IF(AQ70="7",BH70,0)</f>
        <v>0</v>
      </c>
      <c r="AE70" s="262">
        <f>IF(AQ70="7",BI70,0)</f>
        <v>0</v>
      </c>
      <c r="AF70" s="262">
        <f>IF(AQ70="2",BH70,0)</f>
        <v>0</v>
      </c>
      <c r="AG70" s="262">
        <f>IF(AQ70="2",BI70,0)</f>
        <v>0</v>
      </c>
      <c r="AH70" s="262">
        <f>IF(AQ70="0",BJ70,0)</f>
        <v>0</v>
      </c>
      <c r="AI70" s="253"/>
      <c r="AJ70" s="268">
        <f>IF(AN70=0,K70,0)</f>
        <v>0</v>
      </c>
      <c r="AK70" s="268">
        <f>IF(AN70=15,K70,0)</f>
        <v>0</v>
      </c>
      <c r="AL70" s="268">
        <f>IF(AN70=21,K70,0)</f>
        <v>0</v>
      </c>
      <c r="AN70" s="262">
        <v>21</v>
      </c>
      <c r="AO70" s="262">
        <f>H70*1</f>
        <v>0</v>
      </c>
      <c r="AP70" s="262">
        <f>H70*(1-1)</f>
        <v>0</v>
      </c>
      <c r="AQ70" s="269" t="s">
        <v>388</v>
      </c>
      <c r="AV70" s="262">
        <f>AW70+AX70</f>
        <v>0</v>
      </c>
      <c r="AW70" s="262">
        <f>G70*AO70</f>
        <v>0</v>
      </c>
      <c r="AX70" s="262">
        <f>G70*AP70</f>
        <v>0</v>
      </c>
      <c r="AY70" s="263" t="s">
        <v>500</v>
      </c>
      <c r="AZ70" s="263" t="s">
        <v>501</v>
      </c>
      <c r="BA70" s="253" t="s">
        <v>395</v>
      </c>
      <c r="BC70" s="262">
        <f>AW70+AX70</f>
        <v>0</v>
      </c>
      <c r="BD70" s="262">
        <f>H70/(100-BE70)*100</f>
        <v>0</v>
      </c>
      <c r="BE70" s="262">
        <v>0</v>
      </c>
      <c r="BF70" s="262">
        <f>70</f>
        <v>70</v>
      </c>
      <c r="BH70" s="268">
        <f>G70*AO70</f>
        <v>0</v>
      </c>
      <c r="BI70" s="268">
        <f>G70*AP70</f>
        <v>0</v>
      </c>
      <c r="BJ70" s="268">
        <f>G70*H70</f>
        <v>0</v>
      </c>
    </row>
    <row r="71" spans="1:62" x14ac:dyDescent="0.2">
      <c r="A71" s="267" t="s">
        <v>530</v>
      </c>
      <c r="B71" s="267" t="s">
        <v>531</v>
      </c>
      <c r="C71" s="339" t="s">
        <v>532</v>
      </c>
      <c r="D71" s="339"/>
      <c r="E71" s="339"/>
      <c r="F71" s="267" t="s">
        <v>499</v>
      </c>
      <c r="G71" s="268">
        <v>3</v>
      </c>
      <c r="H71" s="268">
        <v>0</v>
      </c>
      <c r="I71" s="268">
        <f>G71*AO71</f>
        <v>0</v>
      </c>
      <c r="J71" s="268">
        <f>G71*AP71</f>
        <v>0</v>
      </c>
      <c r="K71" s="268">
        <f>G71*H71</f>
        <v>0</v>
      </c>
      <c r="L71" s="269"/>
      <c r="Z71" s="262">
        <f>IF(AQ71="5",BJ71,0)</f>
        <v>0</v>
      </c>
      <c r="AB71" s="262">
        <f>IF(AQ71="1",BH71,0)</f>
        <v>0</v>
      </c>
      <c r="AC71" s="262">
        <f>IF(AQ71="1",BI71,0)</f>
        <v>0</v>
      </c>
      <c r="AD71" s="262">
        <f>IF(AQ71="7",BH71,0)</f>
        <v>0</v>
      </c>
      <c r="AE71" s="262">
        <f>IF(AQ71="7",BI71,0)</f>
        <v>0</v>
      </c>
      <c r="AF71" s="262">
        <f>IF(AQ71="2",BH71,0)</f>
        <v>0</v>
      </c>
      <c r="AG71" s="262">
        <f>IF(AQ71="2",BI71,0)</f>
        <v>0</v>
      </c>
      <c r="AH71" s="262">
        <f>IF(AQ71="0",BJ71,0)</f>
        <v>0</v>
      </c>
      <c r="AI71" s="253"/>
      <c r="AJ71" s="268">
        <f>IF(AN71=0,K71,0)</f>
        <v>0</v>
      </c>
      <c r="AK71" s="268">
        <f>IF(AN71=15,K71,0)</f>
        <v>0</v>
      </c>
      <c r="AL71" s="268">
        <f>IF(AN71=21,K71,0)</f>
        <v>0</v>
      </c>
      <c r="AN71" s="262">
        <v>21</v>
      </c>
      <c r="AO71" s="262">
        <f>H71*1</f>
        <v>0</v>
      </c>
      <c r="AP71" s="262">
        <f>H71*(1-1)</f>
        <v>0</v>
      </c>
      <c r="AQ71" s="269" t="s">
        <v>388</v>
      </c>
      <c r="AV71" s="262">
        <f>AW71+AX71</f>
        <v>0</v>
      </c>
      <c r="AW71" s="262">
        <f>G71*AO71</f>
        <v>0</v>
      </c>
      <c r="AX71" s="262">
        <f>G71*AP71</f>
        <v>0</v>
      </c>
      <c r="AY71" s="263" t="s">
        <v>500</v>
      </c>
      <c r="AZ71" s="263" t="s">
        <v>501</v>
      </c>
      <c r="BA71" s="253" t="s">
        <v>395</v>
      </c>
      <c r="BC71" s="262">
        <f>AW71+AX71</f>
        <v>0</v>
      </c>
      <c r="BD71" s="262">
        <f>H71/(100-BE71)*100</f>
        <v>0</v>
      </c>
      <c r="BE71" s="262">
        <v>0</v>
      </c>
      <c r="BF71" s="262">
        <f>71</f>
        <v>71</v>
      </c>
      <c r="BH71" s="268">
        <f>G71*AO71</f>
        <v>0</v>
      </c>
      <c r="BI71" s="268">
        <f>G71*AP71</f>
        <v>0</v>
      </c>
      <c r="BJ71" s="268">
        <f>G71*H71</f>
        <v>0</v>
      </c>
    </row>
    <row r="72" spans="1:62" x14ac:dyDescent="0.2">
      <c r="B72" s="266" t="s">
        <v>408</v>
      </c>
      <c r="C72" s="337" t="s">
        <v>526</v>
      </c>
      <c r="D72" s="337"/>
      <c r="E72" s="337"/>
      <c r="F72" s="337"/>
      <c r="G72" s="337"/>
      <c r="H72" s="337"/>
      <c r="I72" s="337"/>
      <c r="J72" s="337"/>
      <c r="K72" s="337"/>
      <c r="L72" s="337"/>
    </row>
    <row r="73" spans="1:62" x14ac:dyDescent="0.2">
      <c r="A73" s="267" t="s">
        <v>533</v>
      </c>
      <c r="B73" s="267" t="s">
        <v>534</v>
      </c>
      <c r="C73" s="339" t="s">
        <v>535</v>
      </c>
      <c r="D73" s="339"/>
      <c r="E73" s="339"/>
      <c r="F73" s="267" t="s">
        <v>499</v>
      </c>
      <c r="G73" s="268">
        <v>2</v>
      </c>
      <c r="H73" s="268">
        <v>0</v>
      </c>
      <c r="I73" s="268">
        <f>G73*AO73</f>
        <v>0</v>
      </c>
      <c r="J73" s="268">
        <f>G73*AP73</f>
        <v>0</v>
      </c>
      <c r="K73" s="268">
        <f>G73*H73</f>
        <v>0</v>
      </c>
      <c r="L73" s="269"/>
      <c r="Z73" s="262">
        <f>IF(AQ73="5",BJ73,0)</f>
        <v>0</v>
      </c>
      <c r="AB73" s="262">
        <f>IF(AQ73="1",BH73,0)</f>
        <v>0</v>
      </c>
      <c r="AC73" s="262">
        <f>IF(AQ73="1",BI73,0)</f>
        <v>0</v>
      </c>
      <c r="AD73" s="262">
        <f>IF(AQ73="7",BH73,0)</f>
        <v>0</v>
      </c>
      <c r="AE73" s="262">
        <f>IF(AQ73="7",BI73,0)</f>
        <v>0</v>
      </c>
      <c r="AF73" s="262">
        <f>IF(AQ73="2",BH73,0)</f>
        <v>0</v>
      </c>
      <c r="AG73" s="262">
        <f>IF(AQ73="2",BI73,0)</f>
        <v>0</v>
      </c>
      <c r="AH73" s="262">
        <f>IF(AQ73="0",BJ73,0)</f>
        <v>0</v>
      </c>
      <c r="AI73" s="253"/>
      <c r="AJ73" s="268">
        <f>IF(AN73=0,K73,0)</f>
        <v>0</v>
      </c>
      <c r="AK73" s="268">
        <f>IF(AN73=15,K73,0)</f>
        <v>0</v>
      </c>
      <c r="AL73" s="268">
        <f>IF(AN73=21,K73,0)</f>
        <v>0</v>
      </c>
      <c r="AN73" s="262">
        <v>21</v>
      </c>
      <c r="AO73" s="262">
        <f>H73*1</f>
        <v>0</v>
      </c>
      <c r="AP73" s="262">
        <f>H73*(1-1)</f>
        <v>0</v>
      </c>
      <c r="AQ73" s="269" t="s">
        <v>388</v>
      </c>
      <c r="AV73" s="262">
        <f>AW73+AX73</f>
        <v>0</v>
      </c>
      <c r="AW73" s="262">
        <f>G73*AO73</f>
        <v>0</v>
      </c>
      <c r="AX73" s="262">
        <f>G73*AP73</f>
        <v>0</v>
      </c>
      <c r="AY73" s="263" t="s">
        <v>500</v>
      </c>
      <c r="AZ73" s="263" t="s">
        <v>501</v>
      </c>
      <c r="BA73" s="253" t="s">
        <v>395</v>
      </c>
      <c r="BC73" s="262">
        <f>AW73+AX73</f>
        <v>0</v>
      </c>
      <c r="BD73" s="262">
        <f>H73/(100-BE73)*100</f>
        <v>0</v>
      </c>
      <c r="BE73" s="262">
        <v>0</v>
      </c>
      <c r="BF73" s="262">
        <f>73</f>
        <v>73</v>
      </c>
      <c r="BH73" s="268">
        <f>G73*AO73</f>
        <v>0</v>
      </c>
      <c r="BI73" s="268">
        <f>G73*AP73</f>
        <v>0</v>
      </c>
      <c r="BJ73" s="268">
        <f>G73*H73</f>
        <v>0</v>
      </c>
    </row>
    <row r="74" spans="1:62" x14ac:dyDescent="0.2">
      <c r="A74" s="267" t="s">
        <v>536</v>
      </c>
      <c r="B74" s="267" t="s">
        <v>537</v>
      </c>
      <c r="C74" s="339" t="s">
        <v>538</v>
      </c>
      <c r="D74" s="339"/>
      <c r="E74" s="339"/>
      <c r="F74" s="267" t="s">
        <v>499</v>
      </c>
      <c r="G74" s="268">
        <v>2</v>
      </c>
      <c r="H74" s="268">
        <v>0</v>
      </c>
      <c r="I74" s="268">
        <f>G74*AO74</f>
        <v>0</v>
      </c>
      <c r="J74" s="268">
        <f>G74*AP74</f>
        <v>0</v>
      </c>
      <c r="K74" s="268">
        <f>G74*H74</f>
        <v>0</v>
      </c>
      <c r="L74" s="269"/>
      <c r="Z74" s="262">
        <f>IF(AQ74="5",BJ74,0)</f>
        <v>0</v>
      </c>
      <c r="AB74" s="262">
        <f>IF(AQ74="1",BH74,0)</f>
        <v>0</v>
      </c>
      <c r="AC74" s="262">
        <f>IF(AQ74="1",BI74,0)</f>
        <v>0</v>
      </c>
      <c r="AD74" s="262">
        <f>IF(AQ74="7",BH74,0)</f>
        <v>0</v>
      </c>
      <c r="AE74" s="262">
        <f>IF(AQ74="7",BI74,0)</f>
        <v>0</v>
      </c>
      <c r="AF74" s="262">
        <f>IF(AQ74="2",BH74,0)</f>
        <v>0</v>
      </c>
      <c r="AG74" s="262">
        <f>IF(AQ74="2",BI74,0)</f>
        <v>0</v>
      </c>
      <c r="AH74" s="262">
        <f>IF(AQ74="0",BJ74,0)</f>
        <v>0</v>
      </c>
      <c r="AI74" s="253"/>
      <c r="AJ74" s="268">
        <f>IF(AN74=0,K74,0)</f>
        <v>0</v>
      </c>
      <c r="AK74" s="268">
        <f>IF(AN74=15,K74,0)</f>
        <v>0</v>
      </c>
      <c r="AL74" s="268">
        <f>IF(AN74=21,K74,0)</f>
        <v>0</v>
      </c>
      <c r="AN74" s="262">
        <v>21</v>
      </c>
      <c r="AO74" s="262">
        <f>H74*1</f>
        <v>0</v>
      </c>
      <c r="AP74" s="262">
        <f>H74*(1-1)</f>
        <v>0</v>
      </c>
      <c r="AQ74" s="269" t="s">
        <v>388</v>
      </c>
      <c r="AV74" s="262">
        <f>AW74+AX74</f>
        <v>0</v>
      </c>
      <c r="AW74" s="262">
        <f>G74*AO74</f>
        <v>0</v>
      </c>
      <c r="AX74" s="262">
        <f>G74*AP74</f>
        <v>0</v>
      </c>
      <c r="AY74" s="263" t="s">
        <v>500</v>
      </c>
      <c r="AZ74" s="263" t="s">
        <v>501</v>
      </c>
      <c r="BA74" s="253" t="s">
        <v>395</v>
      </c>
      <c r="BC74" s="262">
        <f>AW74+AX74</f>
        <v>0</v>
      </c>
      <c r="BD74" s="262">
        <f>H74/(100-BE74)*100</f>
        <v>0</v>
      </c>
      <c r="BE74" s="262">
        <v>0</v>
      </c>
      <c r="BF74" s="262">
        <f>74</f>
        <v>74</v>
      </c>
      <c r="BH74" s="268">
        <f>G74*AO74</f>
        <v>0</v>
      </c>
      <c r="BI74" s="268">
        <f>G74*AP74</f>
        <v>0</v>
      </c>
      <c r="BJ74" s="268">
        <f>G74*H74</f>
        <v>0</v>
      </c>
    </row>
    <row r="75" spans="1:62" x14ac:dyDescent="0.2">
      <c r="B75" s="266" t="s">
        <v>408</v>
      </c>
      <c r="C75" s="337" t="s">
        <v>526</v>
      </c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62" x14ac:dyDescent="0.2">
      <c r="A76" s="267" t="s">
        <v>539</v>
      </c>
      <c r="B76" s="267" t="s">
        <v>540</v>
      </c>
      <c r="C76" s="339" t="s">
        <v>541</v>
      </c>
      <c r="D76" s="339"/>
      <c r="E76" s="339"/>
      <c r="F76" s="267" t="s">
        <v>499</v>
      </c>
      <c r="G76" s="268">
        <v>1</v>
      </c>
      <c r="H76" s="268">
        <v>0</v>
      </c>
      <c r="I76" s="268">
        <f>G76*AO76</f>
        <v>0</v>
      </c>
      <c r="J76" s="268">
        <f>G76*AP76</f>
        <v>0</v>
      </c>
      <c r="K76" s="268">
        <f>G76*H76</f>
        <v>0</v>
      </c>
      <c r="L76" s="269"/>
      <c r="Z76" s="262">
        <f>IF(AQ76="5",BJ76,0)</f>
        <v>0</v>
      </c>
      <c r="AB76" s="262">
        <f>IF(AQ76="1",BH76,0)</f>
        <v>0</v>
      </c>
      <c r="AC76" s="262">
        <f>IF(AQ76="1",BI76,0)</f>
        <v>0</v>
      </c>
      <c r="AD76" s="262">
        <f>IF(AQ76="7",BH76,0)</f>
        <v>0</v>
      </c>
      <c r="AE76" s="262">
        <f>IF(AQ76="7",BI76,0)</f>
        <v>0</v>
      </c>
      <c r="AF76" s="262">
        <f>IF(AQ76="2",BH76,0)</f>
        <v>0</v>
      </c>
      <c r="AG76" s="262">
        <f>IF(AQ76="2",BI76,0)</f>
        <v>0</v>
      </c>
      <c r="AH76" s="262">
        <f>IF(AQ76="0",BJ76,0)</f>
        <v>0</v>
      </c>
      <c r="AI76" s="253"/>
      <c r="AJ76" s="268">
        <f>IF(AN76=0,K76,0)</f>
        <v>0</v>
      </c>
      <c r="AK76" s="268">
        <f>IF(AN76=15,K76,0)</f>
        <v>0</v>
      </c>
      <c r="AL76" s="268">
        <f>IF(AN76=21,K76,0)</f>
        <v>0</v>
      </c>
      <c r="AN76" s="262">
        <v>21</v>
      </c>
      <c r="AO76" s="262">
        <f>H76*1</f>
        <v>0</v>
      </c>
      <c r="AP76" s="262">
        <f>H76*(1-1)</f>
        <v>0</v>
      </c>
      <c r="AQ76" s="269" t="s">
        <v>388</v>
      </c>
      <c r="AV76" s="262">
        <f>AW76+AX76</f>
        <v>0</v>
      </c>
      <c r="AW76" s="262">
        <f>G76*AO76</f>
        <v>0</v>
      </c>
      <c r="AX76" s="262">
        <f>G76*AP76</f>
        <v>0</v>
      </c>
      <c r="AY76" s="263" t="s">
        <v>500</v>
      </c>
      <c r="AZ76" s="263" t="s">
        <v>501</v>
      </c>
      <c r="BA76" s="253" t="s">
        <v>395</v>
      </c>
      <c r="BC76" s="262">
        <f>AW76+AX76</f>
        <v>0</v>
      </c>
      <c r="BD76" s="262">
        <f>H76/(100-BE76)*100</f>
        <v>0</v>
      </c>
      <c r="BE76" s="262">
        <v>0</v>
      </c>
      <c r="BF76" s="262">
        <f>76</f>
        <v>76</v>
      </c>
      <c r="BH76" s="268">
        <f>G76*AO76</f>
        <v>0</v>
      </c>
      <c r="BI76" s="268">
        <f>G76*AP76</f>
        <v>0</v>
      </c>
      <c r="BJ76" s="268">
        <f>G76*H76</f>
        <v>0</v>
      </c>
    </row>
    <row r="77" spans="1:62" x14ac:dyDescent="0.2">
      <c r="B77" s="266" t="s">
        <v>408</v>
      </c>
      <c r="C77" s="337" t="s">
        <v>526</v>
      </c>
      <c r="D77" s="337"/>
      <c r="E77" s="337"/>
      <c r="F77" s="337"/>
      <c r="G77" s="337"/>
      <c r="H77" s="337"/>
      <c r="I77" s="337"/>
      <c r="J77" s="337"/>
      <c r="K77" s="337"/>
      <c r="L77" s="337"/>
    </row>
    <row r="78" spans="1:62" x14ac:dyDescent="0.2">
      <c r="A78" s="267" t="s">
        <v>542</v>
      </c>
      <c r="B78" s="267" t="s">
        <v>543</v>
      </c>
      <c r="C78" s="339" t="s">
        <v>544</v>
      </c>
      <c r="D78" s="339"/>
      <c r="E78" s="339"/>
      <c r="F78" s="267" t="s">
        <v>499</v>
      </c>
      <c r="G78" s="268">
        <v>2</v>
      </c>
      <c r="H78" s="268">
        <v>0</v>
      </c>
      <c r="I78" s="268">
        <f>G78*AO78</f>
        <v>0</v>
      </c>
      <c r="J78" s="268">
        <f>G78*AP78</f>
        <v>0</v>
      </c>
      <c r="K78" s="268">
        <f>G78*H78</f>
        <v>0</v>
      </c>
      <c r="L78" s="269"/>
      <c r="Z78" s="262">
        <f>IF(AQ78="5",BJ78,0)</f>
        <v>0</v>
      </c>
      <c r="AB78" s="262">
        <f>IF(AQ78="1",BH78,0)</f>
        <v>0</v>
      </c>
      <c r="AC78" s="262">
        <f>IF(AQ78="1",BI78,0)</f>
        <v>0</v>
      </c>
      <c r="AD78" s="262">
        <f>IF(AQ78="7",BH78,0)</f>
        <v>0</v>
      </c>
      <c r="AE78" s="262">
        <f>IF(AQ78="7",BI78,0)</f>
        <v>0</v>
      </c>
      <c r="AF78" s="262">
        <f>IF(AQ78="2",BH78,0)</f>
        <v>0</v>
      </c>
      <c r="AG78" s="262">
        <f>IF(AQ78="2",BI78,0)</f>
        <v>0</v>
      </c>
      <c r="AH78" s="262">
        <f>IF(AQ78="0",BJ78,0)</f>
        <v>0</v>
      </c>
      <c r="AI78" s="253"/>
      <c r="AJ78" s="268">
        <f>IF(AN78=0,K78,0)</f>
        <v>0</v>
      </c>
      <c r="AK78" s="268">
        <f>IF(AN78=15,K78,0)</f>
        <v>0</v>
      </c>
      <c r="AL78" s="268">
        <f>IF(AN78=21,K78,0)</f>
        <v>0</v>
      </c>
      <c r="AN78" s="262">
        <v>21</v>
      </c>
      <c r="AO78" s="262">
        <f>H78*1</f>
        <v>0</v>
      </c>
      <c r="AP78" s="262">
        <f>H78*(1-1)</f>
        <v>0</v>
      </c>
      <c r="AQ78" s="269" t="s">
        <v>388</v>
      </c>
      <c r="AV78" s="262">
        <f>AW78+AX78</f>
        <v>0</v>
      </c>
      <c r="AW78" s="262">
        <f>G78*AO78</f>
        <v>0</v>
      </c>
      <c r="AX78" s="262">
        <f>G78*AP78</f>
        <v>0</v>
      </c>
      <c r="AY78" s="263" t="s">
        <v>500</v>
      </c>
      <c r="AZ78" s="263" t="s">
        <v>501</v>
      </c>
      <c r="BA78" s="253" t="s">
        <v>395</v>
      </c>
      <c r="BC78" s="262">
        <f>AW78+AX78</f>
        <v>0</v>
      </c>
      <c r="BD78" s="262">
        <f>H78/(100-BE78)*100</f>
        <v>0</v>
      </c>
      <c r="BE78" s="262">
        <v>0</v>
      </c>
      <c r="BF78" s="262">
        <f>78</f>
        <v>78</v>
      </c>
      <c r="BH78" s="268">
        <f>G78*AO78</f>
        <v>0</v>
      </c>
      <c r="BI78" s="268">
        <f>G78*AP78</f>
        <v>0</v>
      </c>
      <c r="BJ78" s="268">
        <f>G78*H78</f>
        <v>0</v>
      </c>
    </row>
    <row r="79" spans="1:62" x14ac:dyDescent="0.2">
      <c r="B79" s="266" t="s">
        <v>408</v>
      </c>
      <c r="C79" s="337" t="s">
        <v>526</v>
      </c>
      <c r="D79" s="337"/>
      <c r="E79" s="337"/>
      <c r="F79" s="337"/>
      <c r="G79" s="337"/>
      <c r="H79" s="337"/>
      <c r="I79" s="337"/>
      <c r="J79" s="337"/>
      <c r="K79" s="337"/>
      <c r="L79" s="337"/>
    </row>
    <row r="80" spans="1:62" x14ac:dyDescent="0.2">
      <c r="A80" s="267" t="s">
        <v>545</v>
      </c>
      <c r="B80" s="267" t="s">
        <v>546</v>
      </c>
      <c r="C80" s="339" t="s">
        <v>547</v>
      </c>
      <c r="D80" s="339"/>
      <c r="E80" s="339"/>
      <c r="F80" s="267" t="s">
        <v>499</v>
      </c>
      <c r="G80" s="268">
        <v>5</v>
      </c>
      <c r="H80" s="268">
        <v>0</v>
      </c>
      <c r="I80" s="268">
        <f>G80*AO80</f>
        <v>0</v>
      </c>
      <c r="J80" s="268">
        <f>G80*AP80</f>
        <v>0</v>
      </c>
      <c r="K80" s="268">
        <f>G80*H80</f>
        <v>0</v>
      </c>
      <c r="L80" s="269"/>
      <c r="Z80" s="262">
        <f>IF(AQ80="5",BJ80,0)</f>
        <v>0</v>
      </c>
      <c r="AB80" s="262">
        <f>IF(AQ80="1",BH80,0)</f>
        <v>0</v>
      </c>
      <c r="AC80" s="262">
        <f>IF(AQ80="1",BI80,0)</f>
        <v>0</v>
      </c>
      <c r="AD80" s="262">
        <f>IF(AQ80="7",BH80,0)</f>
        <v>0</v>
      </c>
      <c r="AE80" s="262">
        <f>IF(AQ80="7",BI80,0)</f>
        <v>0</v>
      </c>
      <c r="AF80" s="262">
        <f>IF(AQ80="2",BH80,0)</f>
        <v>0</v>
      </c>
      <c r="AG80" s="262">
        <f>IF(AQ80="2",BI80,0)</f>
        <v>0</v>
      </c>
      <c r="AH80" s="262">
        <f>IF(AQ80="0",BJ80,0)</f>
        <v>0</v>
      </c>
      <c r="AI80" s="253"/>
      <c r="AJ80" s="268">
        <f>IF(AN80=0,K80,0)</f>
        <v>0</v>
      </c>
      <c r="AK80" s="268">
        <f>IF(AN80=15,K80,0)</f>
        <v>0</v>
      </c>
      <c r="AL80" s="268">
        <f>IF(AN80=21,K80,0)</f>
        <v>0</v>
      </c>
      <c r="AN80" s="262">
        <v>21</v>
      </c>
      <c r="AO80" s="262">
        <f>H80*1</f>
        <v>0</v>
      </c>
      <c r="AP80" s="262">
        <f>H80*(1-1)</f>
        <v>0</v>
      </c>
      <c r="AQ80" s="269" t="s">
        <v>388</v>
      </c>
      <c r="AV80" s="262">
        <f>AW80+AX80</f>
        <v>0</v>
      </c>
      <c r="AW80" s="262">
        <f>G80*AO80</f>
        <v>0</v>
      </c>
      <c r="AX80" s="262">
        <f>G80*AP80</f>
        <v>0</v>
      </c>
      <c r="AY80" s="263" t="s">
        <v>500</v>
      </c>
      <c r="AZ80" s="263" t="s">
        <v>501</v>
      </c>
      <c r="BA80" s="253" t="s">
        <v>395</v>
      </c>
      <c r="BC80" s="262">
        <f>AW80+AX80</f>
        <v>0</v>
      </c>
      <c r="BD80" s="262">
        <f>H80/(100-BE80)*100</f>
        <v>0</v>
      </c>
      <c r="BE80" s="262">
        <v>0</v>
      </c>
      <c r="BF80" s="262">
        <f>80</f>
        <v>80</v>
      </c>
      <c r="BH80" s="268">
        <f>G80*AO80</f>
        <v>0</v>
      </c>
      <c r="BI80" s="268">
        <f>G80*AP80</f>
        <v>0</v>
      </c>
      <c r="BJ80" s="268">
        <f>G80*H80</f>
        <v>0</v>
      </c>
    </row>
    <row r="81" spans="1:62" x14ac:dyDescent="0.2">
      <c r="B81" s="266" t="s">
        <v>408</v>
      </c>
      <c r="C81" s="337" t="s">
        <v>526</v>
      </c>
      <c r="D81" s="337"/>
      <c r="E81" s="337"/>
      <c r="F81" s="337"/>
      <c r="G81" s="337"/>
      <c r="H81" s="337"/>
      <c r="I81" s="337"/>
      <c r="J81" s="337"/>
      <c r="K81" s="337"/>
      <c r="L81" s="337"/>
    </row>
    <row r="82" spans="1:62" x14ac:dyDescent="0.2">
      <c r="A82" s="267" t="s">
        <v>548</v>
      </c>
      <c r="B82" s="267" t="s">
        <v>549</v>
      </c>
      <c r="C82" s="339" t="s">
        <v>550</v>
      </c>
      <c r="D82" s="339"/>
      <c r="E82" s="339"/>
      <c r="F82" s="267" t="s">
        <v>499</v>
      </c>
      <c r="G82" s="268">
        <v>1</v>
      </c>
      <c r="H82" s="268">
        <v>0</v>
      </c>
      <c r="I82" s="268">
        <f>G82*AO82</f>
        <v>0</v>
      </c>
      <c r="J82" s="268">
        <f>G82*AP82</f>
        <v>0</v>
      </c>
      <c r="K82" s="268">
        <f>G82*H82</f>
        <v>0</v>
      </c>
      <c r="L82" s="269"/>
      <c r="Z82" s="262">
        <f>IF(AQ82="5",BJ82,0)</f>
        <v>0</v>
      </c>
      <c r="AB82" s="262">
        <f>IF(AQ82="1",BH82,0)</f>
        <v>0</v>
      </c>
      <c r="AC82" s="262">
        <f>IF(AQ82="1",BI82,0)</f>
        <v>0</v>
      </c>
      <c r="AD82" s="262">
        <f>IF(AQ82="7",BH82,0)</f>
        <v>0</v>
      </c>
      <c r="AE82" s="262">
        <f>IF(AQ82="7",BI82,0)</f>
        <v>0</v>
      </c>
      <c r="AF82" s="262">
        <f>IF(AQ82="2",BH82,0)</f>
        <v>0</v>
      </c>
      <c r="AG82" s="262">
        <f>IF(AQ82="2",BI82,0)</f>
        <v>0</v>
      </c>
      <c r="AH82" s="262">
        <f>IF(AQ82="0",BJ82,0)</f>
        <v>0</v>
      </c>
      <c r="AI82" s="253"/>
      <c r="AJ82" s="268">
        <f>IF(AN82=0,K82,0)</f>
        <v>0</v>
      </c>
      <c r="AK82" s="268">
        <f>IF(AN82=15,K82,0)</f>
        <v>0</v>
      </c>
      <c r="AL82" s="268">
        <f>IF(AN82=21,K82,0)</f>
        <v>0</v>
      </c>
      <c r="AN82" s="262">
        <v>21</v>
      </c>
      <c r="AO82" s="262">
        <f>H82*1</f>
        <v>0</v>
      </c>
      <c r="AP82" s="262">
        <f>H82*(1-1)</f>
        <v>0</v>
      </c>
      <c r="AQ82" s="269" t="s">
        <v>388</v>
      </c>
      <c r="AV82" s="262">
        <f>AW82+AX82</f>
        <v>0</v>
      </c>
      <c r="AW82" s="262">
        <f>G82*AO82</f>
        <v>0</v>
      </c>
      <c r="AX82" s="262">
        <f>G82*AP82</f>
        <v>0</v>
      </c>
      <c r="AY82" s="263" t="s">
        <v>500</v>
      </c>
      <c r="AZ82" s="263" t="s">
        <v>501</v>
      </c>
      <c r="BA82" s="253" t="s">
        <v>395</v>
      </c>
      <c r="BC82" s="262">
        <f>AW82+AX82</f>
        <v>0</v>
      </c>
      <c r="BD82" s="262">
        <f>H82/(100-BE82)*100</f>
        <v>0</v>
      </c>
      <c r="BE82" s="262">
        <v>0</v>
      </c>
      <c r="BF82" s="262">
        <f>82</f>
        <v>82</v>
      </c>
      <c r="BH82" s="268">
        <f>G82*AO82</f>
        <v>0</v>
      </c>
      <c r="BI82" s="268">
        <f>G82*AP82</f>
        <v>0</v>
      </c>
      <c r="BJ82" s="268">
        <f>G82*H82</f>
        <v>0</v>
      </c>
    </row>
    <row r="83" spans="1:62" x14ac:dyDescent="0.2">
      <c r="B83" s="266" t="s">
        <v>408</v>
      </c>
      <c r="C83" s="337" t="s">
        <v>526</v>
      </c>
      <c r="D83" s="337"/>
      <c r="E83" s="337"/>
      <c r="F83" s="337"/>
      <c r="G83" s="337"/>
      <c r="H83" s="337"/>
      <c r="I83" s="337"/>
      <c r="J83" s="337"/>
      <c r="K83" s="337"/>
      <c r="L83" s="337"/>
    </row>
    <row r="84" spans="1:62" x14ac:dyDescent="0.2">
      <c r="A84" s="267" t="s">
        <v>551</v>
      </c>
      <c r="B84" s="267" t="s">
        <v>552</v>
      </c>
      <c r="C84" s="339" t="s">
        <v>553</v>
      </c>
      <c r="D84" s="339"/>
      <c r="E84" s="339"/>
      <c r="F84" s="267" t="s">
        <v>499</v>
      </c>
      <c r="G84" s="268">
        <v>1</v>
      </c>
      <c r="H84" s="268">
        <v>0</v>
      </c>
      <c r="I84" s="268">
        <f>G84*AO84</f>
        <v>0</v>
      </c>
      <c r="J84" s="268">
        <f>G84*AP84</f>
        <v>0</v>
      </c>
      <c r="K84" s="268">
        <f>G84*H84</f>
        <v>0</v>
      </c>
      <c r="L84" s="269"/>
      <c r="Z84" s="262">
        <f>IF(AQ84="5",BJ84,0)</f>
        <v>0</v>
      </c>
      <c r="AB84" s="262">
        <f>IF(AQ84="1",BH84,0)</f>
        <v>0</v>
      </c>
      <c r="AC84" s="262">
        <f>IF(AQ84="1",BI84,0)</f>
        <v>0</v>
      </c>
      <c r="AD84" s="262">
        <f>IF(AQ84="7",BH84,0)</f>
        <v>0</v>
      </c>
      <c r="AE84" s="262">
        <f>IF(AQ84="7",BI84,0)</f>
        <v>0</v>
      </c>
      <c r="AF84" s="262">
        <f>IF(AQ84="2",BH84,0)</f>
        <v>0</v>
      </c>
      <c r="AG84" s="262">
        <f>IF(AQ84="2",BI84,0)</f>
        <v>0</v>
      </c>
      <c r="AH84" s="262">
        <f>IF(AQ84="0",BJ84,0)</f>
        <v>0</v>
      </c>
      <c r="AI84" s="253"/>
      <c r="AJ84" s="268">
        <f>IF(AN84=0,K84,0)</f>
        <v>0</v>
      </c>
      <c r="AK84" s="268">
        <f>IF(AN84=15,K84,0)</f>
        <v>0</v>
      </c>
      <c r="AL84" s="268">
        <f>IF(AN84=21,K84,0)</f>
        <v>0</v>
      </c>
      <c r="AN84" s="262">
        <v>21</v>
      </c>
      <c r="AO84" s="262">
        <f>H84*1</f>
        <v>0</v>
      </c>
      <c r="AP84" s="262">
        <f>H84*(1-1)</f>
        <v>0</v>
      </c>
      <c r="AQ84" s="269" t="s">
        <v>388</v>
      </c>
      <c r="AV84" s="262">
        <f>AW84+AX84</f>
        <v>0</v>
      </c>
      <c r="AW84" s="262">
        <f>G84*AO84</f>
        <v>0</v>
      </c>
      <c r="AX84" s="262">
        <f>G84*AP84</f>
        <v>0</v>
      </c>
      <c r="AY84" s="263" t="s">
        <v>500</v>
      </c>
      <c r="AZ84" s="263" t="s">
        <v>501</v>
      </c>
      <c r="BA84" s="253" t="s">
        <v>395</v>
      </c>
      <c r="BC84" s="262">
        <f>AW84+AX84</f>
        <v>0</v>
      </c>
      <c r="BD84" s="262">
        <f>H84/(100-BE84)*100</f>
        <v>0</v>
      </c>
      <c r="BE84" s="262">
        <v>0</v>
      </c>
      <c r="BF84" s="262">
        <f>84</f>
        <v>84</v>
      </c>
      <c r="BH84" s="268">
        <f>G84*AO84</f>
        <v>0</v>
      </c>
      <c r="BI84" s="268">
        <f>G84*AP84</f>
        <v>0</v>
      </c>
      <c r="BJ84" s="268">
        <f>G84*H84</f>
        <v>0</v>
      </c>
    </row>
    <row r="85" spans="1:62" x14ac:dyDescent="0.2">
      <c r="B85" s="266" t="s">
        <v>408</v>
      </c>
      <c r="C85" s="337" t="s">
        <v>526</v>
      </c>
      <c r="D85" s="337"/>
      <c r="E85" s="337"/>
      <c r="F85" s="337"/>
      <c r="G85" s="337"/>
      <c r="H85" s="337"/>
      <c r="I85" s="337"/>
      <c r="J85" s="337"/>
      <c r="K85" s="337"/>
      <c r="L85" s="337"/>
    </row>
    <row r="86" spans="1:62" x14ac:dyDescent="0.2">
      <c r="A86" s="267" t="s">
        <v>554</v>
      </c>
      <c r="B86" s="267" t="s">
        <v>555</v>
      </c>
      <c r="C86" s="339" t="s">
        <v>556</v>
      </c>
      <c r="D86" s="339"/>
      <c r="E86" s="339"/>
      <c r="F86" s="267" t="s">
        <v>499</v>
      </c>
      <c r="G86" s="268">
        <v>12</v>
      </c>
      <c r="H86" s="268">
        <v>0</v>
      </c>
      <c r="I86" s="268">
        <f>G86*AO86</f>
        <v>0</v>
      </c>
      <c r="J86" s="268">
        <f>G86*AP86</f>
        <v>0</v>
      </c>
      <c r="K86" s="268">
        <f>G86*H86</f>
        <v>0</v>
      </c>
      <c r="L86" s="269"/>
      <c r="Z86" s="262">
        <f>IF(AQ86="5",BJ86,0)</f>
        <v>0</v>
      </c>
      <c r="AB86" s="262">
        <f>IF(AQ86="1",BH86,0)</f>
        <v>0</v>
      </c>
      <c r="AC86" s="262">
        <f>IF(AQ86="1",BI86,0)</f>
        <v>0</v>
      </c>
      <c r="AD86" s="262">
        <f>IF(AQ86="7",BH86,0)</f>
        <v>0</v>
      </c>
      <c r="AE86" s="262">
        <f>IF(AQ86="7",BI86,0)</f>
        <v>0</v>
      </c>
      <c r="AF86" s="262">
        <f>IF(AQ86="2",BH86,0)</f>
        <v>0</v>
      </c>
      <c r="AG86" s="262">
        <f>IF(AQ86="2",BI86,0)</f>
        <v>0</v>
      </c>
      <c r="AH86" s="262">
        <f>IF(AQ86="0",BJ86,0)</f>
        <v>0</v>
      </c>
      <c r="AI86" s="253"/>
      <c r="AJ86" s="268">
        <f>IF(AN86=0,K86,0)</f>
        <v>0</v>
      </c>
      <c r="AK86" s="268">
        <f>IF(AN86=15,K86,0)</f>
        <v>0</v>
      </c>
      <c r="AL86" s="268">
        <f>IF(AN86=21,K86,0)</f>
        <v>0</v>
      </c>
      <c r="AN86" s="262">
        <v>21</v>
      </c>
      <c r="AO86" s="262">
        <f>H86*1</f>
        <v>0</v>
      </c>
      <c r="AP86" s="262">
        <f>H86*(1-1)</f>
        <v>0</v>
      </c>
      <c r="AQ86" s="269" t="s">
        <v>388</v>
      </c>
      <c r="AV86" s="262">
        <f>AW86+AX86</f>
        <v>0</v>
      </c>
      <c r="AW86" s="262">
        <f>G86*AO86</f>
        <v>0</v>
      </c>
      <c r="AX86" s="262">
        <f>G86*AP86</f>
        <v>0</v>
      </c>
      <c r="AY86" s="263" t="s">
        <v>500</v>
      </c>
      <c r="AZ86" s="263" t="s">
        <v>501</v>
      </c>
      <c r="BA86" s="253" t="s">
        <v>395</v>
      </c>
      <c r="BC86" s="262">
        <f>AW86+AX86</f>
        <v>0</v>
      </c>
      <c r="BD86" s="262">
        <f>H86/(100-BE86)*100</f>
        <v>0</v>
      </c>
      <c r="BE86" s="262">
        <v>0</v>
      </c>
      <c r="BF86" s="262">
        <f>86</f>
        <v>86</v>
      </c>
      <c r="BH86" s="268">
        <f>G86*AO86</f>
        <v>0</v>
      </c>
      <c r="BI86" s="268">
        <f>G86*AP86</f>
        <v>0</v>
      </c>
      <c r="BJ86" s="268">
        <f>G86*H86</f>
        <v>0</v>
      </c>
    </row>
    <row r="87" spans="1:62" x14ac:dyDescent="0.2">
      <c r="B87" s="266" t="s">
        <v>408</v>
      </c>
      <c r="C87" s="337" t="s">
        <v>526</v>
      </c>
      <c r="D87" s="337"/>
      <c r="E87" s="337"/>
      <c r="F87" s="337"/>
      <c r="G87" s="337"/>
      <c r="H87" s="337"/>
      <c r="I87" s="337"/>
      <c r="J87" s="337"/>
      <c r="K87" s="337"/>
      <c r="L87" s="337"/>
    </row>
    <row r="88" spans="1:62" x14ac:dyDescent="0.2">
      <c r="A88" s="267" t="s">
        <v>557</v>
      </c>
      <c r="B88" s="267" t="s">
        <v>558</v>
      </c>
      <c r="C88" s="339" t="s">
        <v>559</v>
      </c>
      <c r="D88" s="339"/>
      <c r="E88" s="339"/>
      <c r="F88" s="267" t="s">
        <v>499</v>
      </c>
      <c r="G88" s="268">
        <v>5</v>
      </c>
      <c r="H88" s="268">
        <v>0</v>
      </c>
      <c r="I88" s="268">
        <f>G88*AO88</f>
        <v>0</v>
      </c>
      <c r="J88" s="268">
        <f>G88*AP88</f>
        <v>0</v>
      </c>
      <c r="K88" s="268">
        <f>G88*H88</f>
        <v>0</v>
      </c>
      <c r="L88" s="269"/>
      <c r="Z88" s="262">
        <f>IF(AQ88="5",BJ88,0)</f>
        <v>0</v>
      </c>
      <c r="AB88" s="262">
        <f>IF(AQ88="1",BH88,0)</f>
        <v>0</v>
      </c>
      <c r="AC88" s="262">
        <f>IF(AQ88="1",BI88,0)</f>
        <v>0</v>
      </c>
      <c r="AD88" s="262">
        <f>IF(AQ88="7",BH88,0)</f>
        <v>0</v>
      </c>
      <c r="AE88" s="262">
        <f>IF(AQ88="7",BI88,0)</f>
        <v>0</v>
      </c>
      <c r="AF88" s="262">
        <f>IF(AQ88="2",BH88,0)</f>
        <v>0</v>
      </c>
      <c r="AG88" s="262">
        <f>IF(AQ88="2",BI88,0)</f>
        <v>0</v>
      </c>
      <c r="AH88" s="262">
        <f>IF(AQ88="0",BJ88,0)</f>
        <v>0</v>
      </c>
      <c r="AI88" s="253"/>
      <c r="AJ88" s="268">
        <f>IF(AN88=0,K88,0)</f>
        <v>0</v>
      </c>
      <c r="AK88" s="268">
        <f>IF(AN88=15,K88,0)</f>
        <v>0</v>
      </c>
      <c r="AL88" s="268">
        <f>IF(AN88=21,K88,0)</f>
        <v>0</v>
      </c>
      <c r="AN88" s="262">
        <v>21</v>
      </c>
      <c r="AO88" s="262">
        <f>H88*1</f>
        <v>0</v>
      </c>
      <c r="AP88" s="262">
        <f>H88*(1-1)</f>
        <v>0</v>
      </c>
      <c r="AQ88" s="269" t="s">
        <v>388</v>
      </c>
      <c r="AV88" s="262">
        <f>AW88+AX88</f>
        <v>0</v>
      </c>
      <c r="AW88" s="262">
        <f>G88*AO88</f>
        <v>0</v>
      </c>
      <c r="AX88" s="262">
        <f>G88*AP88</f>
        <v>0</v>
      </c>
      <c r="AY88" s="263" t="s">
        <v>500</v>
      </c>
      <c r="AZ88" s="263" t="s">
        <v>501</v>
      </c>
      <c r="BA88" s="253" t="s">
        <v>395</v>
      </c>
      <c r="BC88" s="262">
        <f>AW88+AX88</f>
        <v>0</v>
      </c>
      <c r="BD88" s="262">
        <f>H88/(100-BE88)*100</f>
        <v>0</v>
      </c>
      <c r="BE88" s="262">
        <v>0</v>
      </c>
      <c r="BF88" s="262">
        <f>88</f>
        <v>88</v>
      </c>
      <c r="BH88" s="268">
        <f>G88*AO88</f>
        <v>0</v>
      </c>
      <c r="BI88" s="268">
        <f>G88*AP88</f>
        <v>0</v>
      </c>
      <c r="BJ88" s="268">
        <f>G88*H88</f>
        <v>0</v>
      </c>
    </row>
    <row r="89" spans="1:62" x14ac:dyDescent="0.2">
      <c r="B89" s="266" t="s">
        <v>408</v>
      </c>
      <c r="C89" s="337" t="s">
        <v>526</v>
      </c>
      <c r="D89" s="337"/>
      <c r="E89" s="337"/>
      <c r="F89" s="337"/>
      <c r="G89" s="337"/>
      <c r="H89" s="337"/>
      <c r="I89" s="337"/>
      <c r="J89" s="337"/>
      <c r="K89" s="337"/>
      <c r="L89" s="337"/>
    </row>
    <row r="90" spans="1:62" x14ac:dyDescent="0.2">
      <c r="A90" s="267" t="s">
        <v>560</v>
      </c>
      <c r="B90" s="267" t="s">
        <v>561</v>
      </c>
      <c r="C90" s="339" t="s">
        <v>562</v>
      </c>
      <c r="D90" s="339"/>
      <c r="E90" s="339"/>
      <c r="F90" s="267" t="s">
        <v>173</v>
      </c>
      <c r="G90" s="268">
        <v>30</v>
      </c>
      <c r="H90" s="268">
        <v>0</v>
      </c>
      <c r="I90" s="268">
        <f>G90*AO90</f>
        <v>0</v>
      </c>
      <c r="J90" s="268">
        <f>G90*AP90</f>
        <v>0</v>
      </c>
      <c r="K90" s="268">
        <f>G90*H90</f>
        <v>0</v>
      </c>
      <c r="L90" s="269" t="s">
        <v>402</v>
      </c>
      <c r="Z90" s="262">
        <f>IF(AQ90="5",BJ90,0)</f>
        <v>0</v>
      </c>
      <c r="AB90" s="262">
        <f>IF(AQ90="1",BH90,0)</f>
        <v>0</v>
      </c>
      <c r="AC90" s="262">
        <f>IF(AQ90="1",BI90,0)</f>
        <v>0</v>
      </c>
      <c r="AD90" s="262">
        <f>IF(AQ90="7",BH90,0)</f>
        <v>0</v>
      </c>
      <c r="AE90" s="262">
        <f>IF(AQ90="7",BI90,0)</f>
        <v>0</v>
      </c>
      <c r="AF90" s="262">
        <f>IF(AQ90="2",BH90,0)</f>
        <v>0</v>
      </c>
      <c r="AG90" s="262">
        <f>IF(AQ90="2",BI90,0)</f>
        <v>0</v>
      </c>
      <c r="AH90" s="262">
        <f>IF(AQ90="0",BJ90,0)</f>
        <v>0</v>
      </c>
      <c r="AI90" s="253"/>
      <c r="AJ90" s="268">
        <f>IF(AN90=0,K90,0)</f>
        <v>0</v>
      </c>
      <c r="AK90" s="268">
        <f>IF(AN90=15,K90,0)</f>
        <v>0</v>
      </c>
      <c r="AL90" s="268">
        <f>IF(AN90=21,K90,0)</f>
        <v>0</v>
      </c>
      <c r="AN90" s="262">
        <v>21</v>
      </c>
      <c r="AO90" s="262">
        <f>H90*1</f>
        <v>0</v>
      </c>
      <c r="AP90" s="262">
        <f>H90*(1-1)</f>
        <v>0</v>
      </c>
      <c r="AQ90" s="269" t="s">
        <v>388</v>
      </c>
      <c r="AV90" s="262">
        <f>AW90+AX90</f>
        <v>0</v>
      </c>
      <c r="AW90" s="262">
        <f>G90*AO90</f>
        <v>0</v>
      </c>
      <c r="AX90" s="262">
        <f>G90*AP90</f>
        <v>0</v>
      </c>
      <c r="AY90" s="263" t="s">
        <v>500</v>
      </c>
      <c r="AZ90" s="263" t="s">
        <v>501</v>
      </c>
      <c r="BA90" s="253" t="s">
        <v>395</v>
      </c>
      <c r="BC90" s="262">
        <f>AW90+AX90</f>
        <v>0</v>
      </c>
      <c r="BD90" s="262">
        <f>H90/(100-BE90)*100</f>
        <v>0</v>
      </c>
      <c r="BE90" s="262">
        <v>0</v>
      </c>
      <c r="BF90" s="262">
        <f>90</f>
        <v>90</v>
      </c>
      <c r="BH90" s="268">
        <f>G90*AO90</f>
        <v>0</v>
      </c>
      <c r="BI90" s="268">
        <f>G90*AP90</f>
        <v>0</v>
      </c>
      <c r="BJ90" s="268">
        <f>G90*H90</f>
        <v>0</v>
      </c>
    </row>
    <row r="91" spans="1:62" ht="25.7" customHeight="1" x14ac:dyDescent="0.2">
      <c r="B91" s="266" t="s">
        <v>408</v>
      </c>
      <c r="C91" s="337" t="s">
        <v>563</v>
      </c>
      <c r="D91" s="337"/>
      <c r="E91" s="337"/>
      <c r="F91" s="337"/>
      <c r="G91" s="337"/>
      <c r="H91" s="337"/>
      <c r="I91" s="337"/>
      <c r="J91" s="337"/>
      <c r="K91" s="337"/>
      <c r="L91" s="337"/>
    </row>
    <row r="92" spans="1:62" x14ac:dyDescent="0.2">
      <c r="A92" s="267" t="s">
        <v>564</v>
      </c>
      <c r="B92" s="267" t="s">
        <v>565</v>
      </c>
      <c r="C92" s="339" t="s">
        <v>566</v>
      </c>
      <c r="D92" s="339"/>
      <c r="E92" s="339"/>
      <c r="F92" s="267" t="s">
        <v>173</v>
      </c>
      <c r="G92" s="268">
        <v>10</v>
      </c>
      <c r="H92" s="268">
        <v>0</v>
      </c>
      <c r="I92" s="268">
        <f>G92*AO92</f>
        <v>0</v>
      </c>
      <c r="J92" s="268">
        <f>G92*AP92</f>
        <v>0</v>
      </c>
      <c r="K92" s="268">
        <f>G92*H92</f>
        <v>0</v>
      </c>
      <c r="L92" s="269" t="s">
        <v>402</v>
      </c>
      <c r="Z92" s="262">
        <f>IF(AQ92="5",BJ92,0)</f>
        <v>0</v>
      </c>
      <c r="AB92" s="262">
        <f>IF(AQ92="1",BH92,0)</f>
        <v>0</v>
      </c>
      <c r="AC92" s="262">
        <f>IF(AQ92="1",BI92,0)</f>
        <v>0</v>
      </c>
      <c r="AD92" s="262">
        <f>IF(AQ92="7",BH92,0)</f>
        <v>0</v>
      </c>
      <c r="AE92" s="262">
        <f>IF(AQ92="7",BI92,0)</f>
        <v>0</v>
      </c>
      <c r="AF92" s="262">
        <f>IF(AQ92="2",BH92,0)</f>
        <v>0</v>
      </c>
      <c r="AG92" s="262">
        <f>IF(AQ92="2",BI92,0)</f>
        <v>0</v>
      </c>
      <c r="AH92" s="262">
        <f>IF(AQ92="0",BJ92,0)</f>
        <v>0</v>
      </c>
      <c r="AI92" s="253"/>
      <c r="AJ92" s="268">
        <f>IF(AN92=0,K92,0)</f>
        <v>0</v>
      </c>
      <c r="AK92" s="268">
        <f>IF(AN92=15,K92,0)</f>
        <v>0</v>
      </c>
      <c r="AL92" s="268">
        <f>IF(AN92=21,K92,0)</f>
        <v>0</v>
      </c>
      <c r="AN92" s="262">
        <v>21</v>
      </c>
      <c r="AO92" s="262">
        <f>H92*1</f>
        <v>0</v>
      </c>
      <c r="AP92" s="262">
        <f>H92*(1-1)</f>
        <v>0</v>
      </c>
      <c r="AQ92" s="269" t="s">
        <v>388</v>
      </c>
      <c r="AV92" s="262">
        <f>AW92+AX92</f>
        <v>0</v>
      </c>
      <c r="AW92" s="262">
        <f>G92*AO92</f>
        <v>0</v>
      </c>
      <c r="AX92" s="262">
        <f>G92*AP92</f>
        <v>0</v>
      </c>
      <c r="AY92" s="263" t="s">
        <v>500</v>
      </c>
      <c r="AZ92" s="263" t="s">
        <v>501</v>
      </c>
      <c r="BA92" s="253" t="s">
        <v>395</v>
      </c>
      <c r="BC92" s="262">
        <f>AW92+AX92</f>
        <v>0</v>
      </c>
      <c r="BD92" s="262">
        <f>H92/(100-BE92)*100</f>
        <v>0</v>
      </c>
      <c r="BE92" s="262">
        <v>0</v>
      </c>
      <c r="BF92" s="262">
        <f>92</f>
        <v>92</v>
      </c>
      <c r="BH92" s="268">
        <f>G92*AO92</f>
        <v>0</v>
      </c>
      <c r="BI92" s="268">
        <f>G92*AP92</f>
        <v>0</v>
      </c>
      <c r="BJ92" s="268">
        <f>G92*H92</f>
        <v>0</v>
      </c>
    </row>
    <row r="93" spans="1:62" ht="25.7" customHeight="1" x14ac:dyDescent="0.2">
      <c r="B93" s="266" t="s">
        <v>408</v>
      </c>
      <c r="C93" s="337" t="s">
        <v>567</v>
      </c>
      <c r="D93" s="337"/>
      <c r="E93" s="337"/>
      <c r="F93" s="337"/>
      <c r="G93" s="337"/>
      <c r="H93" s="337"/>
      <c r="I93" s="337"/>
      <c r="J93" s="337"/>
      <c r="K93" s="337"/>
      <c r="L93" s="337"/>
    </row>
    <row r="94" spans="1:62" x14ac:dyDescent="0.2">
      <c r="A94" s="267" t="s">
        <v>568</v>
      </c>
      <c r="B94" s="267" t="s">
        <v>569</v>
      </c>
      <c r="C94" s="339" t="s">
        <v>570</v>
      </c>
      <c r="D94" s="339"/>
      <c r="E94" s="339"/>
      <c r="F94" s="267" t="s">
        <v>173</v>
      </c>
      <c r="G94" s="268">
        <v>2</v>
      </c>
      <c r="H94" s="268">
        <v>0</v>
      </c>
      <c r="I94" s="268">
        <f>G94*AO94</f>
        <v>0</v>
      </c>
      <c r="J94" s="268">
        <f>G94*AP94</f>
        <v>0</v>
      </c>
      <c r="K94" s="268">
        <f>G94*H94</f>
        <v>0</v>
      </c>
      <c r="L94" s="269" t="s">
        <v>402</v>
      </c>
      <c r="Z94" s="262">
        <f>IF(AQ94="5",BJ94,0)</f>
        <v>0</v>
      </c>
      <c r="AB94" s="262">
        <f>IF(AQ94="1",BH94,0)</f>
        <v>0</v>
      </c>
      <c r="AC94" s="262">
        <f>IF(AQ94="1",BI94,0)</f>
        <v>0</v>
      </c>
      <c r="AD94" s="262">
        <f>IF(AQ94="7",BH94,0)</f>
        <v>0</v>
      </c>
      <c r="AE94" s="262">
        <f>IF(AQ94="7",BI94,0)</f>
        <v>0</v>
      </c>
      <c r="AF94" s="262">
        <f>IF(AQ94="2",BH94,0)</f>
        <v>0</v>
      </c>
      <c r="AG94" s="262">
        <f>IF(AQ94="2",BI94,0)</f>
        <v>0</v>
      </c>
      <c r="AH94" s="262">
        <f>IF(AQ94="0",BJ94,0)</f>
        <v>0</v>
      </c>
      <c r="AI94" s="253"/>
      <c r="AJ94" s="268">
        <f>IF(AN94=0,K94,0)</f>
        <v>0</v>
      </c>
      <c r="AK94" s="268">
        <f>IF(AN94=15,K94,0)</f>
        <v>0</v>
      </c>
      <c r="AL94" s="268">
        <f>IF(AN94=21,K94,0)</f>
        <v>0</v>
      </c>
      <c r="AN94" s="262">
        <v>21</v>
      </c>
      <c r="AO94" s="262">
        <f>H94*1</f>
        <v>0</v>
      </c>
      <c r="AP94" s="262">
        <f>H94*(1-1)</f>
        <v>0</v>
      </c>
      <c r="AQ94" s="269" t="s">
        <v>388</v>
      </c>
      <c r="AV94" s="262">
        <f>AW94+AX94</f>
        <v>0</v>
      </c>
      <c r="AW94" s="262">
        <f>G94*AO94</f>
        <v>0</v>
      </c>
      <c r="AX94" s="262">
        <f>G94*AP94</f>
        <v>0</v>
      </c>
      <c r="AY94" s="263" t="s">
        <v>500</v>
      </c>
      <c r="AZ94" s="263" t="s">
        <v>501</v>
      </c>
      <c r="BA94" s="253" t="s">
        <v>395</v>
      </c>
      <c r="BC94" s="262">
        <f>AW94+AX94</f>
        <v>0</v>
      </c>
      <c r="BD94" s="262">
        <f>H94/(100-BE94)*100</f>
        <v>0</v>
      </c>
      <c r="BE94" s="262">
        <v>0</v>
      </c>
      <c r="BF94" s="262">
        <f>94</f>
        <v>94</v>
      </c>
      <c r="BH94" s="268">
        <f>G94*AO94</f>
        <v>0</v>
      </c>
      <c r="BI94" s="268">
        <f>G94*AP94</f>
        <v>0</v>
      </c>
      <c r="BJ94" s="268">
        <f>G94*H94</f>
        <v>0</v>
      </c>
    </row>
    <row r="95" spans="1:62" x14ac:dyDescent="0.2">
      <c r="B95" s="266" t="s">
        <v>408</v>
      </c>
      <c r="C95" s="337" t="s">
        <v>571</v>
      </c>
      <c r="D95" s="337"/>
      <c r="E95" s="337"/>
      <c r="F95" s="337"/>
      <c r="G95" s="337"/>
      <c r="H95" s="337"/>
      <c r="I95" s="337"/>
      <c r="J95" s="337"/>
      <c r="K95" s="337"/>
      <c r="L95" s="337"/>
    </row>
    <row r="96" spans="1:62" x14ac:dyDescent="0.2">
      <c r="A96" s="267" t="s">
        <v>572</v>
      </c>
      <c r="B96" s="267" t="s">
        <v>573</v>
      </c>
      <c r="C96" s="339" t="s">
        <v>574</v>
      </c>
      <c r="D96" s="339"/>
      <c r="E96" s="339"/>
      <c r="F96" s="267" t="s">
        <v>173</v>
      </c>
      <c r="G96" s="268">
        <v>22</v>
      </c>
      <c r="H96" s="268">
        <v>0</v>
      </c>
      <c r="I96" s="268">
        <f>G96*AO96</f>
        <v>0</v>
      </c>
      <c r="J96" s="268">
        <f>G96*AP96</f>
        <v>0</v>
      </c>
      <c r="K96" s="268">
        <f>G96*H96</f>
        <v>0</v>
      </c>
      <c r="L96" s="269" t="s">
        <v>402</v>
      </c>
      <c r="Z96" s="262">
        <f>IF(AQ96="5",BJ96,0)</f>
        <v>0</v>
      </c>
      <c r="AB96" s="262">
        <f>IF(AQ96="1",BH96,0)</f>
        <v>0</v>
      </c>
      <c r="AC96" s="262">
        <f>IF(AQ96="1",BI96,0)</f>
        <v>0</v>
      </c>
      <c r="AD96" s="262">
        <f>IF(AQ96="7",BH96,0)</f>
        <v>0</v>
      </c>
      <c r="AE96" s="262">
        <f>IF(AQ96="7",BI96,0)</f>
        <v>0</v>
      </c>
      <c r="AF96" s="262">
        <f>IF(AQ96="2",BH96,0)</f>
        <v>0</v>
      </c>
      <c r="AG96" s="262">
        <f>IF(AQ96="2",BI96,0)</f>
        <v>0</v>
      </c>
      <c r="AH96" s="262">
        <f>IF(AQ96="0",BJ96,0)</f>
        <v>0</v>
      </c>
      <c r="AI96" s="253"/>
      <c r="AJ96" s="268">
        <f>IF(AN96=0,K96,0)</f>
        <v>0</v>
      </c>
      <c r="AK96" s="268">
        <f>IF(AN96=15,K96,0)</f>
        <v>0</v>
      </c>
      <c r="AL96" s="268">
        <f>IF(AN96=21,K96,0)</f>
        <v>0</v>
      </c>
      <c r="AN96" s="262">
        <v>21</v>
      </c>
      <c r="AO96" s="262">
        <f>H96*1</f>
        <v>0</v>
      </c>
      <c r="AP96" s="262">
        <f>H96*(1-1)</f>
        <v>0</v>
      </c>
      <c r="AQ96" s="269" t="s">
        <v>388</v>
      </c>
      <c r="AV96" s="262">
        <f>AW96+AX96</f>
        <v>0</v>
      </c>
      <c r="AW96" s="262">
        <f>G96*AO96</f>
        <v>0</v>
      </c>
      <c r="AX96" s="262">
        <f>G96*AP96</f>
        <v>0</v>
      </c>
      <c r="AY96" s="263" t="s">
        <v>500</v>
      </c>
      <c r="AZ96" s="263" t="s">
        <v>501</v>
      </c>
      <c r="BA96" s="253" t="s">
        <v>395</v>
      </c>
      <c r="BC96" s="262">
        <f>AW96+AX96</f>
        <v>0</v>
      </c>
      <c r="BD96" s="262">
        <f>H96/(100-BE96)*100</f>
        <v>0</v>
      </c>
      <c r="BE96" s="262">
        <v>0</v>
      </c>
      <c r="BF96" s="262">
        <f>96</f>
        <v>96</v>
      </c>
      <c r="BH96" s="268">
        <f>G96*AO96</f>
        <v>0</v>
      </c>
      <c r="BI96" s="268">
        <f>G96*AP96</f>
        <v>0</v>
      </c>
      <c r="BJ96" s="268">
        <f>G96*H96</f>
        <v>0</v>
      </c>
    </row>
    <row r="97" spans="1:62" x14ac:dyDescent="0.2">
      <c r="B97" s="266" t="s">
        <v>408</v>
      </c>
      <c r="C97" s="337" t="s">
        <v>575</v>
      </c>
      <c r="D97" s="337"/>
      <c r="E97" s="337"/>
      <c r="F97" s="337"/>
      <c r="G97" s="337"/>
      <c r="H97" s="337"/>
      <c r="I97" s="337"/>
      <c r="J97" s="337"/>
      <c r="K97" s="337"/>
      <c r="L97" s="337"/>
    </row>
    <row r="98" spans="1:62" x14ac:dyDescent="0.2">
      <c r="A98" s="267" t="s">
        <v>576</v>
      </c>
      <c r="B98" s="267" t="s">
        <v>577</v>
      </c>
      <c r="C98" s="339" t="s">
        <v>578</v>
      </c>
      <c r="D98" s="339"/>
      <c r="E98" s="339"/>
      <c r="F98" s="267" t="s">
        <v>173</v>
      </c>
      <c r="G98" s="268">
        <v>5</v>
      </c>
      <c r="H98" s="268">
        <v>0</v>
      </c>
      <c r="I98" s="268">
        <f>G98*AO98</f>
        <v>0</v>
      </c>
      <c r="J98" s="268">
        <f>G98*AP98</f>
        <v>0</v>
      </c>
      <c r="K98" s="268">
        <f>G98*H98</f>
        <v>0</v>
      </c>
      <c r="L98" s="269" t="s">
        <v>402</v>
      </c>
      <c r="Z98" s="262">
        <f>IF(AQ98="5",BJ98,0)</f>
        <v>0</v>
      </c>
      <c r="AB98" s="262">
        <f>IF(AQ98="1",BH98,0)</f>
        <v>0</v>
      </c>
      <c r="AC98" s="262">
        <f>IF(AQ98="1",BI98,0)</f>
        <v>0</v>
      </c>
      <c r="AD98" s="262">
        <f>IF(AQ98="7",BH98,0)</f>
        <v>0</v>
      </c>
      <c r="AE98" s="262">
        <f>IF(AQ98="7",BI98,0)</f>
        <v>0</v>
      </c>
      <c r="AF98" s="262">
        <f>IF(AQ98="2",BH98,0)</f>
        <v>0</v>
      </c>
      <c r="AG98" s="262">
        <f>IF(AQ98="2",BI98,0)</f>
        <v>0</v>
      </c>
      <c r="AH98" s="262">
        <f>IF(AQ98="0",BJ98,0)</f>
        <v>0</v>
      </c>
      <c r="AI98" s="253"/>
      <c r="AJ98" s="268">
        <f>IF(AN98=0,K98,0)</f>
        <v>0</v>
      </c>
      <c r="AK98" s="268">
        <f>IF(AN98=15,K98,0)</f>
        <v>0</v>
      </c>
      <c r="AL98" s="268">
        <f>IF(AN98=21,K98,0)</f>
        <v>0</v>
      </c>
      <c r="AN98" s="262">
        <v>21</v>
      </c>
      <c r="AO98" s="262">
        <f>H98*1</f>
        <v>0</v>
      </c>
      <c r="AP98" s="262">
        <f>H98*(1-1)</f>
        <v>0</v>
      </c>
      <c r="AQ98" s="269" t="s">
        <v>388</v>
      </c>
      <c r="AV98" s="262">
        <f>AW98+AX98</f>
        <v>0</v>
      </c>
      <c r="AW98" s="262">
        <f>G98*AO98</f>
        <v>0</v>
      </c>
      <c r="AX98" s="262">
        <f>G98*AP98</f>
        <v>0</v>
      </c>
      <c r="AY98" s="263" t="s">
        <v>500</v>
      </c>
      <c r="AZ98" s="263" t="s">
        <v>501</v>
      </c>
      <c r="BA98" s="253" t="s">
        <v>395</v>
      </c>
      <c r="BC98" s="262">
        <f>AW98+AX98</f>
        <v>0</v>
      </c>
      <c r="BD98" s="262">
        <f>H98/(100-BE98)*100</f>
        <v>0</v>
      </c>
      <c r="BE98" s="262">
        <v>0</v>
      </c>
      <c r="BF98" s="262">
        <f>98</f>
        <v>98</v>
      </c>
      <c r="BH98" s="268">
        <f>G98*AO98</f>
        <v>0</v>
      </c>
      <c r="BI98" s="268">
        <f>G98*AP98</f>
        <v>0</v>
      </c>
      <c r="BJ98" s="268">
        <f>G98*H98</f>
        <v>0</v>
      </c>
    </row>
    <row r="99" spans="1:62" x14ac:dyDescent="0.2">
      <c r="B99" s="266" t="s">
        <v>408</v>
      </c>
      <c r="C99" s="337" t="s">
        <v>579</v>
      </c>
      <c r="D99" s="337"/>
      <c r="E99" s="337"/>
      <c r="F99" s="337"/>
      <c r="G99" s="337"/>
      <c r="H99" s="337"/>
      <c r="I99" s="337"/>
      <c r="J99" s="337"/>
      <c r="K99" s="337"/>
      <c r="L99" s="337"/>
    </row>
    <row r="100" spans="1:62" x14ac:dyDescent="0.2">
      <c r="A100" s="267" t="s">
        <v>580</v>
      </c>
      <c r="B100" s="267" t="s">
        <v>581</v>
      </c>
      <c r="C100" s="339" t="s">
        <v>582</v>
      </c>
      <c r="D100" s="339"/>
      <c r="E100" s="339"/>
      <c r="F100" s="267" t="s">
        <v>143</v>
      </c>
      <c r="G100" s="268">
        <v>16</v>
      </c>
      <c r="H100" s="268">
        <v>0</v>
      </c>
      <c r="I100" s="268">
        <f>G100*AO100</f>
        <v>0</v>
      </c>
      <c r="J100" s="268">
        <f>G100*AP100</f>
        <v>0</v>
      </c>
      <c r="K100" s="268">
        <f>G100*H100</f>
        <v>0</v>
      </c>
      <c r="L100" s="269" t="s">
        <v>402</v>
      </c>
      <c r="Z100" s="262">
        <f>IF(AQ100="5",BJ100,0)</f>
        <v>0</v>
      </c>
      <c r="AB100" s="262">
        <f>IF(AQ100="1",BH100,0)</f>
        <v>0</v>
      </c>
      <c r="AC100" s="262">
        <f>IF(AQ100="1",BI100,0)</f>
        <v>0</v>
      </c>
      <c r="AD100" s="262">
        <f>IF(AQ100="7",BH100,0)</f>
        <v>0</v>
      </c>
      <c r="AE100" s="262">
        <f>IF(AQ100="7",BI100,0)</f>
        <v>0</v>
      </c>
      <c r="AF100" s="262">
        <f>IF(AQ100="2",BH100,0)</f>
        <v>0</v>
      </c>
      <c r="AG100" s="262">
        <f>IF(AQ100="2",BI100,0)</f>
        <v>0</v>
      </c>
      <c r="AH100" s="262">
        <f>IF(AQ100="0",BJ100,0)</f>
        <v>0</v>
      </c>
      <c r="AI100" s="253"/>
      <c r="AJ100" s="268">
        <f>IF(AN100=0,K100,0)</f>
        <v>0</v>
      </c>
      <c r="AK100" s="268">
        <f>IF(AN100=15,K100,0)</f>
        <v>0</v>
      </c>
      <c r="AL100" s="268">
        <f>IF(AN100=21,K100,0)</f>
        <v>0</v>
      </c>
      <c r="AN100" s="262">
        <v>21</v>
      </c>
      <c r="AO100" s="262">
        <f>H100*1</f>
        <v>0</v>
      </c>
      <c r="AP100" s="262">
        <f>H100*(1-1)</f>
        <v>0</v>
      </c>
      <c r="AQ100" s="269" t="s">
        <v>388</v>
      </c>
      <c r="AV100" s="262">
        <f>AW100+AX100</f>
        <v>0</v>
      </c>
      <c r="AW100" s="262">
        <f>G100*AO100</f>
        <v>0</v>
      </c>
      <c r="AX100" s="262">
        <f>G100*AP100</f>
        <v>0</v>
      </c>
      <c r="AY100" s="263" t="s">
        <v>500</v>
      </c>
      <c r="AZ100" s="263" t="s">
        <v>501</v>
      </c>
      <c r="BA100" s="253" t="s">
        <v>395</v>
      </c>
      <c r="BC100" s="262">
        <f>AW100+AX100</f>
        <v>0</v>
      </c>
      <c r="BD100" s="262">
        <f>H100/(100-BE100)*100</f>
        <v>0</v>
      </c>
      <c r="BE100" s="262">
        <v>0</v>
      </c>
      <c r="BF100" s="262">
        <f>100</f>
        <v>100</v>
      </c>
      <c r="BH100" s="268">
        <f>G100*AO100</f>
        <v>0</v>
      </c>
      <c r="BI100" s="268">
        <f>G100*AP100</f>
        <v>0</v>
      </c>
      <c r="BJ100" s="268">
        <f>G100*H100</f>
        <v>0</v>
      </c>
    </row>
    <row r="101" spans="1:62" x14ac:dyDescent="0.2">
      <c r="A101" s="267" t="s">
        <v>583</v>
      </c>
      <c r="B101" s="267" t="s">
        <v>584</v>
      </c>
      <c r="C101" s="339" t="s">
        <v>585</v>
      </c>
      <c r="D101" s="339"/>
      <c r="E101" s="339"/>
      <c r="F101" s="267" t="s">
        <v>177</v>
      </c>
      <c r="G101" s="268">
        <v>0.03</v>
      </c>
      <c r="H101" s="268">
        <v>0</v>
      </c>
      <c r="I101" s="268">
        <f>G101*AO101</f>
        <v>0</v>
      </c>
      <c r="J101" s="268">
        <f>G101*AP101</f>
        <v>0</v>
      </c>
      <c r="K101" s="268">
        <f>G101*H101</f>
        <v>0</v>
      </c>
      <c r="L101" s="269" t="s">
        <v>402</v>
      </c>
      <c r="Z101" s="262">
        <f>IF(AQ101="5",BJ101,0)</f>
        <v>0</v>
      </c>
      <c r="AB101" s="262">
        <f>IF(AQ101="1",BH101,0)</f>
        <v>0</v>
      </c>
      <c r="AC101" s="262">
        <f>IF(AQ101="1",BI101,0)</f>
        <v>0</v>
      </c>
      <c r="AD101" s="262">
        <f>IF(AQ101="7",BH101,0)</f>
        <v>0</v>
      </c>
      <c r="AE101" s="262">
        <f>IF(AQ101="7",BI101,0)</f>
        <v>0</v>
      </c>
      <c r="AF101" s="262">
        <f>IF(AQ101="2",BH101,0)</f>
        <v>0</v>
      </c>
      <c r="AG101" s="262">
        <f>IF(AQ101="2",BI101,0)</f>
        <v>0</v>
      </c>
      <c r="AH101" s="262">
        <f>IF(AQ101="0",BJ101,0)</f>
        <v>0</v>
      </c>
      <c r="AI101" s="253"/>
      <c r="AJ101" s="268">
        <f>IF(AN101=0,K101,0)</f>
        <v>0</v>
      </c>
      <c r="AK101" s="268">
        <f>IF(AN101=15,K101,0)</f>
        <v>0</v>
      </c>
      <c r="AL101" s="268">
        <f>IF(AN101=21,K101,0)</f>
        <v>0</v>
      </c>
      <c r="AN101" s="262">
        <v>21</v>
      </c>
      <c r="AO101" s="262">
        <f>H101*1</f>
        <v>0</v>
      </c>
      <c r="AP101" s="262">
        <f>H101*(1-1)</f>
        <v>0</v>
      </c>
      <c r="AQ101" s="269" t="s">
        <v>388</v>
      </c>
      <c r="AV101" s="262">
        <f>AW101+AX101</f>
        <v>0</v>
      </c>
      <c r="AW101" s="262">
        <f>G101*AO101</f>
        <v>0</v>
      </c>
      <c r="AX101" s="262">
        <f>G101*AP101</f>
        <v>0</v>
      </c>
      <c r="AY101" s="263" t="s">
        <v>500</v>
      </c>
      <c r="AZ101" s="263" t="s">
        <v>501</v>
      </c>
      <c r="BA101" s="253" t="s">
        <v>395</v>
      </c>
      <c r="BC101" s="262">
        <f>AW101+AX101</f>
        <v>0</v>
      </c>
      <c r="BD101" s="262">
        <f>H101/(100-BE101)*100</f>
        <v>0</v>
      </c>
      <c r="BE101" s="262">
        <v>0</v>
      </c>
      <c r="BF101" s="262">
        <f>101</f>
        <v>101</v>
      </c>
      <c r="BH101" s="268">
        <f>G101*AO101</f>
        <v>0</v>
      </c>
      <c r="BI101" s="268">
        <f>G101*AP101</f>
        <v>0</v>
      </c>
      <c r="BJ101" s="268">
        <f>G101*H101</f>
        <v>0</v>
      </c>
    </row>
    <row r="102" spans="1:62" x14ac:dyDescent="0.2">
      <c r="B102" s="266" t="s">
        <v>408</v>
      </c>
      <c r="C102" s="337" t="s">
        <v>586</v>
      </c>
      <c r="D102" s="337"/>
      <c r="E102" s="337"/>
      <c r="F102" s="337"/>
      <c r="G102" s="337"/>
      <c r="H102" s="337"/>
      <c r="I102" s="337"/>
      <c r="J102" s="337"/>
      <c r="K102" s="337"/>
      <c r="L102" s="337"/>
    </row>
    <row r="103" spans="1:62" x14ac:dyDescent="0.2">
      <c r="A103" s="267" t="s">
        <v>587</v>
      </c>
      <c r="B103" s="267" t="s">
        <v>588</v>
      </c>
      <c r="C103" s="339" t="s">
        <v>589</v>
      </c>
      <c r="D103" s="339"/>
      <c r="E103" s="339"/>
      <c r="F103" s="267" t="s">
        <v>393</v>
      </c>
      <c r="G103" s="268">
        <v>1</v>
      </c>
      <c r="H103" s="268">
        <v>0</v>
      </c>
      <c r="I103" s="268">
        <f>G103*AO103</f>
        <v>0</v>
      </c>
      <c r="J103" s="268">
        <f>G103*AP103</f>
        <v>0</v>
      </c>
      <c r="K103" s="268">
        <f t="shared" ref="K103:K124" si="48">G103*H103</f>
        <v>0</v>
      </c>
      <c r="L103" s="269"/>
      <c r="Z103" s="262">
        <f>IF(AQ103="5",BJ103,0)</f>
        <v>0</v>
      </c>
      <c r="AB103" s="262">
        <f>IF(AQ103="1",BH103,0)</f>
        <v>0</v>
      </c>
      <c r="AC103" s="262">
        <f>IF(AQ103="1",BI103,0)</f>
        <v>0</v>
      </c>
      <c r="AD103" s="262">
        <f>IF(AQ103="7",BH103,0)</f>
        <v>0</v>
      </c>
      <c r="AE103" s="262">
        <f>IF(AQ103="7",BI103,0)</f>
        <v>0</v>
      </c>
      <c r="AF103" s="262">
        <f>IF(AQ103="2",BH103,0)</f>
        <v>0</v>
      </c>
      <c r="AG103" s="262">
        <f>IF(AQ103="2",BI103,0)</f>
        <v>0</v>
      </c>
      <c r="AH103" s="262">
        <f>IF(AQ103="0",BJ103,0)</f>
        <v>0</v>
      </c>
      <c r="AI103" s="253"/>
      <c r="AJ103" s="268">
        <f>IF(AN103=0,K103,0)</f>
        <v>0</v>
      </c>
      <c r="AK103" s="268">
        <f>IF(AN103=15,K103,0)</f>
        <v>0</v>
      </c>
      <c r="AL103" s="268">
        <f>IF(AN103=21,K103,0)</f>
        <v>0</v>
      </c>
      <c r="AN103" s="262">
        <v>21</v>
      </c>
      <c r="AO103" s="262">
        <f>H103*1</f>
        <v>0</v>
      </c>
      <c r="AP103" s="262">
        <f>H103*(1-1)</f>
        <v>0</v>
      </c>
      <c r="AQ103" s="269" t="s">
        <v>388</v>
      </c>
      <c r="AV103" s="262">
        <f>AW103+AX103</f>
        <v>0</v>
      </c>
      <c r="AW103" s="262">
        <f>G103*AO103</f>
        <v>0</v>
      </c>
      <c r="AX103" s="262">
        <f>G103*AP103</f>
        <v>0</v>
      </c>
      <c r="AY103" s="263" t="s">
        <v>500</v>
      </c>
      <c r="AZ103" s="263" t="s">
        <v>501</v>
      </c>
      <c r="BA103" s="253" t="s">
        <v>395</v>
      </c>
      <c r="BC103" s="262">
        <f>AW103+AX103</f>
        <v>0</v>
      </c>
      <c r="BD103" s="262">
        <f>H103/(100-BE103)*100</f>
        <v>0</v>
      </c>
      <c r="BE103" s="262">
        <v>0</v>
      </c>
      <c r="BF103" s="262">
        <f>103</f>
        <v>103</v>
      </c>
      <c r="BH103" s="268">
        <f>G103*AO103</f>
        <v>0</v>
      </c>
      <c r="BI103" s="268">
        <f>G103*AP103</f>
        <v>0</v>
      </c>
      <c r="BJ103" s="268">
        <f>G103*H103</f>
        <v>0</v>
      </c>
    </row>
    <row r="104" spans="1:62" x14ac:dyDescent="0.2">
      <c r="A104" s="270" t="s">
        <v>590</v>
      </c>
      <c r="B104" s="270" t="s">
        <v>591</v>
      </c>
      <c r="C104" s="345" t="s">
        <v>592</v>
      </c>
      <c r="D104" s="345"/>
      <c r="E104" s="345"/>
      <c r="F104" s="270" t="s">
        <v>173</v>
      </c>
      <c r="G104" s="271">
        <v>8</v>
      </c>
      <c r="H104" s="271">
        <v>0</v>
      </c>
      <c r="I104" s="271">
        <f t="shared" ref="I104:I124" si="49">G104*AO103</f>
        <v>0</v>
      </c>
      <c r="J104" s="271">
        <f t="shared" ref="J104:J124" si="50">G104*AP103</f>
        <v>0</v>
      </c>
      <c r="K104" s="271">
        <f t="shared" si="48"/>
        <v>0</v>
      </c>
      <c r="L104" s="272"/>
      <c r="Z104" s="262">
        <f>IF(AQ104="5",BJ104,0)</f>
        <v>0</v>
      </c>
      <c r="AB104" s="262">
        <f>IF(AQ104="1",BH104,0)</f>
        <v>0</v>
      </c>
      <c r="AC104" s="262">
        <f>IF(AQ104="1",BI104,0)</f>
        <v>0</v>
      </c>
      <c r="AD104" s="262">
        <f>IF(AQ104="7",BH104,0)</f>
        <v>0</v>
      </c>
      <c r="AE104" s="262">
        <f>IF(AQ104="7",BI104,0)</f>
        <v>0</v>
      </c>
      <c r="AF104" s="262">
        <f>IF(AQ104="2",BH104,0)</f>
        <v>0</v>
      </c>
      <c r="AG104" s="262">
        <f>IF(AQ104="2",BI104,0)</f>
        <v>0</v>
      </c>
      <c r="AH104" s="262">
        <f>IF(AQ104="0",BJ104,0)</f>
        <v>0</v>
      </c>
      <c r="AI104" s="253"/>
      <c r="AJ104" s="268">
        <f>IF(AN104=0,K127,0)</f>
        <v>0</v>
      </c>
      <c r="AK104" s="268">
        <f>IF(AN104=15,K127,0)</f>
        <v>0</v>
      </c>
      <c r="AL104" s="268">
        <f>IF(AN104=21,K127,0)</f>
        <v>0</v>
      </c>
      <c r="AN104" s="262">
        <v>21</v>
      </c>
      <c r="AO104" s="262">
        <f>H127*1</f>
        <v>0</v>
      </c>
      <c r="AP104" s="262">
        <f>H127*(1-1)</f>
        <v>0</v>
      </c>
      <c r="AQ104" s="269" t="s">
        <v>388</v>
      </c>
      <c r="AV104" s="262">
        <f>AW104+AX104</f>
        <v>0</v>
      </c>
      <c r="AW104" s="262">
        <f>G127*AO104</f>
        <v>0</v>
      </c>
      <c r="AX104" s="262">
        <f>G127*AP104</f>
        <v>0</v>
      </c>
      <c r="AY104" s="263" t="s">
        <v>500</v>
      </c>
      <c r="AZ104" s="263" t="s">
        <v>501</v>
      </c>
      <c r="BA104" s="253" t="s">
        <v>395</v>
      </c>
      <c r="BC104" s="262">
        <f>AW104+AX104</f>
        <v>0</v>
      </c>
      <c r="BD104" s="262">
        <f>H127/(100-BE104)*100</f>
        <v>0</v>
      </c>
      <c r="BE104" s="262">
        <v>0</v>
      </c>
      <c r="BF104" s="262">
        <f>104</f>
        <v>104</v>
      </c>
      <c r="BH104" s="268">
        <f>G127*AO104</f>
        <v>0</v>
      </c>
      <c r="BI104" s="268">
        <f>G127*AP104</f>
        <v>0</v>
      </c>
      <c r="BJ104" s="268">
        <f>G127*H127</f>
        <v>0</v>
      </c>
    </row>
    <row r="105" spans="1:62" x14ac:dyDescent="0.2">
      <c r="A105" s="270" t="s">
        <v>593</v>
      </c>
      <c r="B105" s="270"/>
      <c r="C105" s="270" t="s">
        <v>594</v>
      </c>
      <c r="D105" s="273"/>
      <c r="E105" s="273"/>
      <c r="F105" s="270" t="s">
        <v>173</v>
      </c>
      <c r="G105" s="271">
        <v>8</v>
      </c>
      <c r="H105" s="271">
        <v>0</v>
      </c>
      <c r="I105" s="271">
        <f t="shared" si="49"/>
        <v>0</v>
      </c>
      <c r="J105" s="271">
        <f t="shared" si="50"/>
        <v>0</v>
      </c>
      <c r="K105" s="271">
        <f t="shared" si="48"/>
        <v>0</v>
      </c>
      <c r="L105" s="272"/>
      <c r="Z105" s="262"/>
      <c r="AB105" s="262"/>
      <c r="AC105" s="262"/>
      <c r="AD105" s="262"/>
      <c r="AE105" s="262"/>
      <c r="AF105" s="262"/>
      <c r="AG105" s="262"/>
      <c r="AH105" s="262"/>
      <c r="AI105" s="253"/>
      <c r="AJ105" s="268"/>
      <c r="AK105" s="268"/>
      <c r="AL105" s="268"/>
      <c r="AN105" s="262"/>
      <c r="AO105" s="262"/>
      <c r="AP105" s="262"/>
      <c r="AQ105" s="269"/>
      <c r="AV105" s="262"/>
      <c r="AW105" s="262"/>
      <c r="AX105" s="262"/>
      <c r="AY105" s="263"/>
      <c r="AZ105" s="263"/>
      <c r="BA105" s="253"/>
      <c r="BC105" s="262"/>
      <c r="BD105" s="262"/>
      <c r="BE105" s="262"/>
      <c r="BF105" s="262"/>
      <c r="BH105" s="268"/>
      <c r="BI105" s="268"/>
      <c r="BJ105" s="268"/>
    </row>
    <row r="106" spans="1:62" x14ac:dyDescent="0.2">
      <c r="A106" s="270" t="s">
        <v>53</v>
      </c>
      <c r="B106" s="270"/>
      <c r="C106" s="270" t="s">
        <v>595</v>
      </c>
      <c r="D106" s="273"/>
      <c r="E106" s="273"/>
      <c r="F106" s="270" t="s">
        <v>173</v>
      </c>
      <c r="G106" s="271">
        <v>4</v>
      </c>
      <c r="H106" s="271">
        <v>0</v>
      </c>
      <c r="I106" s="271">
        <f t="shared" si="49"/>
        <v>0</v>
      </c>
      <c r="J106" s="271">
        <f t="shared" si="50"/>
        <v>0</v>
      </c>
      <c r="K106" s="271">
        <f t="shared" si="48"/>
        <v>0</v>
      </c>
      <c r="L106" s="272"/>
    </row>
    <row r="107" spans="1:62" ht="11.25" customHeight="1" x14ac:dyDescent="0.2">
      <c r="A107" s="270" t="s">
        <v>55</v>
      </c>
      <c r="B107" s="270"/>
      <c r="C107" s="270" t="s">
        <v>596</v>
      </c>
      <c r="D107" s="273"/>
      <c r="E107" s="273"/>
      <c r="F107" s="270" t="s">
        <v>173</v>
      </c>
      <c r="G107" s="271">
        <v>4</v>
      </c>
      <c r="H107" s="271">
        <v>0</v>
      </c>
      <c r="I107" s="271">
        <f t="shared" si="49"/>
        <v>0</v>
      </c>
      <c r="J107" s="271">
        <f t="shared" si="50"/>
        <v>0</v>
      </c>
      <c r="K107" s="271">
        <f t="shared" si="48"/>
        <v>0</v>
      </c>
      <c r="L107" s="272"/>
    </row>
    <row r="108" spans="1:62" x14ac:dyDescent="0.2">
      <c r="A108" s="270" t="s">
        <v>597</v>
      </c>
      <c r="B108" s="270" t="s">
        <v>598</v>
      </c>
      <c r="C108" s="270" t="s">
        <v>595</v>
      </c>
      <c r="D108" s="273"/>
      <c r="E108" s="273"/>
      <c r="F108" s="270" t="s">
        <v>173</v>
      </c>
      <c r="G108" s="271">
        <v>4</v>
      </c>
      <c r="H108" s="271">
        <v>0</v>
      </c>
      <c r="I108" s="271">
        <f t="shared" si="49"/>
        <v>0</v>
      </c>
      <c r="J108" s="271">
        <f t="shared" si="50"/>
        <v>0</v>
      </c>
      <c r="K108" s="271">
        <f t="shared" si="48"/>
        <v>0</v>
      </c>
      <c r="L108" s="272"/>
    </row>
    <row r="109" spans="1:62" x14ac:dyDescent="0.2">
      <c r="A109" s="270" t="s">
        <v>57</v>
      </c>
      <c r="B109" s="270"/>
      <c r="C109" s="270" t="s">
        <v>599</v>
      </c>
      <c r="D109" s="273"/>
      <c r="E109" s="273"/>
      <c r="F109" s="270" t="s">
        <v>173</v>
      </c>
      <c r="G109" s="271">
        <v>6</v>
      </c>
      <c r="H109" s="271">
        <v>0</v>
      </c>
      <c r="I109" s="271">
        <f t="shared" si="49"/>
        <v>0</v>
      </c>
      <c r="J109" s="271">
        <f t="shared" si="50"/>
        <v>0</v>
      </c>
      <c r="K109" s="271">
        <f t="shared" si="48"/>
        <v>0</v>
      </c>
      <c r="L109" s="272"/>
    </row>
    <row r="110" spans="1:62" x14ac:dyDescent="0.2">
      <c r="A110" s="270" t="s">
        <v>600</v>
      </c>
      <c r="B110" s="270" t="s">
        <v>601</v>
      </c>
      <c r="C110" s="270" t="s">
        <v>602</v>
      </c>
      <c r="D110" s="273"/>
      <c r="E110" s="273"/>
      <c r="F110" s="270" t="s">
        <v>173</v>
      </c>
      <c r="G110" s="271">
        <v>2</v>
      </c>
      <c r="H110" s="271">
        <v>0</v>
      </c>
      <c r="I110" s="271">
        <f t="shared" si="49"/>
        <v>0</v>
      </c>
      <c r="J110" s="271">
        <f t="shared" si="50"/>
        <v>0</v>
      </c>
      <c r="K110" s="271">
        <f t="shared" si="48"/>
        <v>0</v>
      </c>
      <c r="L110" s="272"/>
    </row>
    <row r="111" spans="1:62" x14ac:dyDescent="0.2">
      <c r="A111" s="270" t="s">
        <v>603</v>
      </c>
      <c r="B111" s="270" t="s">
        <v>604</v>
      </c>
      <c r="C111" s="270" t="s">
        <v>605</v>
      </c>
      <c r="D111" s="273"/>
      <c r="E111" s="273"/>
      <c r="F111" s="270" t="s">
        <v>173</v>
      </c>
      <c r="G111" s="271">
        <v>12</v>
      </c>
      <c r="H111" s="271">
        <v>0</v>
      </c>
      <c r="I111" s="271">
        <f t="shared" si="49"/>
        <v>0</v>
      </c>
      <c r="J111" s="271">
        <f t="shared" si="50"/>
        <v>0</v>
      </c>
      <c r="K111" s="271">
        <f t="shared" si="48"/>
        <v>0</v>
      </c>
      <c r="L111" s="272"/>
    </row>
    <row r="112" spans="1:62" x14ac:dyDescent="0.2">
      <c r="A112" s="270" t="s">
        <v>606</v>
      </c>
      <c r="B112" s="270"/>
      <c r="C112" s="270" t="s">
        <v>607</v>
      </c>
      <c r="D112" s="273"/>
      <c r="E112" s="273"/>
      <c r="F112" s="270" t="s">
        <v>173</v>
      </c>
      <c r="G112" s="271">
        <v>12</v>
      </c>
      <c r="H112" s="271">
        <v>0</v>
      </c>
      <c r="I112" s="271">
        <f t="shared" si="49"/>
        <v>0</v>
      </c>
      <c r="J112" s="271">
        <f t="shared" si="50"/>
        <v>0</v>
      </c>
      <c r="K112" s="271">
        <f t="shared" si="48"/>
        <v>0</v>
      </c>
      <c r="L112" s="272"/>
    </row>
    <row r="113" spans="1:12" x14ac:dyDescent="0.2">
      <c r="A113" s="270" t="s">
        <v>608</v>
      </c>
      <c r="B113" s="270"/>
      <c r="C113" s="270" t="s">
        <v>609</v>
      </c>
      <c r="D113" s="273"/>
      <c r="E113" s="273"/>
      <c r="F113" s="270" t="s">
        <v>173</v>
      </c>
      <c r="G113" s="271">
        <v>4</v>
      </c>
      <c r="H113" s="271">
        <v>0</v>
      </c>
      <c r="I113" s="271">
        <f t="shared" si="49"/>
        <v>0</v>
      </c>
      <c r="J113" s="271">
        <f t="shared" si="50"/>
        <v>0</v>
      </c>
      <c r="K113" s="271">
        <f t="shared" si="48"/>
        <v>0</v>
      </c>
      <c r="L113" s="272"/>
    </row>
    <row r="114" spans="1:12" x14ac:dyDescent="0.2">
      <c r="A114" s="270" t="s">
        <v>610</v>
      </c>
      <c r="B114" s="270"/>
      <c r="C114" s="270" t="s">
        <v>611</v>
      </c>
      <c r="D114" s="273"/>
      <c r="E114" s="273"/>
      <c r="F114" s="270" t="s">
        <v>173</v>
      </c>
      <c r="G114" s="271">
        <v>4</v>
      </c>
      <c r="H114" s="271">
        <v>0</v>
      </c>
      <c r="I114" s="271">
        <f t="shared" si="49"/>
        <v>0</v>
      </c>
      <c r="J114" s="271">
        <f t="shared" si="50"/>
        <v>0</v>
      </c>
      <c r="K114" s="271">
        <f t="shared" si="48"/>
        <v>0</v>
      </c>
      <c r="L114" s="272"/>
    </row>
    <row r="115" spans="1:12" x14ac:dyDescent="0.2">
      <c r="A115" s="270" t="s">
        <v>612</v>
      </c>
      <c r="B115" s="270"/>
      <c r="C115" s="340" t="s">
        <v>613</v>
      </c>
      <c r="D115" s="340"/>
      <c r="E115" s="340"/>
      <c r="F115" s="270" t="s">
        <v>173</v>
      </c>
      <c r="G115" s="271">
        <v>24</v>
      </c>
      <c r="H115" s="271">
        <v>0</v>
      </c>
      <c r="I115" s="271">
        <f t="shared" si="49"/>
        <v>0</v>
      </c>
      <c r="J115" s="271">
        <f t="shared" si="50"/>
        <v>0</v>
      </c>
      <c r="K115" s="271">
        <f t="shared" si="48"/>
        <v>0</v>
      </c>
      <c r="L115" s="272"/>
    </row>
    <row r="116" spans="1:12" x14ac:dyDescent="0.2">
      <c r="A116" s="270" t="s">
        <v>614</v>
      </c>
      <c r="B116" s="270"/>
      <c r="C116" s="270" t="s">
        <v>615</v>
      </c>
      <c r="D116" s="273"/>
      <c r="E116" s="273"/>
      <c r="F116" s="270" t="s">
        <v>173</v>
      </c>
      <c r="G116" s="271">
        <v>2</v>
      </c>
      <c r="H116" s="271">
        <v>0</v>
      </c>
      <c r="I116" s="271">
        <f t="shared" si="49"/>
        <v>0</v>
      </c>
      <c r="J116" s="271">
        <f t="shared" si="50"/>
        <v>0</v>
      </c>
      <c r="K116" s="271">
        <f t="shared" si="48"/>
        <v>0</v>
      </c>
      <c r="L116" s="272"/>
    </row>
    <row r="117" spans="1:12" x14ac:dyDescent="0.2">
      <c r="A117" s="270" t="s">
        <v>616</v>
      </c>
      <c r="B117" s="270"/>
      <c r="C117" s="270" t="s">
        <v>617</v>
      </c>
      <c r="D117" s="273"/>
      <c r="E117" s="273"/>
      <c r="F117" s="270" t="s">
        <v>173</v>
      </c>
      <c r="G117" s="271">
        <v>2</v>
      </c>
      <c r="H117" s="271">
        <v>0</v>
      </c>
      <c r="I117" s="271">
        <f t="shared" si="49"/>
        <v>0</v>
      </c>
      <c r="J117" s="271">
        <f t="shared" si="50"/>
        <v>0</v>
      </c>
      <c r="K117" s="271">
        <f t="shared" si="48"/>
        <v>0</v>
      </c>
      <c r="L117" s="272"/>
    </row>
    <row r="118" spans="1:12" x14ac:dyDescent="0.2">
      <c r="A118" s="270" t="s">
        <v>618</v>
      </c>
      <c r="B118" s="270"/>
      <c r="C118" s="270" t="s">
        <v>619</v>
      </c>
      <c r="D118" s="273"/>
      <c r="E118" s="273"/>
      <c r="F118" s="270" t="s">
        <v>173</v>
      </c>
      <c r="G118" s="271">
        <v>4</v>
      </c>
      <c r="H118" s="271">
        <v>0</v>
      </c>
      <c r="I118" s="271">
        <f t="shared" si="49"/>
        <v>0</v>
      </c>
      <c r="J118" s="271">
        <f t="shared" si="50"/>
        <v>0</v>
      </c>
      <c r="K118" s="271">
        <f t="shared" si="48"/>
        <v>0</v>
      </c>
      <c r="L118" s="272"/>
    </row>
    <row r="119" spans="1:12" x14ac:dyDescent="0.2">
      <c r="A119" s="270" t="s">
        <v>620</v>
      </c>
      <c r="B119" s="270"/>
      <c r="C119" s="270" t="s">
        <v>621</v>
      </c>
      <c r="D119" s="273"/>
      <c r="E119" s="273"/>
      <c r="F119" s="270" t="s">
        <v>173</v>
      </c>
      <c r="G119" s="271">
        <v>2</v>
      </c>
      <c r="H119" s="271">
        <v>0</v>
      </c>
      <c r="I119" s="271">
        <f t="shared" si="49"/>
        <v>0</v>
      </c>
      <c r="J119" s="271">
        <f t="shared" si="50"/>
        <v>0</v>
      </c>
      <c r="K119" s="271">
        <f t="shared" si="48"/>
        <v>0</v>
      </c>
      <c r="L119" s="272"/>
    </row>
    <row r="120" spans="1:12" x14ac:dyDescent="0.2">
      <c r="A120" s="270" t="s">
        <v>622</v>
      </c>
      <c r="B120" s="270"/>
      <c r="C120" s="270" t="s">
        <v>623</v>
      </c>
      <c r="D120" s="273"/>
      <c r="E120" s="273"/>
      <c r="F120" s="270" t="s">
        <v>173</v>
      </c>
      <c r="G120" s="271">
        <v>2</v>
      </c>
      <c r="H120" s="271">
        <v>0</v>
      </c>
      <c r="I120" s="271">
        <f t="shared" si="49"/>
        <v>0</v>
      </c>
      <c r="J120" s="271">
        <f t="shared" si="50"/>
        <v>0</v>
      </c>
      <c r="K120" s="271">
        <f t="shared" si="48"/>
        <v>0</v>
      </c>
      <c r="L120" s="272"/>
    </row>
    <row r="121" spans="1:12" x14ac:dyDescent="0.2">
      <c r="A121" s="270" t="s">
        <v>624</v>
      </c>
      <c r="B121" s="270"/>
      <c r="C121" s="270" t="s">
        <v>625</v>
      </c>
      <c r="D121" s="273"/>
      <c r="E121" s="273"/>
      <c r="F121" s="270" t="s">
        <v>173</v>
      </c>
      <c r="G121" s="271">
        <v>6</v>
      </c>
      <c r="H121" s="271">
        <v>0</v>
      </c>
      <c r="I121" s="271">
        <f t="shared" si="49"/>
        <v>0</v>
      </c>
      <c r="J121" s="271">
        <f t="shared" si="50"/>
        <v>0</v>
      </c>
      <c r="K121" s="271">
        <f t="shared" si="48"/>
        <v>0</v>
      </c>
      <c r="L121" s="272"/>
    </row>
    <row r="122" spans="1:12" x14ac:dyDescent="0.2">
      <c r="A122" s="270" t="s">
        <v>626</v>
      </c>
      <c r="B122" s="270"/>
      <c r="C122" s="270" t="s">
        <v>627</v>
      </c>
      <c r="D122" s="273"/>
      <c r="E122" s="273"/>
      <c r="F122" s="270" t="s">
        <v>173</v>
      </c>
      <c r="G122" s="271">
        <v>6</v>
      </c>
      <c r="H122" s="271">
        <v>0</v>
      </c>
      <c r="I122" s="271">
        <f t="shared" si="49"/>
        <v>0</v>
      </c>
      <c r="J122" s="271">
        <f t="shared" si="50"/>
        <v>0</v>
      </c>
      <c r="K122" s="271">
        <f t="shared" si="48"/>
        <v>0</v>
      </c>
      <c r="L122" s="272"/>
    </row>
    <row r="123" spans="1:12" x14ac:dyDescent="0.2">
      <c r="A123" s="270" t="s">
        <v>628</v>
      </c>
      <c r="B123" s="270"/>
      <c r="C123" s="270" t="s">
        <v>629</v>
      </c>
      <c r="D123" s="273"/>
      <c r="E123" s="273"/>
      <c r="F123" s="270" t="s">
        <v>173</v>
      </c>
      <c r="G123" s="271">
        <v>8</v>
      </c>
      <c r="H123" s="271">
        <v>0</v>
      </c>
      <c r="I123" s="271">
        <f t="shared" si="49"/>
        <v>0</v>
      </c>
      <c r="J123" s="271">
        <f t="shared" si="50"/>
        <v>0</v>
      </c>
      <c r="K123" s="271">
        <f t="shared" si="48"/>
        <v>0</v>
      </c>
      <c r="L123" s="272"/>
    </row>
    <row r="124" spans="1:12" x14ac:dyDescent="0.2">
      <c r="A124" s="270" t="s">
        <v>630</v>
      </c>
      <c r="B124" s="270"/>
      <c r="C124" s="341" t="s">
        <v>631</v>
      </c>
      <c r="D124" s="341"/>
      <c r="E124" s="341"/>
      <c r="F124" s="270" t="s">
        <v>173</v>
      </c>
      <c r="G124" s="271">
        <v>3</v>
      </c>
      <c r="H124" s="271">
        <v>0</v>
      </c>
      <c r="I124" s="271">
        <f t="shared" si="49"/>
        <v>0</v>
      </c>
      <c r="J124" s="271">
        <f t="shared" si="50"/>
        <v>0</v>
      </c>
      <c r="K124" s="271">
        <f t="shared" si="48"/>
        <v>0</v>
      </c>
      <c r="L124" s="272"/>
    </row>
    <row r="125" spans="1:12" x14ac:dyDescent="0.2">
      <c r="A125" s="270" t="s">
        <v>632</v>
      </c>
      <c r="B125" s="270"/>
      <c r="C125" s="270" t="s">
        <v>633</v>
      </c>
      <c r="D125" s="273"/>
      <c r="E125" s="273"/>
      <c r="F125" s="270"/>
      <c r="G125" s="271"/>
      <c r="H125" s="271"/>
      <c r="I125" s="271"/>
      <c r="J125" s="271"/>
      <c r="K125" s="271"/>
      <c r="L125" s="272"/>
    </row>
    <row r="126" spans="1:12" x14ac:dyDescent="0.2">
      <c r="A126" s="270" t="s">
        <v>634</v>
      </c>
      <c r="B126" s="270" t="s">
        <v>635</v>
      </c>
      <c r="C126" s="270" t="s">
        <v>636</v>
      </c>
      <c r="D126" s="273"/>
      <c r="E126" s="273"/>
      <c r="F126" s="270" t="s">
        <v>173</v>
      </c>
      <c r="G126" s="271">
        <v>4</v>
      </c>
      <c r="H126" s="271">
        <v>0</v>
      </c>
      <c r="I126" s="271">
        <f>G126*AO125</f>
        <v>0</v>
      </c>
      <c r="J126" s="271">
        <f>G126*AP125</f>
        <v>0</v>
      </c>
      <c r="K126" s="271">
        <f>G126*H126</f>
        <v>0</v>
      </c>
      <c r="L126" s="272"/>
    </row>
    <row r="127" spans="1:12" x14ac:dyDescent="0.2">
      <c r="A127" s="270" t="s">
        <v>637</v>
      </c>
      <c r="B127" s="270" t="s">
        <v>638</v>
      </c>
      <c r="C127" s="342" t="s">
        <v>639</v>
      </c>
      <c r="D127" s="342"/>
      <c r="E127" s="342"/>
      <c r="F127" s="270" t="s">
        <v>173</v>
      </c>
      <c r="G127" s="271">
        <v>2</v>
      </c>
      <c r="H127" s="271">
        <v>0</v>
      </c>
      <c r="I127" s="271">
        <f>G127*AO104</f>
        <v>0</v>
      </c>
      <c r="J127" s="271">
        <f>G127*AP104</f>
        <v>0</v>
      </c>
      <c r="K127" s="271">
        <f>G127*H127</f>
        <v>0</v>
      </c>
      <c r="L127" s="272"/>
    </row>
    <row r="128" spans="1:12" x14ac:dyDescent="0.2">
      <c r="A128" s="274"/>
      <c r="B128" s="274"/>
      <c r="C128" s="274"/>
      <c r="D128" s="274"/>
      <c r="E128" s="274"/>
      <c r="F128" s="274"/>
      <c r="G128" s="274"/>
      <c r="H128" s="274"/>
      <c r="I128" s="343" t="s">
        <v>640</v>
      </c>
      <c r="J128" s="343"/>
      <c r="K128" s="275">
        <f>K12+K15+K24+K47+K54</f>
        <v>0</v>
      </c>
      <c r="L128" s="274"/>
    </row>
    <row r="129" spans="1:12" x14ac:dyDescent="0.2">
      <c r="A129" s="276" t="s">
        <v>641</v>
      </c>
    </row>
    <row r="130" spans="1:12" x14ac:dyDescent="0.2">
      <c r="A130" s="344"/>
      <c r="B130" s="344"/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</row>
  </sheetData>
  <mergeCells count="126">
    <mergeCell ref="C115:E115"/>
    <mergeCell ref="C124:E124"/>
    <mergeCell ref="C127:E127"/>
    <mergeCell ref="I128:J128"/>
    <mergeCell ref="A130:L130"/>
    <mergeCell ref="C99:L99"/>
    <mergeCell ref="C100:E100"/>
    <mergeCell ref="C101:E101"/>
    <mergeCell ref="C102:L102"/>
    <mergeCell ref="C103:E103"/>
    <mergeCell ref="C104:E104"/>
    <mergeCell ref="C93:L93"/>
    <mergeCell ref="C94:E94"/>
    <mergeCell ref="C95:L95"/>
    <mergeCell ref="C96:E96"/>
    <mergeCell ref="C97:L97"/>
    <mergeCell ref="C98:E98"/>
    <mergeCell ref="C87:L87"/>
    <mergeCell ref="C88:E88"/>
    <mergeCell ref="C89:L89"/>
    <mergeCell ref="C90:E90"/>
    <mergeCell ref="C91:L91"/>
    <mergeCell ref="C92:E92"/>
    <mergeCell ref="C81:L81"/>
    <mergeCell ref="C82:E82"/>
    <mergeCell ref="C83:L83"/>
    <mergeCell ref="C84:E84"/>
    <mergeCell ref="C85:L85"/>
    <mergeCell ref="C86:E86"/>
    <mergeCell ref="C75:L75"/>
    <mergeCell ref="C76:E76"/>
    <mergeCell ref="C77:L77"/>
    <mergeCell ref="C78:E78"/>
    <mergeCell ref="C79:L79"/>
    <mergeCell ref="C80:E80"/>
    <mergeCell ref="C69:L69"/>
    <mergeCell ref="C70:E70"/>
    <mergeCell ref="C71:E71"/>
    <mergeCell ref="C72:L72"/>
    <mergeCell ref="C73:E73"/>
    <mergeCell ref="C74:E74"/>
    <mergeCell ref="C63:E63"/>
    <mergeCell ref="C64:L64"/>
    <mergeCell ref="C65:E65"/>
    <mergeCell ref="C66:L66"/>
    <mergeCell ref="C67:E67"/>
    <mergeCell ref="C68:E68"/>
    <mergeCell ref="C57:E57"/>
    <mergeCell ref="C58:L58"/>
    <mergeCell ref="C59:E59"/>
    <mergeCell ref="C60:L60"/>
    <mergeCell ref="C61:E61"/>
    <mergeCell ref="C62:L62"/>
    <mergeCell ref="C51:L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L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L29"/>
    <mergeCell ref="C30:E30"/>
    <mergeCell ref="C31:E31"/>
    <mergeCell ref="C32:E32"/>
    <mergeCell ref="C21:L21"/>
    <mergeCell ref="C22:E22"/>
    <mergeCell ref="C23:L23"/>
    <mergeCell ref="C24:E24"/>
    <mergeCell ref="C25:E25"/>
    <mergeCell ref="C26:L26"/>
    <mergeCell ref="C15:E15"/>
    <mergeCell ref="C16:E16"/>
    <mergeCell ref="C17:E17"/>
    <mergeCell ref="C18:E18"/>
    <mergeCell ref="C19:L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</mergeCells>
  <pageMargins left="0.39400000000000007" right="0.39400000000000007" top="0.59099999999999997" bottom="0.59099999999999997" header="0.5" footer="0.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46</vt:i4>
      </vt:variant>
    </vt:vector>
  </HeadingPairs>
  <TitlesOfParts>
    <vt:vector size="52" baseType="lpstr">
      <vt:lpstr>Pokyny_pro_vyplnění</vt:lpstr>
      <vt:lpstr>Rekapitulace_celé_stavby</vt:lpstr>
      <vt:lpstr>VzorPolozky</vt:lpstr>
      <vt:lpstr>Celk_vč_stavební_části</vt:lpstr>
      <vt:lpstr>Výpis_položek_UT</vt:lpstr>
      <vt:lpstr>Výpis_položek_elektro_</vt:lpstr>
      <vt:lpstr>Rekapitulace_celé_stavby!CelkemDPHVypocet</vt:lpstr>
      <vt:lpstr>CenaCelkem</vt:lpstr>
      <vt:lpstr>CenaCelkemBezDPH</vt:lpstr>
      <vt:lpstr>Rekapitulace_celé_stavby!CenaCelkemVypocet</vt:lpstr>
      <vt:lpstr>cisloobjektu</vt:lpstr>
      <vt:lpstr>Rekapitulace_celé_stavby!CisloStavby</vt:lpstr>
      <vt:lpstr>CisloStavebnihoRozpoctu</vt:lpstr>
      <vt:lpstr>dadresa</vt:lpstr>
      <vt:lpstr>Rekapitulace_celé_stavby!DIČ</vt:lpstr>
      <vt:lpstr>dmisto</vt:lpstr>
      <vt:lpstr>DPHSni</vt:lpstr>
      <vt:lpstr>DPHZakl</vt:lpstr>
      <vt:lpstr>Rekapitulace_celé_stavby!dpsc</vt:lpstr>
      <vt:lpstr>Rekapitulace_celé_stavby!IČO</vt:lpstr>
      <vt:lpstr>Mena</vt:lpstr>
      <vt:lpstr>MistoStavby</vt:lpstr>
      <vt:lpstr>nazevobjektu</vt:lpstr>
      <vt:lpstr>Rekapitulace_celé_stavby!NazevStavby</vt:lpstr>
      <vt:lpstr>NazevStavebnihoRozpoctu</vt:lpstr>
      <vt:lpstr>oadresa</vt:lpstr>
      <vt:lpstr>Rekapitulace_celé_stavby!Objednatel</vt:lpstr>
      <vt:lpstr>Rekapitulace_celé_stavby!Objekt</vt:lpstr>
      <vt:lpstr>Celk_vč_stavební_části!Oblast_tisku</vt:lpstr>
      <vt:lpstr>Rekapitulace_celé_stavby!Oblast_tisku</vt:lpstr>
      <vt:lpstr>Výpis_položek_UT!Oblast_tisku</vt:lpstr>
      <vt:lpstr>Rekapitulace_celé_stavby!odic</vt:lpstr>
      <vt:lpstr>Rekapitulace_celé_stavby!oico</vt:lpstr>
      <vt:lpstr>Rekapitulace_celé_stavby!omisto</vt:lpstr>
      <vt:lpstr>Rekapitulace_celé_stavby!onazev</vt:lpstr>
      <vt:lpstr>Rekapitulace_celé_stavby!opsc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Rekapitulace_celé_stavby!SazbaDPH1</vt:lpstr>
      <vt:lpstr>Rekapitulace_celé_stavby!SazbaDPH2</vt:lpstr>
      <vt:lpstr>Vypracoval</vt:lpstr>
      <vt:lpstr>ZakladDPHSni</vt:lpstr>
      <vt:lpstr>Rekapitulace_celé_stavby!ZakladDPHSniVypocet</vt:lpstr>
      <vt:lpstr>ZakladDPHZakl</vt:lpstr>
      <vt:lpstr>Rekapitulace_celé_stavby!ZakladDPHZaklVypocet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Navrátil</dc:creator>
  <cp:lastModifiedBy>Bc. Karolína Baslová</cp:lastModifiedBy>
  <cp:lastPrinted>2014-02-28T09:52:57Z</cp:lastPrinted>
  <dcterms:created xsi:type="dcterms:W3CDTF">2009-04-08T07:15:50Z</dcterms:created>
  <dcterms:modified xsi:type="dcterms:W3CDTF">2019-05-10T05:16:25Z</dcterms:modified>
</cp:coreProperties>
</file>