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RMI\Podklady pro VZ\Zakázky ORMI\2019\ZŠ 28. října - stavební úpravy stávajících WC\ZD 6.11.2019\"/>
    </mc:Choice>
  </mc:AlternateContent>
  <xr:revisionPtr revIDLastSave="0" documentId="13_ncr:1_{3A2CC2E6-FDB0-4C0B-9823-1704285A4ADD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Krycí list rozpočtu" sheetId="4" r:id="rId1"/>
    <sheet name="Stavební rozpočet - součet" sheetId="2" r:id="rId2"/>
    <sheet name="Stavební rozpočet" sheetId="1" r:id="rId3"/>
    <sheet name="Výkaz výměr" sheetId="3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4" l="1"/>
  <c r="F2" i="4"/>
  <c r="C4" i="4"/>
  <c r="F4" i="4"/>
  <c r="C6" i="4"/>
  <c r="F6" i="4"/>
  <c r="F8" i="4"/>
  <c r="C10" i="4"/>
  <c r="F10" i="4"/>
  <c r="F22" i="4"/>
  <c r="I22" i="4"/>
  <c r="K14" i="1"/>
  <c r="K13" i="1" s="1"/>
  <c r="G12" i="2" s="1"/>
  <c r="I12" i="2" s="1"/>
  <c r="Z14" i="1"/>
  <c r="AD14" i="1"/>
  <c r="AE14" i="1"/>
  <c r="AF14" i="1"/>
  <c r="AG14" i="1"/>
  <c r="AH14" i="1"/>
  <c r="AJ14" i="1"/>
  <c r="AK14" i="1"/>
  <c r="AO14" i="1"/>
  <c r="I14" i="1" s="1"/>
  <c r="I13" i="1" s="1"/>
  <c r="AP14" i="1"/>
  <c r="BD14" i="1"/>
  <c r="BF14" i="1"/>
  <c r="BH14" i="1"/>
  <c r="AB14" i="1" s="1"/>
  <c r="BI14" i="1"/>
  <c r="AC14" i="1" s="1"/>
  <c r="BJ14" i="1"/>
  <c r="K17" i="1"/>
  <c r="K16" i="1" s="1"/>
  <c r="G13" i="2" s="1"/>
  <c r="I13" i="2" s="1"/>
  <c r="Z17" i="1"/>
  <c r="AD17" i="1"/>
  <c r="AE17" i="1"/>
  <c r="AF17" i="1"/>
  <c r="AG17" i="1"/>
  <c r="AH17" i="1"/>
  <c r="AJ17" i="1"/>
  <c r="AS16" i="1" s="1"/>
  <c r="AK17" i="1"/>
  <c r="AT16" i="1" s="1"/>
  <c r="AO17" i="1"/>
  <c r="BH17" i="1" s="1"/>
  <c r="AB17" i="1" s="1"/>
  <c r="AP17" i="1"/>
  <c r="J17" i="1" s="1"/>
  <c r="J16" i="1" s="1"/>
  <c r="F13" i="2" s="1"/>
  <c r="BD17" i="1"/>
  <c r="BF17" i="1"/>
  <c r="BJ17" i="1"/>
  <c r="K19" i="1"/>
  <c r="AL19" i="1" s="1"/>
  <c r="AU18" i="1" s="1"/>
  <c r="Z19" i="1"/>
  <c r="AD19" i="1"/>
  <c r="AE19" i="1"/>
  <c r="AF19" i="1"/>
  <c r="AG19" i="1"/>
  <c r="AH19" i="1"/>
  <c r="AJ19" i="1"/>
  <c r="AS18" i="1" s="1"/>
  <c r="AK19" i="1"/>
  <c r="AT18" i="1" s="1"/>
  <c r="AO19" i="1"/>
  <c r="I19" i="1" s="1"/>
  <c r="I18" i="1" s="1"/>
  <c r="E14" i="2" s="1"/>
  <c r="AP19" i="1"/>
  <c r="J19" i="1" s="1"/>
  <c r="J18" i="1" s="1"/>
  <c r="F14" i="2" s="1"/>
  <c r="AX19" i="1"/>
  <c r="BD19" i="1"/>
  <c r="BF19" i="1"/>
  <c r="BI19" i="1"/>
  <c r="AC19" i="1" s="1"/>
  <c r="BJ19" i="1"/>
  <c r="K22" i="1"/>
  <c r="Z22" i="1"/>
  <c r="AD22" i="1"/>
  <c r="AE22" i="1"/>
  <c r="AF22" i="1"/>
  <c r="AG22" i="1"/>
  <c r="AH22" i="1"/>
  <c r="AJ22" i="1"/>
  <c r="AK22" i="1"/>
  <c r="AO22" i="1"/>
  <c r="BH22" i="1" s="1"/>
  <c r="AB22" i="1" s="1"/>
  <c r="AP22" i="1"/>
  <c r="J22" i="1" s="1"/>
  <c r="BD22" i="1"/>
  <c r="BF22" i="1"/>
  <c r="BJ22" i="1"/>
  <c r="I24" i="1"/>
  <c r="K24" i="1"/>
  <c r="Z24" i="1"/>
  <c r="AD24" i="1"/>
  <c r="AE24" i="1"/>
  <c r="AF24" i="1"/>
  <c r="AG24" i="1"/>
  <c r="AH24" i="1"/>
  <c r="AJ24" i="1"/>
  <c r="AK24" i="1"/>
  <c r="AL24" i="1"/>
  <c r="AO24" i="1"/>
  <c r="AP24" i="1"/>
  <c r="J24" i="1" s="1"/>
  <c r="AW24" i="1"/>
  <c r="BD24" i="1"/>
  <c r="BF24" i="1"/>
  <c r="BH24" i="1"/>
  <c r="AB24" i="1" s="1"/>
  <c r="BJ24" i="1"/>
  <c r="K27" i="1"/>
  <c r="Z27" i="1"/>
  <c r="AD27" i="1"/>
  <c r="AE27" i="1"/>
  <c r="AF27" i="1"/>
  <c r="AG27" i="1"/>
  <c r="AH27" i="1"/>
  <c r="AJ27" i="1"/>
  <c r="AK27" i="1"/>
  <c r="AO27" i="1"/>
  <c r="AP27" i="1"/>
  <c r="AX27" i="1" s="1"/>
  <c r="BD27" i="1"/>
  <c r="BF27" i="1"/>
  <c r="BH27" i="1"/>
  <c r="AB27" i="1" s="1"/>
  <c r="BJ27" i="1"/>
  <c r="I29" i="1"/>
  <c r="J29" i="1"/>
  <c r="K29" i="1"/>
  <c r="Z29" i="1"/>
  <c r="AB29" i="1"/>
  <c r="AC29" i="1"/>
  <c r="AD29" i="1"/>
  <c r="AE29" i="1"/>
  <c r="AF29" i="1"/>
  <c r="AG29" i="1"/>
  <c r="AH29" i="1"/>
  <c r="AJ29" i="1"/>
  <c r="AK29" i="1"/>
  <c r="AL29" i="1"/>
  <c r="AO29" i="1"/>
  <c r="AP29" i="1"/>
  <c r="AW29" i="1"/>
  <c r="AX29" i="1"/>
  <c r="BD29" i="1"/>
  <c r="BF29" i="1"/>
  <c r="BH29" i="1"/>
  <c r="BI29" i="1"/>
  <c r="BJ29" i="1"/>
  <c r="I31" i="1"/>
  <c r="K31" i="1"/>
  <c r="Z31" i="1"/>
  <c r="AB31" i="1"/>
  <c r="AD31" i="1"/>
  <c r="AE31" i="1"/>
  <c r="AF31" i="1"/>
  <c r="AG31" i="1"/>
  <c r="AH31" i="1"/>
  <c r="AJ31" i="1"/>
  <c r="AS26" i="1" s="1"/>
  <c r="AK31" i="1"/>
  <c r="AT26" i="1" s="1"/>
  <c r="AL31" i="1"/>
  <c r="AO31" i="1"/>
  <c r="AP31" i="1"/>
  <c r="J31" i="1" s="1"/>
  <c r="AW31" i="1"/>
  <c r="BD31" i="1"/>
  <c r="BF31" i="1"/>
  <c r="BH31" i="1"/>
  <c r="BI31" i="1"/>
  <c r="AC31" i="1" s="1"/>
  <c r="BJ31" i="1"/>
  <c r="K32" i="1"/>
  <c r="AL32" i="1" s="1"/>
  <c r="Z32" i="1"/>
  <c r="AD32" i="1"/>
  <c r="AE32" i="1"/>
  <c r="AF32" i="1"/>
  <c r="AG32" i="1"/>
  <c r="AH32" i="1"/>
  <c r="AJ32" i="1"/>
  <c r="AK32" i="1"/>
  <c r="AO32" i="1"/>
  <c r="I32" i="1" s="1"/>
  <c r="AP32" i="1"/>
  <c r="BD32" i="1"/>
  <c r="BF32" i="1"/>
  <c r="BH32" i="1"/>
  <c r="AB32" i="1" s="1"/>
  <c r="BJ32" i="1"/>
  <c r="J33" i="1"/>
  <c r="K33" i="1"/>
  <c r="AL33" i="1" s="1"/>
  <c r="Z33" i="1"/>
  <c r="AC33" i="1"/>
  <c r="AD33" i="1"/>
  <c r="AE33" i="1"/>
  <c r="AF33" i="1"/>
  <c r="AG33" i="1"/>
  <c r="AH33" i="1"/>
  <c r="AJ33" i="1"/>
  <c r="AK33" i="1"/>
  <c r="AO33" i="1"/>
  <c r="AP33" i="1"/>
  <c r="AX33" i="1"/>
  <c r="BD33" i="1"/>
  <c r="BF33" i="1"/>
  <c r="BH33" i="1"/>
  <c r="AB33" i="1" s="1"/>
  <c r="BI33" i="1"/>
  <c r="BJ33" i="1"/>
  <c r="K35" i="1"/>
  <c r="K34" i="1" s="1"/>
  <c r="Z35" i="1"/>
  <c r="AD35" i="1"/>
  <c r="AE35" i="1"/>
  <c r="AF35" i="1"/>
  <c r="AG35" i="1"/>
  <c r="AH35" i="1"/>
  <c r="AJ35" i="1"/>
  <c r="AS34" i="1" s="1"/>
  <c r="AK35" i="1"/>
  <c r="AT34" i="1" s="1"/>
  <c r="AO35" i="1"/>
  <c r="I35" i="1" s="1"/>
  <c r="I34" i="1" s="1"/>
  <c r="E17" i="2" s="1"/>
  <c r="AP35" i="1"/>
  <c r="BD35" i="1"/>
  <c r="BF35" i="1"/>
  <c r="BH35" i="1"/>
  <c r="AB35" i="1" s="1"/>
  <c r="BI35" i="1"/>
  <c r="AC35" i="1" s="1"/>
  <c r="BJ35" i="1"/>
  <c r="K38" i="1"/>
  <c r="AL38" i="1" s="1"/>
  <c r="Z38" i="1"/>
  <c r="AD38" i="1"/>
  <c r="AE38" i="1"/>
  <c r="AF38" i="1"/>
  <c r="AG38" i="1"/>
  <c r="AH38" i="1"/>
  <c r="AJ38" i="1"/>
  <c r="AK38" i="1"/>
  <c r="AO38" i="1"/>
  <c r="I38" i="1" s="1"/>
  <c r="AP38" i="1"/>
  <c r="J38" i="1" s="1"/>
  <c r="BD38" i="1"/>
  <c r="BF38" i="1"/>
  <c r="BJ38" i="1"/>
  <c r="K40" i="1"/>
  <c r="AL40" i="1" s="1"/>
  <c r="Z40" i="1"/>
  <c r="AD40" i="1"/>
  <c r="AE40" i="1"/>
  <c r="AF40" i="1"/>
  <c r="AG40" i="1"/>
  <c r="AH40" i="1"/>
  <c r="AJ40" i="1"/>
  <c r="AK40" i="1"/>
  <c r="AO40" i="1"/>
  <c r="I40" i="1" s="1"/>
  <c r="AP40" i="1"/>
  <c r="BD40" i="1"/>
  <c r="BF40" i="1"/>
  <c r="BH40" i="1"/>
  <c r="AB40" i="1" s="1"/>
  <c r="BI40" i="1"/>
  <c r="AC40" i="1" s="1"/>
  <c r="BJ40" i="1"/>
  <c r="J42" i="1"/>
  <c r="K42" i="1"/>
  <c r="AL42" i="1" s="1"/>
  <c r="Z42" i="1"/>
  <c r="AC42" i="1"/>
  <c r="AD42" i="1"/>
  <c r="AE42" i="1"/>
  <c r="AF42" i="1"/>
  <c r="AG42" i="1"/>
  <c r="AH42" i="1"/>
  <c r="AJ42" i="1"/>
  <c r="AK42" i="1"/>
  <c r="AO42" i="1"/>
  <c r="AP42" i="1"/>
  <c r="AX42" i="1"/>
  <c r="BD42" i="1"/>
  <c r="BF42" i="1"/>
  <c r="BI42" i="1"/>
  <c r="BJ42" i="1"/>
  <c r="I43" i="1"/>
  <c r="J43" i="1"/>
  <c r="K43" i="1"/>
  <c r="Z43" i="1"/>
  <c r="AB43" i="1"/>
  <c r="AC43" i="1"/>
  <c r="AD43" i="1"/>
  <c r="AE43" i="1"/>
  <c r="AF43" i="1"/>
  <c r="AG43" i="1"/>
  <c r="AH43" i="1"/>
  <c r="AJ43" i="1"/>
  <c r="AK43" i="1"/>
  <c r="AL43" i="1"/>
  <c r="AO43" i="1"/>
  <c r="AP43" i="1"/>
  <c r="AW43" i="1"/>
  <c r="AX43" i="1"/>
  <c r="BD43" i="1"/>
  <c r="BF43" i="1"/>
  <c r="BH43" i="1"/>
  <c r="BI43" i="1"/>
  <c r="BJ43" i="1"/>
  <c r="I45" i="1"/>
  <c r="K45" i="1"/>
  <c r="Z45" i="1"/>
  <c r="AB45" i="1"/>
  <c r="AD45" i="1"/>
  <c r="AE45" i="1"/>
  <c r="AF45" i="1"/>
  <c r="AG45" i="1"/>
  <c r="AH45" i="1"/>
  <c r="AJ45" i="1"/>
  <c r="AK45" i="1"/>
  <c r="AL45" i="1"/>
  <c r="AO45" i="1"/>
  <c r="AP45" i="1"/>
  <c r="J45" i="1" s="1"/>
  <c r="AW45" i="1"/>
  <c r="BD45" i="1"/>
  <c r="BF45" i="1"/>
  <c r="BH45" i="1"/>
  <c r="BI45" i="1"/>
  <c r="AC45" i="1" s="1"/>
  <c r="BJ45" i="1"/>
  <c r="K46" i="1"/>
  <c r="AL46" i="1" s="1"/>
  <c r="Z46" i="1"/>
  <c r="AD46" i="1"/>
  <c r="AE46" i="1"/>
  <c r="AF46" i="1"/>
  <c r="AG46" i="1"/>
  <c r="AH46" i="1"/>
  <c r="AJ46" i="1"/>
  <c r="AK46" i="1"/>
  <c r="AO46" i="1"/>
  <c r="I46" i="1" s="1"/>
  <c r="AP46" i="1"/>
  <c r="BD46" i="1"/>
  <c r="BF46" i="1"/>
  <c r="BH46" i="1"/>
  <c r="AB46" i="1" s="1"/>
  <c r="BI46" i="1"/>
  <c r="AC46" i="1" s="1"/>
  <c r="BJ46" i="1"/>
  <c r="J47" i="1"/>
  <c r="K47" i="1"/>
  <c r="AL47" i="1" s="1"/>
  <c r="Z47" i="1"/>
  <c r="AC47" i="1"/>
  <c r="AD47" i="1"/>
  <c r="AE47" i="1"/>
  <c r="AF47" i="1"/>
  <c r="AG47" i="1"/>
  <c r="AH47" i="1"/>
  <c r="AJ47" i="1"/>
  <c r="AK47" i="1"/>
  <c r="AO47" i="1"/>
  <c r="AP47" i="1"/>
  <c r="AX47" i="1"/>
  <c r="BD47" i="1"/>
  <c r="BF47" i="1"/>
  <c r="BI47" i="1"/>
  <c r="BJ47" i="1"/>
  <c r="K49" i="1"/>
  <c r="Z49" i="1"/>
  <c r="AD49" i="1"/>
  <c r="AE49" i="1"/>
  <c r="AF49" i="1"/>
  <c r="AG49" i="1"/>
  <c r="AH49" i="1"/>
  <c r="AJ49" i="1"/>
  <c r="AS48" i="1" s="1"/>
  <c r="AK49" i="1"/>
  <c r="AT48" i="1" s="1"/>
  <c r="AO49" i="1"/>
  <c r="I49" i="1" s="1"/>
  <c r="AP49" i="1"/>
  <c r="BD49" i="1"/>
  <c r="BF49" i="1"/>
  <c r="BH49" i="1"/>
  <c r="AB49" i="1" s="1"/>
  <c r="BJ49" i="1"/>
  <c r="K51" i="1"/>
  <c r="AL51" i="1" s="1"/>
  <c r="Z51" i="1"/>
  <c r="AD51" i="1"/>
  <c r="AE51" i="1"/>
  <c r="AF51" i="1"/>
  <c r="AG51" i="1"/>
  <c r="AH51" i="1"/>
  <c r="AJ51" i="1"/>
  <c r="AK51" i="1"/>
  <c r="AO51" i="1"/>
  <c r="AP51" i="1"/>
  <c r="J51" i="1" s="1"/>
  <c r="AX51" i="1"/>
  <c r="BD51" i="1"/>
  <c r="BF51" i="1"/>
  <c r="BI51" i="1"/>
  <c r="AC51" i="1" s="1"/>
  <c r="BJ51" i="1"/>
  <c r="K54" i="1"/>
  <c r="K53" i="1" s="1"/>
  <c r="Z54" i="1"/>
  <c r="AD54" i="1"/>
  <c r="AE54" i="1"/>
  <c r="AF54" i="1"/>
  <c r="AG54" i="1"/>
  <c r="AH54" i="1"/>
  <c r="AJ54" i="1"/>
  <c r="AS53" i="1" s="1"/>
  <c r="AK54" i="1"/>
  <c r="AT53" i="1" s="1"/>
  <c r="AL54" i="1"/>
  <c r="AU53" i="1" s="1"/>
  <c r="AO54" i="1"/>
  <c r="I54" i="1" s="1"/>
  <c r="I53" i="1" s="1"/>
  <c r="AP54" i="1"/>
  <c r="BD54" i="1"/>
  <c r="BF54" i="1"/>
  <c r="BH54" i="1"/>
  <c r="AB54" i="1" s="1"/>
  <c r="BI54" i="1"/>
  <c r="AC54" i="1" s="1"/>
  <c r="BJ54" i="1"/>
  <c r="K56" i="1"/>
  <c r="K55" i="1" s="1"/>
  <c r="G21" i="2" s="1"/>
  <c r="I21" i="2" s="1"/>
  <c r="Z56" i="1"/>
  <c r="AD56" i="1"/>
  <c r="AE56" i="1"/>
  <c r="AF56" i="1"/>
  <c r="AG56" i="1"/>
  <c r="AH56" i="1"/>
  <c r="AJ56" i="1"/>
  <c r="AS55" i="1" s="1"/>
  <c r="AK56" i="1"/>
  <c r="AT55" i="1" s="1"/>
  <c r="AO56" i="1"/>
  <c r="AW56" i="1" s="1"/>
  <c r="AP56" i="1"/>
  <c r="J56" i="1" s="1"/>
  <c r="J55" i="1" s="1"/>
  <c r="F21" i="2" s="1"/>
  <c r="BD56" i="1"/>
  <c r="BF56" i="1"/>
  <c r="BH56" i="1"/>
  <c r="AB56" i="1" s="1"/>
  <c r="BJ56" i="1"/>
  <c r="K58" i="1"/>
  <c r="K57" i="1" s="1"/>
  <c r="Z58" i="1"/>
  <c r="AD58" i="1"/>
  <c r="AE58" i="1"/>
  <c r="AF58" i="1"/>
  <c r="AG58" i="1"/>
  <c r="AH58" i="1"/>
  <c r="AJ58" i="1"/>
  <c r="AK58" i="1"/>
  <c r="AL58" i="1"/>
  <c r="AO58" i="1"/>
  <c r="I58" i="1" s="1"/>
  <c r="AP58" i="1"/>
  <c r="AX58" i="1" s="1"/>
  <c r="BD58" i="1"/>
  <c r="BF58" i="1"/>
  <c r="BI58" i="1"/>
  <c r="AC58" i="1" s="1"/>
  <c r="BJ58" i="1"/>
  <c r="I60" i="1"/>
  <c r="K60" i="1"/>
  <c r="Z60" i="1"/>
  <c r="AB60" i="1"/>
  <c r="AD60" i="1"/>
  <c r="AE60" i="1"/>
  <c r="AF60" i="1"/>
  <c r="AG60" i="1"/>
  <c r="AH60" i="1"/>
  <c r="AJ60" i="1"/>
  <c r="AK60" i="1"/>
  <c r="AL60" i="1"/>
  <c r="AO60" i="1"/>
  <c r="AW60" i="1" s="1"/>
  <c r="AP60" i="1"/>
  <c r="J60" i="1" s="1"/>
  <c r="BD60" i="1"/>
  <c r="BF60" i="1"/>
  <c r="BH60" i="1"/>
  <c r="BI60" i="1"/>
  <c r="AC60" i="1" s="1"/>
  <c r="BJ60" i="1"/>
  <c r="K62" i="1"/>
  <c r="Z62" i="1"/>
  <c r="AD62" i="1"/>
  <c r="AE62" i="1"/>
  <c r="AF62" i="1"/>
  <c r="AG62" i="1"/>
  <c r="AH62" i="1"/>
  <c r="AJ62" i="1"/>
  <c r="AK62" i="1"/>
  <c r="AL62" i="1"/>
  <c r="AO62" i="1"/>
  <c r="I62" i="1" s="1"/>
  <c r="AP62" i="1"/>
  <c r="AW62" i="1"/>
  <c r="BD62" i="1"/>
  <c r="BF62" i="1"/>
  <c r="BH62" i="1"/>
  <c r="AB62" i="1" s="1"/>
  <c r="BI62" i="1"/>
  <c r="AC62" i="1" s="1"/>
  <c r="BJ62" i="1"/>
  <c r="K64" i="1"/>
  <c r="AL64" i="1" s="1"/>
  <c r="Z64" i="1"/>
  <c r="AD64" i="1"/>
  <c r="AE64" i="1"/>
  <c r="AF64" i="1"/>
  <c r="AG64" i="1"/>
  <c r="AH64" i="1"/>
  <c r="AJ64" i="1"/>
  <c r="AK64" i="1"/>
  <c r="AO64" i="1"/>
  <c r="AP64" i="1"/>
  <c r="J64" i="1" s="1"/>
  <c r="AX64" i="1"/>
  <c r="BD64" i="1"/>
  <c r="BF64" i="1"/>
  <c r="BH64" i="1"/>
  <c r="AB64" i="1" s="1"/>
  <c r="BI64" i="1"/>
  <c r="AC64" i="1" s="1"/>
  <c r="BJ64" i="1"/>
  <c r="J66" i="1"/>
  <c r="K66" i="1"/>
  <c r="Z66" i="1"/>
  <c r="AC66" i="1"/>
  <c r="AD66" i="1"/>
  <c r="AE66" i="1"/>
  <c r="AF66" i="1"/>
  <c r="AG66" i="1"/>
  <c r="AH66" i="1"/>
  <c r="AJ66" i="1"/>
  <c r="AK66" i="1"/>
  <c r="AL66" i="1"/>
  <c r="AO66" i="1"/>
  <c r="I66" i="1" s="1"/>
  <c r="AP66" i="1"/>
  <c r="AX66" i="1" s="1"/>
  <c r="AW66" i="1"/>
  <c r="BD66" i="1"/>
  <c r="BF66" i="1"/>
  <c r="BH66" i="1"/>
  <c r="AB66" i="1" s="1"/>
  <c r="BI66" i="1"/>
  <c r="BJ66" i="1"/>
  <c r="I68" i="1"/>
  <c r="K68" i="1"/>
  <c r="AL68" i="1" s="1"/>
  <c r="Z68" i="1"/>
  <c r="AB68" i="1"/>
  <c r="AD68" i="1"/>
  <c r="AE68" i="1"/>
  <c r="AF68" i="1"/>
  <c r="AG68" i="1"/>
  <c r="AH68" i="1"/>
  <c r="AJ68" i="1"/>
  <c r="AK68" i="1"/>
  <c r="AO68" i="1"/>
  <c r="AW68" i="1" s="1"/>
  <c r="BC68" i="1" s="1"/>
  <c r="AP68" i="1"/>
  <c r="J68" i="1" s="1"/>
  <c r="AV68" i="1"/>
  <c r="AX68" i="1"/>
  <c r="BD68" i="1"/>
  <c r="BF68" i="1"/>
  <c r="BH68" i="1"/>
  <c r="BI68" i="1"/>
  <c r="AC68" i="1" s="1"/>
  <c r="BJ68" i="1"/>
  <c r="K69" i="1"/>
  <c r="Z69" i="1"/>
  <c r="AD69" i="1"/>
  <c r="AE69" i="1"/>
  <c r="AF69" i="1"/>
  <c r="AG69" i="1"/>
  <c r="AH69" i="1"/>
  <c r="AJ69" i="1"/>
  <c r="AK69" i="1"/>
  <c r="AL69" i="1"/>
  <c r="AO69" i="1"/>
  <c r="I69" i="1" s="1"/>
  <c r="AP69" i="1"/>
  <c r="AW69" i="1"/>
  <c r="BD69" i="1"/>
  <c r="BF69" i="1"/>
  <c r="BH69" i="1"/>
  <c r="AB69" i="1" s="1"/>
  <c r="BI69" i="1"/>
  <c r="AC69" i="1" s="1"/>
  <c r="BJ69" i="1"/>
  <c r="K71" i="1"/>
  <c r="AL71" i="1" s="1"/>
  <c r="Z71" i="1"/>
  <c r="AD71" i="1"/>
  <c r="AE71" i="1"/>
  <c r="AF71" i="1"/>
  <c r="AG71" i="1"/>
  <c r="AH71" i="1"/>
  <c r="AJ71" i="1"/>
  <c r="AK71" i="1"/>
  <c r="AO71" i="1"/>
  <c r="AP71" i="1"/>
  <c r="BD71" i="1"/>
  <c r="BF71" i="1"/>
  <c r="BJ71" i="1"/>
  <c r="J73" i="1"/>
  <c r="K73" i="1"/>
  <c r="Z73" i="1"/>
  <c r="AC73" i="1"/>
  <c r="AD73" i="1"/>
  <c r="AE73" i="1"/>
  <c r="AF73" i="1"/>
  <c r="AG73" i="1"/>
  <c r="AH73" i="1"/>
  <c r="AJ73" i="1"/>
  <c r="AK73" i="1"/>
  <c r="AL73" i="1"/>
  <c r="AO73" i="1"/>
  <c r="AP73" i="1"/>
  <c r="AX73" i="1"/>
  <c r="BD73" i="1"/>
  <c r="BF73" i="1"/>
  <c r="BI73" i="1"/>
  <c r="BJ73" i="1"/>
  <c r="I75" i="1"/>
  <c r="J75" i="1"/>
  <c r="K75" i="1"/>
  <c r="Z75" i="1"/>
  <c r="AB75" i="1"/>
  <c r="AC75" i="1"/>
  <c r="AD75" i="1"/>
  <c r="AE75" i="1"/>
  <c r="AF75" i="1"/>
  <c r="AG75" i="1"/>
  <c r="AH75" i="1"/>
  <c r="AJ75" i="1"/>
  <c r="AK75" i="1"/>
  <c r="AL75" i="1"/>
  <c r="AO75" i="1"/>
  <c r="AP75" i="1"/>
  <c r="AX75" i="1" s="1"/>
  <c r="AV75" i="1" s="1"/>
  <c r="AW75" i="1"/>
  <c r="BD75" i="1"/>
  <c r="BF75" i="1"/>
  <c r="BH75" i="1"/>
  <c r="BI75" i="1"/>
  <c r="BJ75" i="1"/>
  <c r="I77" i="1"/>
  <c r="K77" i="1"/>
  <c r="AL77" i="1" s="1"/>
  <c r="Z77" i="1"/>
  <c r="AD77" i="1"/>
  <c r="AE77" i="1"/>
  <c r="AF77" i="1"/>
  <c r="AG77" i="1"/>
  <c r="AH77" i="1"/>
  <c r="AJ77" i="1"/>
  <c r="AK77" i="1"/>
  <c r="AO77" i="1"/>
  <c r="AP77" i="1"/>
  <c r="BD77" i="1"/>
  <c r="BF77" i="1"/>
  <c r="BI77" i="1"/>
  <c r="AC77" i="1" s="1"/>
  <c r="BJ77" i="1"/>
  <c r="K80" i="1"/>
  <c r="AL80" i="1" s="1"/>
  <c r="Z80" i="1"/>
  <c r="AD80" i="1"/>
  <c r="AE80" i="1"/>
  <c r="AF80" i="1"/>
  <c r="AG80" i="1"/>
  <c r="AH80" i="1"/>
  <c r="AJ80" i="1"/>
  <c r="AS79" i="1" s="1"/>
  <c r="AK80" i="1"/>
  <c r="AO80" i="1"/>
  <c r="I80" i="1" s="1"/>
  <c r="AP80" i="1"/>
  <c r="BD80" i="1"/>
  <c r="BF80" i="1"/>
  <c r="BJ80" i="1"/>
  <c r="K82" i="1"/>
  <c r="AL82" i="1" s="1"/>
  <c r="Z82" i="1"/>
  <c r="AD82" i="1"/>
  <c r="AE82" i="1"/>
  <c r="AF82" i="1"/>
  <c r="AG82" i="1"/>
  <c r="AH82" i="1"/>
  <c r="AJ82" i="1"/>
  <c r="AK82" i="1"/>
  <c r="AO82" i="1"/>
  <c r="AP82" i="1"/>
  <c r="J82" i="1" s="1"/>
  <c r="AX82" i="1"/>
  <c r="BD82" i="1"/>
  <c r="BF82" i="1"/>
  <c r="BH82" i="1"/>
  <c r="AB82" i="1" s="1"/>
  <c r="BI82" i="1"/>
  <c r="AC82" i="1" s="1"/>
  <c r="BJ82" i="1"/>
  <c r="K84" i="1"/>
  <c r="AL84" i="1" s="1"/>
  <c r="Z84" i="1"/>
  <c r="AD84" i="1"/>
  <c r="AE84" i="1"/>
  <c r="AF84" i="1"/>
  <c r="AG84" i="1"/>
  <c r="AH84" i="1"/>
  <c r="AJ84" i="1"/>
  <c r="AK84" i="1"/>
  <c r="AO84" i="1"/>
  <c r="I84" i="1" s="1"/>
  <c r="AP84" i="1"/>
  <c r="AW84" i="1"/>
  <c r="BD84" i="1"/>
  <c r="BF84" i="1"/>
  <c r="BH84" i="1"/>
  <c r="AB84" i="1" s="1"/>
  <c r="BJ84" i="1"/>
  <c r="K87" i="1"/>
  <c r="AL87" i="1" s="1"/>
  <c r="AB87" i="1"/>
  <c r="AC87" i="1"/>
  <c r="AD87" i="1"/>
  <c r="AE87" i="1"/>
  <c r="AF87" i="1"/>
  <c r="AG87" i="1"/>
  <c r="AH87" i="1"/>
  <c r="AJ87" i="1"/>
  <c r="AS86" i="1" s="1"/>
  <c r="AK87" i="1"/>
  <c r="AT86" i="1" s="1"/>
  <c r="AO87" i="1"/>
  <c r="AW87" i="1" s="1"/>
  <c r="AP87" i="1"/>
  <c r="J87" i="1" s="1"/>
  <c r="BD87" i="1"/>
  <c r="BF87" i="1"/>
  <c r="BH87" i="1"/>
  <c r="BJ87" i="1"/>
  <c r="Z87" i="1" s="1"/>
  <c r="J88" i="1"/>
  <c r="K88" i="1"/>
  <c r="AL88" i="1" s="1"/>
  <c r="Z88" i="1"/>
  <c r="AB88" i="1"/>
  <c r="AC88" i="1"/>
  <c r="AD88" i="1"/>
  <c r="AE88" i="1"/>
  <c r="AF88" i="1"/>
  <c r="AG88" i="1"/>
  <c r="AH88" i="1"/>
  <c r="AJ88" i="1"/>
  <c r="AK88" i="1"/>
  <c r="AO88" i="1"/>
  <c r="AP88" i="1"/>
  <c r="AX88" i="1"/>
  <c r="BD88" i="1"/>
  <c r="BF88" i="1"/>
  <c r="BI88" i="1"/>
  <c r="BJ88" i="1"/>
  <c r="J89" i="1"/>
  <c r="K89" i="1"/>
  <c r="AL89" i="1" s="1"/>
  <c r="AB89" i="1"/>
  <c r="AC89" i="1"/>
  <c r="AD89" i="1"/>
  <c r="AE89" i="1"/>
  <c r="AF89" i="1"/>
  <c r="AG89" i="1"/>
  <c r="AH89" i="1"/>
  <c r="AJ89" i="1"/>
  <c r="AK89" i="1"/>
  <c r="AO89" i="1"/>
  <c r="AP89" i="1"/>
  <c r="AX89" i="1"/>
  <c r="BD89" i="1"/>
  <c r="BF89" i="1"/>
  <c r="BI89" i="1"/>
  <c r="BJ89" i="1"/>
  <c r="Z89" i="1" s="1"/>
  <c r="I90" i="1"/>
  <c r="K90" i="1"/>
  <c r="Z90" i="1"/>
  <c r="AB90" i="1"/>
  <c r="AC90" i="1"/>
  <c r="AD90" i="1"/>
  <c r="AE90" i="1"/>
  <c r="AF90" i="1"/>
  <c r="AG90" i="1"/>
  <c r="AH90" i="1"/>
  <c r="AJ90" i="1"/>
  <c r="AK90" i="1"/>
  <c r="AL90" i="1"/>
  <c r="AO90" i="1"/>
  <c r="AP90" i="1"/>
  <c r="AW90" i="1"/>
  <c r="BD90" i="1"/>
  <c r="BF90" i="1"/>
  <c r="BH90" i="1"/>
  <c r="BJ90" i="1"/>
  <c r="K91" i="1"/>
  <c r="AL91" i="1" s="1"/>
  <c r="Z91" i="1"/>
  <c r="AB91" i="1"/>
  <c r="AC91" i="1"/>
  <c r="AD91" i="1"/>
  <c r="AE91" i="1"/>
  <c r="AF91" i="1"/>
  <c r="AG91" i="1"/>
  <c r="AH91" i="1"/>
  <c r="AJ91" i="1"/>
  <c r="AK91" i="1"/>
  <c r="AO91" i="1"/>
  <c r="AW91" i="1" s="1"/>
  <c r="AP91" i="1"/>
  <c r="J91" i="1" s="1"/>
  <c r="AX91" i="1"/>
  <c r="BC91" i="1" s="1"/>
  <c r="BD91" i="1"/>
  <c r="BF91" i="1"/>
  <c r="BH91" i="1"/>
  <c r="BI91" i="1"/>
  <c r="BJ91" i="1"/>
  <c r="J92" i="1"/>
  <c r="K92" i="1"/>
  <c r="Z92" i="1"/>
  <c r="AB92" i="1"/>
  <c r="AC92" i="1"/>
  <c r="AD92" i="1"/>
  <c r="AE92" i="1"/>
  <c r="AF92" i="1"/>
  <c r="AG92" i="1"/>
  <c r="AH92" i="1"/>
  <c r="AJ92" i="1"/>
  <c r="AK92" i="1"/>
  <c r="AL92" i="1"/>
  <c r="AO92" i="1"/>
  <c r="AP92" i="1"/>
  <c r="AX92" i="1"/>
  <c r="BD92" i="1"/>
  <c r="BF92" i="1"/>
  <c r="BH92" i="1"/>
  <c r="BI92" i="1"/>
  <c r="BJ92" i="1"/>
  <c r="J93" i="1"/>
  <c r="K93" i="1"/>
  <c r="AL93" i="1" s="1"/>
  <c r="AB93" i="1"/>
  <c r="AC93" i="1"/>
  <c r="AD93" i="1"/>
  <c r="AE93" i="1"/>
  <c r="AF93" i="1"/>
  <c r="AG93" i="1"/>
  <c r="AH93" i="1"/>
  <c r="AJ93" i="1"/>
  <c r="AK93" i="1"/>
  <c r="AO93" i="1"/>
  <c r="AP93" i="1"/>
  <c r="AX93" i="1"/>
  <c r="BD93" i="1"/>
  <c r="BF93" i="1"/>
  <c r="BI93" i="1"/>
  <c r="BJ93" i="1"/>
  <c r="Z93" i="1" s="1"/>
  <c r="I94" i="1"/>
  <c r="K94" i="1"/>
  <c r="Z94" i="1"/>
  <c r="AB94" i="1"/>
  <c r="AC94" i="1"/>
  <c r="AD94" i="1"/>
  <c r="AE94" i="1"/>
  <c r="AF94" i="1"/>
  <c r="AG94" i="1"/>
  <c r="AH94" i="1"/>
  <c r="AJ94" i="1"/>
  <c r="AK94" i="1"/>
  <c r="AL94" i="1"/>
  <c r="AO94" i="1"/>
  <c r="AP94" i="1"/>
  <c r="AW94" i="1"/>
  <c r="BD94" i="1"/>
  <c r="BF94" i="1"/>
  <c r="BH94" i="1"/>
  <c r="BI94" i="1"/>
  <c r="BJ94" i="1"/>
  <c r="K95" i="1"/>
  <c r="AL95" i="1" s="1"/>
  <c r="Z95" i="1"/>
  <c r="AB95" i="1"/>
  <c r="AC95" i="1"/>
  <c r="AD95" i="1"/>
  <c r="AE95" i="1"/>
  <c r="AF95" i="1"/>
  <c r="AG95" i="1"/>
  <c r="AH95" i="1"/>
  <c r="AJ95" i="1"/>
  <c r="AK95" i="1"/>
  <c r="AO95" i="1"/>
  <c r="AW95" i="1" s="1"/>
  <c r="AP95" i="1"/>
  <c r="J95" i="1" s="1"/>
  <c r="AV95" i="1"/>
  <c r="AX95" i="1"/>
  <c r="BC95" i="1" s="1"/>
  <c r="BD95" i="1"/>
  <c r="BF95" i="1"/>
  <c r="BH95" i="1"/>
  <c r="BI95" i="1"/>
  <c r="BJ95" i="1"/>
  <c r="J97" i="1"/>
  <c r="K97" i="1"/>
  <c r="AL97" i="1" s="1"/>
  <c r="Z97" i="1"/>
  <c r="AB97" i="1"/>
  <c r="AC97" i="1"/>
  <c r="AD97" i="1"/>
  <c r="AE97" i="1"/>
  <c r="AF97" i="1"/>
  <c r="AG97" i="1"/>
  <c r="AH97" i="1"/>
  <c r="AJ97" i="1"/>
  <c r="AK97" i="1"/>
  <c r="AO97" i="1"/>
  <c r="AP97" i="1"/>
  <c r="AX97" i="1"/>
  <c r="BD97" i="1"/>
  <c r="BF97" i="1"/>
  <c r="BI97" i="1"/>
  <c r="BJ97" i="1"/>
  <c r="K99" i="1"/>
  <c r="AB99" i="1"/>
  <c r="AC99" i="1"/>
  <c r="AD99" i="1"/>
  <c r="AE99" i="1"/>
  <c r="AF99" i="1"/>
  <c r="AG99" i="1"/>
  <c r="AH99" i="1"/>
  <c r="AJ99" i="1"/>
  <c r="AS98" i="1" s="1"/>
  <c r="AK99" i="1"/>
  <c r="AT98" i="1" s="1"/>
  <c r="AO99" i="1"/>
  <c r="I99" i="1" s="1"/>
  <c r="I98" i="1" s="1"/>
  <c r="E25" i="2" s="1"/>
  <c r="AP99" i="1"/>
  <c r="BD99" i="1"/>
  <c r="BF99" i="1"/>
  <c r="BI99" i="1"/>
  <c r="BJ99" i="1"/>
  <c r="Z99" i="1" s="1"/>
  <c r="K101" i="1"/>
  <c r="Z101" i="1"/>
  <c r="AB101" i="1"/>
  <c r="AC101" i="1"/>
  <c r="AF101" i="1"/>
  <c r="AG101" i="1"/>
  <c r="AH101" i="1"/>
  <c r="AJ101" i="1"/>
  <c r="AK101" i="1"/>
  <c r="AL101" i="1"/>
  <c r="AO101" i="1"/>
  <c r="I101" i="1" s="1"/>
  <c r="AP101" i="1"/>
  <c r="AW101" i="1"/>
  <c r="BD101" i="1"/>
  <c r="BF101" i="1"/>
  <c r="BH101" i="1"/>
  <c r="AD101" i="1" s="1"/>
  <c r="BJ101" i="1"/>
  <c r="K102" i="1"/>
  <c r="AL102" i="1" s="1"/>
  <c r="Z102" i="1"/>
  <c r="AB102" i="1"/>
  <c r="AC102" i="1"/>
  <c r="AF102" i="1"/>
  <c r="AG102" i="1"/>
  <c r="AH102" i="1"/>
  <c r="AJ102" i="1"/>
  <c r="AK102" i="1"/>
  <c r="AO102" i="1"/>
  <c r="AP102" i="1"/>
  <c r="J102" i="1" s="1"/>
  <c r="AX102" i="1"/>
  <c r="BD102" i="1"/>
  <c r="BF102" i="1"/>
  <c r="BI102" i="1"/>
  <c r="AE102" i="1" s="1"/>
  <c r="BJ102" i="1"/>
  <c r="K103" i="1"/>
  <c r="AL103" i="1" s="1"/>
  <c r="Z103" i="1"/>
  <c r="AB103" i="1"/>
  <c r="AC103" i="1"/>
  <c r="AE103" i="1"/>
  <c r="AF103" i="1"/>
  <c r="AG103" i="1"/>
  <c r="AH103" i="1"/>
  <c r="AJ103" i="1"/>
  <c r="AK103" i="1"/>
  <c r="AO103" i="1"/>
  <c r="AP103" i="1"/>
  <c r="BD103" i="1"/>
  <c r="BF103" i="1"/>
  <c r="BI103" i="1"/>
  <c r="BJ103" i="1"/>
  <c r="I104" i="1"/>
  <c r="J104" i="1"/>
  <c r="K104" i="1"/>
  <c r="AL104" i="1" s="1"/>
  <c r="Z104" i="1"/>
  <c r="AB104" i="1"/>
  <c r="AC104" i="1"/>
  <c r="AD104" i="1"/>
  <c r="AF104" i="1"/>
  <c r="AG104" i="1"/>
  <c r="AH104" i="1"/>
  <c r="AJ104" i="1"/>
  <c r="AK104" i="1"/>
  <c r="AO104" i="1"/>
  <c r="AP104" i="1"/>
  <c r="AV104" i="1"/>
  <c r="AW104" i="1"/>
  <c r="BC104" i="1" s="1"/>
  <c r="AX104" i="1"/>
  <c r="BD104" i="1"/>
  <c r="BF104" i="1"/>
  <c r="BH104" i="1"/>
  <c r="BI104" i="1"/>
  <c r="AE104" i="1" s="1"/>
  <c r="BJ104" i="1"/>
  <c r="I105" i="1"/>
  <c r="J105" i="1"/>
  <c r="K105" i="1"/>
  <c r="Z105" i="1"/>
  <c r="AB105" i="1"/>
  <c r="AC105" i="1"/>
  <c r="AF105" i="1"/>
  <c r="AG105" i="1"/>
  <c r="AH105" i="1"/>
  <c r="AJ105" i="1"/>
  <c r="AK105" i="1"/>
  <c r="AL105" i="1"/>
  <c r="AO105" i="1"/>
  <c r="AP105" i="1"/>
  <c r="AX105" i="1" s="1"/>
  <c r="AV105" i="1"/>
  <c r="AW105" i="1"/>
  <c r="BC105" i="1" s="1"/>
  <c r="BD105" i="1"/>
  <c r="BF105" i="1"/>
  <c r="BH105" i="1"/>
  <c r="AD105" i="1" s="1"/>
  <c r="BI105" i="1"/>
  <c r="AE105" i="1" s="1"/>
  <c r="BJ105" i="1"/>
  <c r="I106" i="1"/>
  <c r="K106" i="1"/>
  <c r="AL106" i="1" s="1"/>
  <c r="Z106" i="1"/>
  <c r="AB106" i="1"/>
  <c r="AC106" i="1"/>
  <c r="AF106" i="1"/>
  <c r="AG106" i="1"/>
  <c r="AH106" i="1"/>
  <c r="AJ106" i="1"/>
  <c r="AK106" i="1"/>
  <c r="AO106" i="1"/>
  <c r="AP106" i="1"/>
  <c r="BD106" i="1"/>
  <c r="BF106" i="1"/>
  <c r="BI106" i="1"/>
  <c r="AE106" i="1" s="1"/>
  <c r="BJ106" i="1"/>
  <c r="K107" i="1"/>
  <c r="Z107" i="1"/>
  <c r="AB107" i="1"/>
  <c r="AC107" i="1"/>
  <c r="AF107" i="1"/>
  <c r="AG107" i="1"/>
  <c r="AH107" i="1"/>
  <c r="AJ107" i="1"/>
  <c r="AK107" i="1"/>
  <c r="AL107" i="1"/>
  <c r="AO107" i="1"/>
  <c r="I107" i="1" s="1"/>
  <c r="AP107" i="1"/>
  <c r="AW107" i="1"/>
  <c r="BD107" i="1"/>
  <c r="BF107" i="1"/>
  <c r="BH107" i="1"/>
  <c r="AD107" i="1" s="1"/>
  <c r="BJ107" i="1"/>
  <c r="I108" i="1"/>
  <c r="J108" i="1"/>
  <c r="K108" i="1"/>
  <c r="Z108" i="1"/>
  <c r="AB108" i="1"/>
  <c r="AC108" i="1"/>
  <c r="AF108" i="1"/>
  <c r="AG108" i="1"/>
  <c r="AH108" i="1"/>
  <c r="AJ108" i="1"/>
  <c r="AK108" i="1"/>
  <c r="AL108" i="1"/>
  <c r="AO108" i="1"/>
  <c r="AP108" i="1"/>
  <c r="AV108" i="1"/>
  <c r="AW108" i="1"/>
  <c r="BC108" i="1" s="1"/>
  <c r="AX108" i="1"/>
  <c r="BD108" i="1"/>
  <c r="BF108" i="1"/>
  <c r="BH108" i="1"/>
  <c r="AD108" i="1" s="1"/>
  <c r="BI108" i="1"/>
  <c r="AE108" i="1" s="1"/>
  <c r="BJ108" i="1"/>
  <c r="J109" i="1"/>
  <c r="K109" i="1"/>
  <c r="Z109" i="1"/>
  <c r="AB109" i="1"/>
  <c r="AC109" i="1"/>
  <c r="AF109" i="1"/>
  <c r="AG109" i="1"/>
  <c r="AH109" i="1"/>
  <c r="AJ109" i="1"/>
  <c r="AK109" i="1"/>
  <c r="AL109" i="1"/>
  <c r="AO109" i="1"/>
  <c r="AP109" i="1"/>
  <c r="AX109" i="1"/>
  <c r="BD109" i="1"/>
  <c r="BF109" i="1"/>
  <c r="BI109" i="1"/>
  <c r="AE109" i="1" s="1"/>
  <c r="BJ109" i="1"/>
  <c r="I110" i="1"/>
  <c r="J110" i="1"/>
  <c r="K110" i="1"/>
  <c r="Z110" i="1"/>
  <c r="AB110" i="1"/>
  <c r="AC110" i="1"/>
  <c r="AF110" i="1"/>
  <c r="AG110" i="1"/>
  <c r="AH110" i="1"/>
  <c r="AJ110" i="1"/>
  <c r="AK110" i="1"/>
  <c r="AL110" i="1"/>
  <c r="AO110" i="1"/>
  <c r="AP110" i="1"/>
  <c r="AW110" i="1"/>
  <c r="BC110" i="1" s="1"/>
  <c r="AX110" i="1"/>
  <c r="BD110" i="1"/>
  <c r="BF110" i="1"/>
  <c r="BH110" i="1"/>
  <c r="AD110" i="1" s="1"/>
  <c r="BI110" i="1"/>
  <c r="AE110" i="1" s="1"/>
  <c r="BJ110" i="1"/>
  <c r="I111" i="1"/>
  <c r="K111" i="1"/>
  <c r="Z111" i="1"/>
  <c r="AB111" i="1"/>
  <c r="AC111" i="1"/>
  <c r="AF111" i="1"/>
  <c r="AG111" i="1"/>
  <c r="AH111" i="1"/>
  <c r="AJ111" i="1"/>
  <c r="AK111" i="1"/>
  <c r="AL111" i="1"/>
  <c r="AO111" i="1"/>
  <c r="AP111" i="1"/>
  <c r="AW111" i="1"/>
  <c r="BD111" i="1"/>
  <c r="BF111" i="1"/>
  <c r="BH111" i="1"/>
  <c r="AD111" i="1" s="1"/>
  <c r="BJ111" i="1"/>
  <c r="K112" i="1"/>
  <c r="AL112" i="1" s="1"/>
  <c r="Z112" i="1"/>
  <c r="AB112" i="1"/>
  <c r="AC112" i="1"/>
  <c r="AF112" i="1"/>
  <c r="AG112" i="1"/>
  <c r="AH112" i="1"/>
  <c r="AJ112" i="1"/>
  <c r="AK112" i="1"/>
  <c r="AO112" i="1"/>
  <c r="AP112" i="1"/>
  <c r="J112" i="1" s="1"/>
  <c r="AX112" i="1"/>
  <c r="BD112" i="1"/>
  <c r="BF112" i="1"/>
  <c r="BI112" i="1"/>
  <c r="AE112" i="1" s="1"/>
  <c r="BJ112" i="1"/>
  <c r="J113" i="1"/>
  <c r="K113" i="1"/>
  <c r="Z113" i="1"/>
  <c r="AB113" i="1"/>
  <c r="AC113" i="1"/>
  <c r="AF113" i="1"/>
  <c r="AG113" i="1"/>
  <c r="AH113" i="1"/>
  <c r="AJ113" i="1"/>
  <c r="AK113" i="1"/>
  <c r="AL113" i="1"/>
  <c r="AO113" i="1"/>
  <c r="I113" i="1" s="1"/>
  <c r="AP113" i="1"/>
  <c r="AW113" i="1"/>
  <c r="AX113" i="1"/>
  <c r="BD113" i="1"/>
  <c r="BF113" i="1"/>
  <c r="BH113" i="1"/>
  <c r="AD113" i="1" s="1"/>
  <c r="BI113" i="1"/>
  <c r="AE113" i="1" s="1"/>
  <c r="BJ113" i="1"/>
  <c r="I114" i="1"/>
  <c r="J114" i="1"/>
  <c r="K114" i="1"/>
  <c r="Z114" i="1"/>
  <c r="AB114" i="1"/>
  <c r="AC114" i="1"/>
  <c r="AF114" i="1"/>
  <c r="AG114" i="1"/>
  <c r="AH114" i="1"/>
  <c r="AJ114" i="1"/>
  <c r="AK114" i="1"/>
  <c r="AL114" i="1"/>
  <c r="AO114" i="1"/>
  <c r="AP114" i="1"/>
  <c r="AV114" i="1"/>
  <c r="AW114" i="1"/>
  <c r="BC114" i="1" s="1"/>
  <c r="AX114" i="1"/>
  <c r="BD114" i="1"/>
  <c r="BF114" i="1"/>
  <c r="BH114" i="1"/>
  <c r="AD114" i="1" s="1"/>
  <c r="BI114" i="1"/>
  <c r="AE114" i="1" s="1"/>
  <c r="BJ114" i="1"/>
  <c r="I115" i="1"/>
  <c r="K115" i="1"/>
  <c r="Z115" i="1"/>
  <c r="AB115" i="1"/>
  <c r="AC115" i="1"/>
  <c r="AF115" i="1"/>
  <c r="AG115" i="1"/>
  <c r="AH115" i="1"/>
  <c r="AJ115" i="1"/>
  <c r="AK115" i="1"/>
  <c r="AL115" i="1"/>
  <c r="AO115" i="1"/>
  <c r="AP115" i="1"/>
  <c r="AW115" i="1"/>
  <c r="BD115" i="1"/>
  <c r="BF115" i="1"/>
  <c r="BH115" i="1"/>
  <c r="AD115" i="1" s="1"/>
  <c r="BI115" i="1"/>
  <c r="AE115" i="1" s="1"/>
  <c r="BJ115" i="1"/>
  <c r="K116" i="1"/>
  <c r="AL116" i="1" s="1"/>
  <c r="Z116" i="1"/>
  <c r="AB116" i="1"/>
  <c r="AC116" i="1"/>
  <c r="AD116" i="1"/>
  <c r="AF116" i="1"/>
  <c r="AG116" i="1"/>
  <c r="AH116" i="1"/>
  <c r="AJ116" i="1"/>
  <c r="AK116" i="1"/>
  <c r="AO116" i="1"/>
  <c r="AP116" i="1"/>
  <c r="BD116" i="1"/>
  <c r="BF116" i="1"/>
  <c r="BH116" i="1"/>
  <c r="BJ116" i="1"/>
  <c r="J117" i="1"/>
  <c r="K117" i="1"/>
  <c r="AL117" i="1" s="1"/>
  <c r="Z117" i="1"/>
  <c r="AB117" i="1"/>
  <c r="AC117" i="1"/>
  <c r="AF117" i="1"/>
  <c r="AG117" i="1"/>
  <c r="AH117" i="1"/>
  <c r="AJ117" i="1"/>
  <c r="AK117" i="1"/>
  <c r="AO117" i="1"/>
  <c r="I117" i="1" s="1"/>
  <c r="AP117" i="1"/>
  <c r="AW117" i="1"/>
  <c r="AX117" i="1"/>
  <c r="BD117" i="1"/>
  <c r="BF117" i="1"/>
  <c r="BH117" i="1"/>
  <c r="AD117" i="1" s="1"/>
  <c r="BI117" i="1"/>
  <c r="AE117" i="1" s="1"/>
  <c r="BJ117" i="1"/>
  <c r="I118" i="1"/>
  <c r="J118" i="1"/>
  <c r="K118" i="1"/>
  <c r="Z118" i="1"/>
  <c r="AB118" i="1"/>
  <c r="AC118" i="1"/>
  <c r="AF118" i="1"/>
  <c r="AG118" i="1"/>
  <c r="AH118" i="1"/>
  <c r="AJ118" i="1"/>
  <c r="AK118" i="1"/>
  <c r="AL118" i="1"/>
  <c r="AO118" i="1"/>
  <c r="AP118" i="1"/>
  <c r="AX118" i="1" s="1"/>
  <c r="AW118" i="1"/>
  <c r="BD118" i="1"/>
  <c r="BF118" i="1"/>
  <c r="BH118" i="1"/>
  <c r="AD118" i="1" s="1"/>
  <c r="BI118" i="1"/>
  <c r="AE118" i="1" s="1"/>
  <c r="BJ118" i="1"/>
  <c r="I119" i="1"/>
  <c r="K119" i="1"/>
  <c r="AL119" i="1" s="1"/>
  <c r="Z119" i="1"/>
  <c r="AB119" i="1"/>
  <c r="AC119" i="1"/>
  <c r="AF119" i="1"/>
  <c r="AG119" i="1"/>
  <c r="AH119" i="1"/>
  <c r="AJ119" i="1"/>
  <c r="AK119" i="1"/>
  <c r="AO119" i="1"/>
  <c r="AW119" i="1" s="1"/>
  <c r="AP119" i="1"/>
  <c r="BD119" i="1"/>
  <c r="BF119" i="1"/>
  <c r="BH119" i="1"/>
  <c r="AD119" i="1" s="1"/>
  <c r="BI119" i="1"/>
  <c r="AE119" i="1" s="1"/>
  <c r="BJ119" i="1"/>
  <c r="K120" i="1"/>
  <c r="AL120" i="1" s="1"/>
  <c r="Z120" i="1"/>
  <c r="AB120" i="1"/>
  <c r="AC120" i="1"/>
  <c r="AF120" i="1"/>
  <c r="AG120" i="1"/>
  <c r="AH120" i="1"/>
  <c r="AJ120" i="1"/>
  <c r="AK120" i="1"/>
  <c r="AO120" i="1"/>
  <c r="AP120" i="1"/>
  <c r="BD120" i="1"/>
  <c r="BF120" i="1"/>
  <c r="BI120" i="1"/>
  <c r="AE120" i="1" s="1"/>
  <c r="BJ120" i="1"/>
  <c r="J121" i="1"/>
  <c r="K121" i="1"/>
  <c r="Z121" i="1"/>
  <c r="AB121" i="1"/>
  <c r="AC121" i="1"/>
  <c r="AF121" i="1"/>
  <c r="AG121" i="1"/>
  <c r="AH121" i="1"/>
  <c r="AJ121" i="1"/>
  <c r="AK121" i="1"/>
  <c r="AL121" i="1"/>
  <c r="AO121" i="1"/>
  <c r="I121" i="1" s="1"/>
  <c r="AP121" i="1"/>
  <c r="AW121" i="1"/>
  <c r="AX121" i="1"/>
  <c r="BD121" i="1"/>
  <c r="BF121" i="1"/>
  <c r="BH121" i="1"/>
  <c r="AD121" i="1" s="1"/>
  <c r="BI121" i="1"/>
  <c r="AE121" i="1" s="1"/>
  <c r="BJ121" i="1"/>
  <c r="I122" i="1"/>
  <c r="K122" i="1"/>
  <c r="Z122" i="1"/>
  <c r="AB122" i="1"/>
  <c r="AC122" i="1"/>
  <c r="AF122" i="1"/>
  <c r="AG122" i="1"/>
  <c r="AH122" i="1"/>
  <c r="AJ122" i="1"/>
  <c r="AK122" i="1"/>
  <c r="AL122" i="1"/>
  <c r="AO122" i="1"/>
  <c r="AP122" i="1"/>
  <c r="AW122" i="1"/>
  <c r="BD122" i="1"/>
  <c r="BF122" i="1"/>
  <c r="BH122" i="1"/>
  <c r="AD122" i="1" s="1"/>
  <c r="BJ122" i="1"/>
  <c r="K123" i="1"/>
  <c r="AL123" i="1" s="1"/>
  <c r="Z123" i="1"/>
  <c r="AB123" i="1"/>
  <c r="AC123" i="1"/>
  <c r="AD123" i="1"/>
  <c r="AF123" i="1"/>
  <c r="AG123" i="1"/>
  <c r="AH123" i="1"/>
  <c r="AJ123" i="1"/>
  <c r="AK123" i="1"/>
  <c r="AO123" i="1"/>
  <c r="AW123" i="1" s="1"/>
  <c r="AP123" i="1"/>
  <c r="J123" i="1" s="1"/>
  <c r="AX123" i="1"/>
  <c r="BC123" i="1" s="1"/>
  <c r="BD123" i="1"/>
  <c r="BF123" i="1"/>
  <c r="BH123" i="1"/>
  <c r="BI123" i="1"/>
  <c r="AE123" i="1" s="1"/>
  <c r="BJ123" i="1"/>
  <c r="K124" i="1"/>
  <c r="AL124" i="1" s="1"/>
  <c r="Z124" i="1"/>
  <c r="AB124" i="1"/>
  <c r="AC124" i="1"/>
  <c r="AE124" i="1"/>
  <c r="AF124" i="1"/>
  <c r="AG124" i="1"/>
  <c r="AH124" i="1"/>
  <c r="AJ124" i="1"/>
  <c r="AK124" i="1"/>
  <c r="AO124" i="1"/>
  <c r="AP124" i="1"/>
  <c r="AW124" i="1"/>
  <c r="BD124" i="1"/>
  <c r="BF124" i="1"/>
  <c r="BI124" i="1"/>
  <c r="BJ124" i="1"/>
  <c r="I125" i="1"/>
  <c r="J125" i="1"/>
  <c r="K125" i="1"/>
  <c r="AL125" i="1" s="1"/>
  <c r="Z125" i="1"/>
  <c r="AB125" i="1"/>
  <c r="AC125" i="1"/>
  <c r="AD125" i="1"/>
  <c r="AF125" i="1"/>
  <c r="AG125" i="1"/>
  <c r="AH125" i="1"/>
  <c r="AJ125" i="1"/>
  <c r="AK125" i="1"/>
  <c r="AO125" i="1"/>
  <c r="AP125" i="1"/>
  <c r="AV125" i="1"/>
  <c r="AW125" i="1"/>
  <c r="BC125" i="1" s="1"/>
  <c r="AX125" i="1"/>
  <c r="BD125" i="1"/>
  <c r="BF125" i="1"/>
  <c r="BH125" i="1"/>
  <c r="BI125" i="1"/>
  <c r="AE125" i="1" s="1"/>
  <c r="BJ125" i="1"/>
  <c r="I126" i="1"/>
  <c r="J126" i="1"/>
  <c r="K126" i="1"/>
  <c r="Z126" i="1"/>
  <c r="AB126" i="1"/>
  <c r="AC126" i="1"/>
  <c r="AF126" i="1"/>
  <c r="AG126" i="1"/>
  <c r="AH126" i="1"/>
  <c r="AJ126" i="1"/>
  <c r="AK126" i="1"/>
  <c r="AL126" i="1"/>
  <c r="AO126" i="1"/>
  <c r="AP126" i="1"/>
  <c r="AX126" i="1" s="1"/>
  <c r="AW126" i="1"/>
  <c r="BD126" i="1"/>
  <c r="BF126" i="1"/>
  <c r="BH126" i="1"/>
  <c r="AD126" i="1" s="1"/>
  <c r="BI126" i="1"/>
  <c r="AE126" i="1" s="1"/>
  <c r="BJ126" i="1"/>
  <c r="K127" i="1"/>
  <c r="AL127" i="1" s="1"/>
  <c r="Z127" i="1"/>
  <c r="AB127" i="1"/>
  <c r="AC127" i="1"/>
  <c r="AF127" i="1"/>
  <c r="AG127" i="1"/>
  <c r="AH127" i="1"/>
  <c r="AJ127" i="1"/>
  <c r="AK127" i="1"/>
  <c r="AO127" i="1"/>
  <c r="AP127" i="1"/>
  <c r="BD127" i="1"/>
  <c r="BF127" i="1"/>
  <c r="BJ127" i="1"/>
  <c r="K128" i="1"/>
  <c r="Z128" i="1"/>
  <c r="AB128" i="1"/>
  <c r="AC128" i="1"/>
  <c r="AF128" i="1"/>
  <c r="AG128" i="1"/>
  <c r="AH128" i="1"/>
  <c r="AJ128" i="1"/>
  <c r="AK128" i="1"/>
  <c r="AL128" i="1"/>
  <c r="AO128" i="1"/>
  <c r="I128" i="1" s="1"/>
  <c r="AP128" i="1"/>
  <c r="AW128" i="1"/>
  <c r="BD128" i="1"/>
  <c r="BF128" i="1"/>
  <c r="BH128" i="1"/>
  <c r="AD128" i="1" s="1"/>
  <c r="BJ128" i="1"/>
  <c r="J129" i="1"/>
  <c r="K129" i="1"/>
  <c r="Z129" i="1"/>
  <c r="AB129" i="1"/>
  <c r="AC129" i="1"/>
  <c r="AF129" i="1"/>
  <c r="AG129" i="1"/>
  <c r="AH129" i="1"/>
  <c r="AJ129" i="1"/>
  <c r="AK129" i="1"/>
  <c r="AL129" i="1"/>
  <c r="AO129" i="1"/>
  <c r="I129" i="1" s="1"/>
  <c r="AP129" i="1"/>
  <c r="AV129" i="1"/>
  <c r="AW129" i="1"/>
  <c r="BC129" i="1" s="1"/>
  <c r="AX129" i="1"/>
  <c r="BD129" i="1"/>
  <c r="BF129" i="1"/>
  <c r="BH129" i="1"/>
  <c r="AD129" i="1" s="1"/>
  <c r="BI129" i="1"/>
  <c r="AE129" i="1" s="1"/>
  <c r="BJ129" i="1"/>
  <c r="I130" i="1"/>
  <c r="J130" i="1"/>
  <c r="K130" i="1"/>
  <c r="Z130" i="1"/>
  <c r="AB130" i="1"/>
  <c r="AC130" i="1"/>
  <c r="AF130" i="1"/>
  <c r="AG130" i="1"/>
  <c r="AH130" i="1"/>
  <c r="AJ130" i="1"/>
  <c r="AK130" i="1"/>
  <c r="AL130" i="1"/>
  <c r="AO130" i="1"/>
  <c r="AP130" i="1"/>
  <c r="AX130" i="1" s="1"/>
  <c r="AW130" i="1"/>
  <c r="BD130" i="1"/>
  <c r="BF130" i="1"/>
  <c r="BH130" i="1"/>
  <c r="AD130" i="1" s="1"/>
  <c r="BI130" i="1"/>
  <c r="AE130" i="1" s="1"/>
  <c r="BJ130" i="1"/>
  <c r="K131" i="1"/>
  <c r="AL131" i="1" s="1"/>
  <c r="Z131" i="1"/>
  <c r="AB131" i="1"/>
  <c r="AC131" i="1"/>
  <c r="AF131" i="1"/>
  <c r="AG131" i="1"/>
  <c r="AH131" i="1"/>
  <c r="AJ131" i="1"/>
  <c r="AK131" i="1"/>
  <c r="AO131" i="1"/>
  <c r="AW131" i="1" s="1"/>
  <c r="AP131" i="1"/>
  <c r="AV131" i="1"/>
  <c r="AX131" i="1"/>
  <c r="BC131" i="1" s="1"/>
  <c r="BD131" i="1"/>
  <c r="BF131" i="1"/>
  <c r="BH131" i="1"/>
  <c r="AD131" i="1" s="1"/>
  <c r="BJ131" i="1"/>
  <c r="J132" i="1"/>
  <c r="K132" i="1"/>
  <c r="Z132" i="1"/>
  <c r="AB132" i="1"/>
  <c r="AC132" i="1"/>
  <c r="AF132" i="1"/>
  <c r="AG132" i="1"/>
  <c r="AH132" i="1"/>
  <c r="AJ132" i="1"/>
  <c r="AK132" i="1"/>
  <c r="AL132" i="1"/>
  <c r="AO132" i="1"/>
  <c r="I132" i="1" s="1"/>
  <c r="AP132" i="1"/>
  <c r="AW132" i="1"/>
  <c r="AX132" i="1"/>
  <c r="BD132" i="1"/>
  <c r="BF132" i="1"/>
  <c r="BH132" i="1"/>
  <c r="AD132" i="1" s="1"/>
  <c r="BI132" i="1"/>
  <c r="AE132" i="1" s="1"/>
  <c r="BJ132" i="1"/>
  <c r="I133" i="1"/>
  <c r="J133" i="1"/>
  <c r="K133" i="1"/>
  <c r="Z133" i="1"/>
  <c r="AB133" i="1"/>
  <c r="AC133" i="1"/>
  <c r="AF133" i="1"/>
  <c r="AG133" i="1"/>
  <c r="AH133" i="1"/>
  <c r="AJ133" i="1"/>
  <c r="AK133" i="1"/>
  <c r="AL133" i="1"/>
  <c r="AO133" i="1"/>
  <c r="AW133" i="1" s="1"/>
  <c r="AP133" i="1"/>
  <c r="AX133" i="1"/>
  <c r="BD133" i="1"/>
  <c r="BF133" i="1"/>
  <c r="BI133" i="1"/>
  <c r="AE133" i="1" s="1"/>
  <c r="BJ133" i="1"/>
  <c r="I134" i="1"/>
  <c r="K134" i="1"/>
  <c r="Z134" i="1"/>
  <c r="AB134" i="1"/>
  <c r="AC134" i="1"/>
  <c r="AF134" i="1"/>
  <c r="AG134" i="1"/>
  <c r="AH134" i="1"/>
  <c r="AJ134" i="1"/>
  <c r="AK134" i="1"/>
  <c r="AL134" i="1"/>
  <c r="AO134" i="1"/>
  <c r="AP134" i="1"/>
  <c r="AW134" i="1"/>
  <c r="BD134" i="1"/>
  <c r="BF134" i="1"/>
  <c r="BH134" i="1"/>
  <c r="AD134" i="1" s="1"/>
  <c r="BJ134" i="1"/>
  <c r="K135" i="1"/>
  <c r="AL135" i="1" s="1"/>
  <c r="Z135" i="1"/>
  <c r="AB135" i="1"/>
  <c r="AC135" i="1"/>
  <c r="AF135" i="1"/>
  <c r="AG135" i="1"/>
  <c r="AH135" i="1"/>
  <c r="AJ135" i="1"/>
  <c r="AK135" i="1"/>
  <c r="AO135" i="1"/>
  <c r="AP135" i="1"/>
  <c r="J135" i="1" s="1"/>
  <c r="AX135" i="1"/>
  <c r="BD135" i="1"/>
  <c r="BF135" i="1"/>
  <c r="BI135" i="1"/>
  <c r="AE135" i="1" s="1"/>
  <c r="BJ135" i="1"/>
  <c r="K136" i="1"/>
  <c r="Z136" i="1"/>
  <c r="AB136" i="1"/>
  <c r="AC136" i="1"/>
  <c r="AF136" i="1"/>
  <c r="AG136" i="1"/>
  <c r="AH136" i="1"/>
  <c r="AJ136" i="1"/>
  <c r="AK136" i="1"/>
  <c r="AL136" i="1"/>
  <c r="AO136" i="1"/>
  <c r="AP136" i="1"/>
  <c r="BD136" i="1"/>
  <c r="BF136" i="1"/>
  <c r="BH136" i="1"/>
  <c r="AD136" i="1" s="1"/>
  <c r="BJ136" i="1"/>
  <c r="J137" i="1"/>
  <c r="K137" i="1"/>
  <c r="AL137" i="1" s="1"/>
  <c r="Z137" i="1"/>
  <c r="AB137" i="1"/>
  <c r="AC137" i="1"/>
  <c r="AF137" i="1"/>
  <c r="AG137" i="1"/>
  <c r="AH137" i="1"/>
  <c r="AJ137" i="1"/>
  <c r="AK137" i="1"/>
  <c r="AO137" i="1"/>
  <c r="AP137" i="1"/>
  <c r="AX137" i="1"/>
  <c r="BD137" i="1"/>
  <c r="BF137" i="1"/>
  <c r="BI137" i="1"/>
  <c r="AE137" i="1" s="1"/>
  <c r="BJ137" i="1"/>
  <c r="I138" i="1"/>
  <c r="K138" i="1"/>
  <c r="Z138" i="1"/>
  <c r="AB138" i="1"/>
  <c r="AC138" i="1"/>
  <c r="AF138" i="1"/>
  <c r="AG138" i="1"/>
  <c r="AH138" i="1"/>
  <c r="AJ138" i="1"/>
  <c r="AK138" i="1"/>
  <c r="AL138" i="1"/>
  <c r="AO138" i="1"/>
  <c r="AP138" i="1"/>
  <c r="AW138" i="1"/>
  <c r="BD138" i="1"/>
  <c r="BF138" i="1"/>
  <c r="BH138" i="1"/>
  <c r="AD138" i="1" s="1"/>
  <c r="BJ138" i="1"/>
  <c r="K139" i="1"/>
  <c r="AL139" i="1" s="1"/>
  <c r="Z139" i="1"/>
  <c r="AB139" i="1"/>
  <c r="AC139" i="1"/>
  <c r="AF139" i="1"/>
  <c r="AG139" i="1"/>
  <c r="AH139" i="1"/>
  <c r="AJ139" i="1"/>
  <c r="AK139" i="1"/>
  <c r="AO139" i="1"/>
  <c r="AW139" i="1" s="1"/>
  <c r="AP139" i="1"/>
  <c r="J139" i="1" s="1"/>
  <c r="AX139" i="1"/>
  <c r="BC139" i="1" s="1"/>
  <c r="BD139" i="1"/>
  <c r="BF139" i="1"/>
  <c r="BH139" i="1"/>
  <c r="AD139" i="1" s="1"/>
  <c r="BI139" i="1"/>
  <c r="AE139" i="1" s="1"/>
  <c r="BJ139" i="1"/>
  <c r="K140" i="1"/>
  <c r="AL140" i="1" s="1"/>
  <c r="Z140" i="1"/>
  <c r="AB140" i="1"/>
  <c r="AC140" i="1"/>
  <c r="AE140" i="1"/>
  <c r="AF140" i="1"/>
  <c r="AG140" i="1"/>
  <c r="AH140" i="1"/>
  <c r="AJ140" i="1"/>
  <c r="AK140" i="1"/>
  <c r="AO140" i="1"/>
  <c r="AP140" i="1"/>
  <c r="AW140" i="1"/>
  <c r="BD140" i="1"/>
  <c r="BF140" i="1"/>
  <c r="BI140" i="1"/>
  <c r="BJ140" i="1"/>
  <c r="I141" i="1"/>
  <c r="J141" i="1"/>
  <c r="K141" i="1"/>
  <c r="AL141" i="1" s="1"/>
  <c r="Z141" i="1"/>
  <c r="AB141" i="1"/>
  <c r="AC141" i="1"/>
  <c r="AD141" i="1"/>
  <c r="AF141" i="1"/>
  <c r="AG141" i="1"/>
  <c r="AH141" i="1"/>
  <c r="AJ141" i="1"/>
  <c r="AK141" i="1"/>
  <c r="AO141" i="1"/>
  <c r="AP141" i="1"/>
  <c r="AV141" i="1"/>
  <c r="AW141" i="1"/>
  <c r="BC141" i="1" s="1"/>
  <c r="AX141" i="1"/>
  <c r="BD141" i="1"/>
  <c r="BF141" i="1"/>
  <c r="BH141" i="1"/>
  <c r="BI141" i="1"/>
  <c r="AE141" i="1" s="1"/>
  <c r="BJ141" i="1"/>
  <c r="I142" i="1"/>
  <c r="J142" i="1"/>
  <c r="K142" i="1"/>
  <c r="Z142" i="1"/>
  <c r="AB142" i="1"/>
  <c r="AC142" i="1"/>
  <c r="AF142" i="1"/>
  <c r="AG142" i="1"/>
  <c r="AH142" i="1"/>
  <c r="AJ142" i="1"/>
  <c r="AK142" i="1"/>
  <c r="AL142" i="1"/>
  <c r="AO142" i="1"/>
  <c r="AP142" i="1"/>
  <c r="AX142" i="1" s="1"/>
  <c r="AW142" i="1"/>
  <c r="BD142" i="1"/>
  <c r="BF142" i="1"/>
  <c r="BH142" i="1"/>
  <c r="AD142" i="1" s="1"/>
  <c r="BI142" i="1"/>
  <c r="AE142" i="1" s="1"/>
  <c r="BJ142" i="1"/>
  <c r="K143" i="1"/>
  <c r="AL143" i="1" s="1"/>
  <c r="Z143" i="1"/>
  <c r="AB143" i="1"/>
  <c r="AC143" i="1"/>
  <c r="AF143" i="1"/>
  <c r="AG143" i="1"/>
  <c r="AH143" i="1"/>
  <c r="AJ143" i="1"/>
  <c r="AK143" i="1"/>
  <c r="AO143" i="1"/>
  <c r="AP143" i="1"/>
  <c r="BD143" i="1"/>
  <c r="BF143" i="1"/>
  <c r="BJ143" i="1"/>
  <c r="K144" i="1"/>
  <c r="Z144" i="1"/>
  <c r="AB144" i="1"/>
  <c r="AC144" i="1"/>
  <c r="AF144" i="1"/>
  <c r="AG144" i="1"/>
  <c r="AH144" i="1"/>
  <c r="AJ144" i="1"/>
  <c r="AK144" i="1"/>
  <c r="AL144" i="1"/>
  <c r="AO144" i="1"/>
  <c r="I144" i="1" s="1"/>
  <c r="AP144" i="1"/>
  <c r="AW144" i="1"/>
  <c r="BD144" i="1"/>
  <c r="BF144" i="1"/>
  <c r="BH144" i="1"/>
  <c r="AD144" i="1" s="1"/>
  <c r="BJ144" i="1"/>
  <c r="J145" i="1"/>
  <c r="K145" i="1"/>
  <c r="Z145" i="1"/>
  <c r="AB145" i="1"/>
  <c r="AC145" i="1"/>
  <c r="AF145" i="1"/>
  <c r="AG145" i="1"/>
  <c r="AH145" i="1"/>
  <c r="AJ145" i="1"/>
  <c r="AK145" i="1"/>
  <c r="AL145" i="1"/>
  <c r="AO145" i="1"/>
  <c r="I145" i="1" s="1"/>
  <c r="AP145" i="1"/>
  <c r="AV145" i="1"/>
  <c r="AW145" i="1"/>
  <c r="BC145" i="1" s="1"/>
  <c r="AX145" i="1"/>
  <c r="BD145" i="1"/>
  <c r="BF145" i="1"/>
  <c r="BH145" i="1"/>
  <c r="AD145" i="1" s="1"/>
  <c r="BI145" i="1"/>
  <c r="AE145" i="1" s="1"/>
  <c r="BJ145" i="1"/>
  <c r="I146" i="1"/>
  <c r="J146" i="1"/>
  <c r="K146" i="1"/>
  <c r="Z146" i="1"/>
  <c r="AB146" i="1"/>
  <c r="AC146" i="1"/>
  <c r="AF146" i="1"/>
  <c r="AG146" i="1"/>
  <c r="AH146" i="1"/>
  <c r="AJ146" i="1"/>
  <c r="AK146" i="1"/>
  <c r="AL146" i="1"/>
  <c r="AO146" i="1"/>
  <c r="AP146" i="1"/>
  <c r="AX146" i="1" s="1"/>
  <c r="AW146" i="1"/>
  <c r="BD146" i="1"/>
  <c r="BF146" i="1"/>
  <c r="BH146" i="1"/>
  <c r="AD146" i="1" s="1"/>
  <c r="BI146" i="1"/>
  <c r="AE146" i="1" s="1"/>
  <c r="BJ146" i="1"/>
  <c r="K147" i="1"/>
  <c r="AL147" i="1" s="1"/>
  <c r="Z147" i="1"/>
  <c r="AB147" i="1"/>
  <c r="AC147" i="1"/>
  <c r="AF147" i="1"/>
  <c r="AG147" i="1"/>
  <c r="AH147" i="1"/>
  <c r="AJ147" i="1"/>
  <c r="AK147" i="1"/>
  <c r="AO147" i="1"/>
  <c r="AW147" i="1" s="1"/>
  <c r="AP147" i="1"/>
  <c r="AV147" i="1"/>
  <c r="AX147" i="1"/>
  <c r="BC147" i="1" s="1"/>
  <c r="BD147" i="1"/>
  <c r="BF147" i="1"/>
  <c r="BH147" i="1"/>
  <c r="AD147" i="1" s="1"/>
  <c r="BJ147" i="1"/>
  <c r="J148" i="1"/>
  <c r="K148" i="1"/>
  <c r="Z148" i="1"/>
  <c r="AB148" i="1"/>
  <c r="AC148" i="1"/>
  <c r="AF148" i="1"/>
  <c r="AG148" i="1"/>
  <c r="AH148" i="1"/>
  <c r="AJ148" i="1"/>
  <c r="AK148" i="1"/>
  <c r="AL148" i="1"/>
  <c r="AO148" i="1"/>
  <c r="I148" i="1" s="1"/>
  <c r="AP148" i="1"/>
  <c r="AW148" i="1"/>
  <c r="AX148" i="1"/>
  <c r="BD148" i="1"/>
  <c r="BF148" i="1"/>
  <c r="BH148" i="1"/>
  <c r="AD148" i="1" s="1"/>
  <c r="BI148" i="1"/>
  <c r="AE148" i="1" s="1"/>
  <c r="BJ148" i="1"/>
  <c r="I150" i="1"/>
  <c r="K150" i="1"/>
  <c r="AL150" i="1" s="1"/>
  <c r="Z150" i="1"/>
  <c r="AB150" i="1"/>
  <c r="AC150" i="1"/>
  <c r="AF150" i="1"/>
  <c r="AG150" i="1"/>
  <c r="AH150" i="1"/>
  <c r="AJ150" i="1"/>
  <c r="AK150" i="1"/>
  <c r="AO150" i="1"/>
  <c r="AW150" i="1" s="1"/>
  <c r="AP150" i="1"/>
  <c r="BD150" i="1"/>
  <c r="BF150" i="1"/>
  <c r="BH150" i="1"/>
  <c r="AD150" i="1" s="1"/>
  <c r="BJ150" i="1"/>
  <c r="K151" i="1"/>
  <c r="AL151" i="1" s="1"/>
  <c r="Z151" i="1"/>
  <c r="AB151" i="1"/>
  <c r="AC151" i="1"/>
  <c r="AF151" i="1"/>
  <c r="AG151" i="1"/>
  <c r="AH151" i="1"/>
  <c r="AJ151" i="1"/>
  <c r="AK151" i="1"/>
  <c r="AO151" i="1"/>
  <c r="AP151" i="1"/>
  <c r="AW151" i="1"/>
  <c r="BD151" i="1"/>
  <c r="BF151" i="1"/>
  <c r="BJ151" i="1"/>
  <c r="I152" i="1"/>
  <c r="J152" i="1"/>
  <c r="K152" i="1"/>
  <c r="AL152" i="1" s="1"/>
  <c r="Z152" i="1"/>
  <c r="AB152" i="1"/>
  <c r="AC152" i="1"/>
  <c r="AD152" i="1"/>
  <c r="AF152" i="1"/>
  <c r="AG152" i="1"/>
  <c r="AH152" i="1"/>
  <c r="AJ152" i="1"/>
  <c r="AK152" i="1"/>
  <c r="AO152" i="1"/>
  <c r="AP152" i="1"/>
  <c r="AV152" i="1"/>
  <c r="AW152" i="1"/>
  <c r="BC152" i="1" s="1"/>
  <c r="AX152" i="1"/>
  <c r="BD152" i="1"/>
  <c r="BF152" i="1"/>
  <c r="BH152" i="1"/>
  <c r="BI152" i="1"/>
  <c r="AE152" i="1" s="1"/>
  <c r="BJ152" i="1"/>
  <c r="I153" i="1"/>
  <c r="J153" i="1"/>
  <c r="K153" i="1"/>
  <c r="Z153" i="1"/>
  <c r="AB153" i="1"/>
  <c r="AC153" i="1"/>
  <c r="AF153" i="1"/>
  <c r="AG153" i="1"/>
  <c r="AH153" i="1"/>
  <c r="AJ153" i="1"/>
  <c r="AK153" i="1"/>
  <c r="AL153" i="1"/>
  <c r="AO153" i="1"/>
  <c r="AP153" i="1"/>
  <c r="AX153" i="1" s="1"/>
  <c r="AW153" i="1"/>
  <c r="BD153" i="1"/>
  <c r="BF153" i="1"/>
  <c r="BH153" i="1"/>
  <c r="AD153" i="1" s="1"/>
  <c r="BI153" i="1"/>
  <c r="AE153" i="1" s="1"/>
  <c r="BJ153" i="1"/>
  <c r="I154" i="1"/>
  <c r="K154" i="1"/>
  <c r="AL154" i="1" s="1"/>
  <c r="Z154" i="1"/>
  <c r="AB154" i="1"/>
  <c r="AC154" i="1"/>
  <c r="AF154" i="1"/>
  <c r="AG154" i="1"/>
  <c r="AH154" i="1"/>
  <c r="AJ154" i="1"/>
  <c r="AK154" i="1"/>
  <c r="AO154" i="1"/>
  <c r="AP154" i="1"/>
  <c r="BD154" i="1"/>
  <c r="BF154" i="1"/>
  <c r="BJ154" i="1"/>
  <c r="K155" i="1"/>
  <c r="Z155" i="1"/>
  <c r="AB155" i="1"/>
  <c r="AC155" i="1"/>
  <c r="AF155" i="1"/>
  <c r="AG155" i="1"/>
  <c r="AH155" i="1"/>
  <c r="AJ155" i="1"/>
  <c r="AK155" i="1"/>
  <c r="AL155" i="1"/>
  <c r="AO155" i="1"/>
  <c r="I155" i="1" s="1"/>
  <c r="AP155" i="1"/>
  <c r="AW155" i="1"/>
  <c r="BD155" i="1"/>
  <c r="BF155" i="1"/>
  <c r="BH155" i="1"/>
  <c r="AD155" i="1" s="1"/>
  <c r="BJ155" i="1"/>
  <c r="J156" i="1"/>
  <c r="K156" i="1"/>
  <c r="Z156" i="1"/>
  <c r="AB156" i="1"/>
  <c r="AC156" i="1"/>
  <c r="AF156" i="1"/>
  <c r="AG156" i="1"/>
  <c r="AH156" i="1"/>
  <c r="AJ156" i="1"/>
  <c r="AK156" i="1"/>
  <c r="AL156" i="1"/>
  <c r="AO156" i="1"/>
  <c r="AP156" i="1"/>
  <c r="AX156" i="1"/>
  <c r="BD156" i="1"/>
  <c r="BF156" i="1"/>
  <c r="BI156" i="1"/>
  <c r="AE156" i="1" s="1"/>
  <c r="BJ156" i="1"/>
  <c r="I157" i="1"/>
  <c r="K157" i="1"/>
  <c r="Z157" i="1"/>
  <c r="AB157" i="1"/>
  <c r="AC157" i="1"/>
  <c r="AF157" i="1"/>
  <c r="AG157" i="1"/>
  <c r="AH157" i="1"/>
  <c r="AJ157" i="1"/>
  <c r="AK157" i="1"/>
  <c r="AL157" i="1"/>
  <c r="AO157" i="1"/>
  <c r="AP157" i="1"/>
  <c r="AW157" i="1"/>
  <c r="BD157" i="1"/>
  <c r="BF157" i="1"/>
  <c r="BH157" i="1"/>
  <c r="AD157" i="1" s="1"/>
  <c r="BJ157" i="1"/>
  <c r="K158" i="1"/>
  <c r="AL158" i="1" s="1"/>
  <c r="Z158" i="1"/>
  <c r="AB158" i="1"/>
  <c r="AC158" i="1"/>
  <c r="AF158" i="1"/>
  <c r="AG158" i="1"/>
  <c r="AH158" i="1"/>
  <c r="AJ158" i="1"/>
  <c r="AK158" i="1"/>
  <c r="AO158" i="1"/>
  <c r="AW158" i="1" s="1"/>
  <c r="AP158" i="1"/>
  <c r="BD158" i="1"/>
  <c r="BF158" i="1"/>
  <c r="BH158" i="1"/>
  <c r="AD158" i="1" s="1"/>
  <c r="BJ158" i="1"/>
  <c r="J159" i="1"/>
  <c r="K159" i="1"/>
  <c r="AL159" i="1" s="1"/>
  <c r="Z159" i="1"/>
  <c r="AB159" i="1"/>
  <c r="AC159" i="1"/>
  <c r="AD159" i="1"/>
  <c r="AF159" i="1"/>
  <c r="AG159" i="1"/>
  <c r="AH159" i="1"/>
  <c r="AJ159" i="1"/>
  <c r="AK159" i="1"/>
  <c r="AO159" i="1"/>
  <c r="I159" i="1" s="1"/>
  <c r="AP159" i="1"/>
  <c r="AW159" i="1"/>
  <c r="AX159" i="1"/>
  <c r="BD159" i="1"/>
  <c r="BF159" i="1"/>
  <c r="BH159" i="1"/>
  <c r="BI159" i="1"/>
  <c r="AE159" i="1" s="1"/>
  <c r="BJ159" i="1"/>
  <c r="I160" i="1"/>
  <c r="J160" i="1"/>
  <c r="K160" i="1"/>
  <c r="Z160" i="1"/>
  <c r="AB160" i="1"/>
  <c r="AC160" i="1"/>
  <c r="AF160" i="1"/>
  <c r="AG160" i="1"/>
  <c r="AH160" i="1"/>
  <c r="AJ160" i="1"/>
  <c r="AK160" i="1"/>
  <c r="AL160" i="1"/>
  <c r="AO160" i="1"/>
  <c r="AP160" i="1"/>
  <c r="AW160" i="1"/>
  <c r="AX160" i="1"/>
  <c r="BD160" i="1"/>
  <c r="BF160" i="1"/>
  <c r="BH160" i="1"/>
  <c r="AD160" i="1" s="1"/>
  <c r="BI160" i="1"/>
  <c r="AE160" i="1" s="1"/>
  <c r="BJ160" i="1"/>
  <c r="I161" i="1"/>
  <c r="K161" i="1"/>
  <c r="Z161" i="1"/>
  <c r="AB161" i="1"/>
  <c r="AC161" i="1"/>
  <c r="AF161" i="1"/>
  <c r="AG161" i="1"/>
  <c r="AH161" i="1"/>
  <c r="AJ161" i="1"/>
  <c r="AK161" i="1"/>
  <c r="AL161" i="1"/>
  <c r="AO161" i="1"/>
  <c r="AP161" i="1"/>
  <c r="AW161" i="1"/>
  <c r="BD161" i="1"/>
  <c r="BF161" i="1"/>
  <c r="BH161" i="1"/>
  <c r="AD161" i="1" s="1"/>
  <c r="BJ161" i="1"/>
  <c r="K162" i="1"/>
  <c r="AL162" i="1" s="1"/>
  <c r="Z162" i="1"/>
  <c r="AB162" i="1"/>
  <c r="AC162" i="1"/>
  <c r="AF162" i="1"/>
  <c r="AG162" i="1"/>
  <c r="AH162" i="1"/>
  <c r="AJ162" i="1"/>
  <c r="AK162" i="1"/>
  <c r="AO162" i="1"/>
  <c r="AP162" i="1"/>
  <c r="J162" i="1" s="1"/>
  <c r="AX162" i="1"/>
  <c r="BD162" i="1"/>
  <c r="BF162" i="1"/>
  <c r="BH162" i="1"/>
  <c r="AD162" i="1" s="1"/>
  <c r="BI162" i="1"/>
  <c r="AE162" i="1" s="1"/>
  <c r="BJ162" i="1"/>
  <c r="K163" i="1"/>
  <c r="AL163" i="1" s="1"/>
  <c r="Z163" i="1"/>
  <c r="AB163" i="1"/>
  <c r="AC163" i="1"/>
  <c r="AF163" i="1"/>
  <c r="AG163" i="1"/>
  <c r="AH163" i="1"/>
  <c r="AJ163" i="1"/>
  <c r="AK163" i="1"/>
  <c r="AO163" i="1"/>
  <c r="AP163" i="1"/>
  <c r="BD163" i="1"/>
  <c r="BF163" i="1"/>
  <c r="BJ163" i="1"/>
  <c r="J164" i="1"/>
  <c r="K164" i="1"/>
  <c r="AL164" i="1" s="1"/>
  <c r="Z164" i="1"/>
  <c r="AB164" i="1"/>
  <c r="AC164" i="1"/>
  <c r="AF164" i="1"/>
  <c r="AG164" i="1"/>
  <c r="AH164" i="1"/>
  <c r="AJ164" i="1"/>
  <c r="AK164" i="1"/>
  <c r="AO164" i="1"/>
  <c r="AP164" i="1"/>
  <c r="AX164" i="1"/>
  <c r="BD164" i="1"/>
  <c r="BF164" i="1"/>
  <c r="BI164" i="1"/>
  <c r="AE164" i="1" s="1"/>
  <c r="BJ164" i="1"/>
  <c r="I165" i="1"/>
  <c r="K165" i="1"/>
  <c r="Z165" i="1"/>
  <c r="AB165" i="1"/>
  <c r="AC165" i="1"/>
  <c r="AF165" i="1"/>
  <c r="AG165" i="1"/>
  <c r="AH165" i="1"/>
  <c r="AJ165" i="1"/>
  <c r="AK165" i="1"/>
  <c r="AL165" i="1"/>
  <c r="AO165" i="1"/>
  <c r="AP165" i="1"/>
  <c r="AW165" i="1"/>
  <c r="BD165" i="1"/>
  <c r="BF165" i="1"/>
  <c r="BH165" i="1"/>
  <c r="AD165" i="1" s="1"/>
  <c r="BJ165" i="1"/>
  <c r="I166" i="1"/>
  <c r="K166" i="1"/>
  <c r="AL166" i="1" s="1"/>
  <c r="Z166" i="1"/>
  <c r="AB166" i="1"/>
  <c r="AC166" i="1"/>
  <c r="AD166" i="1"/>
  <c r="AF166" i="1"/>
  <c r="AG166" i="1"/>
  <c r="AH166" i="1"/>
  <c r="AJ166" i="1"/>
  <c r="AK166" i="1"/>
  <c r="AO166" i="1"/>
  <c r="AP166" i="1"/>
  <c r="AW166" i="1"/>
  <c r="BD166" i="1"/>
  <c r="BF166" i="1"/>
  <c r="BH166" i="1"/>
  <c r="BJ166" i="1"/>
  <c r="I167" i="1"/>
  <c r="J167" i="1"/>
  <c r="K167" i="1"/>
  <c r="Z167" i="1"/>
  <c r="AB167" i="1"/>
  <c r="AC167" i="1"/>
  <c r="AF167" i="1"/>
  <c r="AG167" i="1"/>
  <c r="AH167" i="1"/>
  <c r="AJ167" i="1"/>
  <c r="AK167" i="1"/>
  <c r="AL167" i="1"/>
  <c r="AO167" i="1"/>
  <c r="AP167" i="1"/>
  <c r="AW167" i="1"/>
  <c r="BC167" i="1" s="1"/>
  <c r="AX167" i="1"/>
  <c r="BD167" i="1"/>
  <c r="BF167" i="1"/>
  <c r="BH167" i="1"/>
  <c r="AD167" i="1" s="1"/>
  <c r="BI167" i="1"/>
  <c r="AE167" i="1" s="1"/>
  <c r="BJ167" i="1"/>
  <c r="I168" i="1"/>
  <c r="J168" i="1"/>
  <c r="K168" i="1"/>
  <c r="Z168" i="1"/>
  <c r="AB168" i="1"/>
  <c r="AC168" i="1"/>
  <c r="AF168" i="1"/>
  <c r="AG168" i="1"/>
  <c r="AH168" i="1"/>
  <c r="AJ168" i="1"/>
  <c r="AK168" i="1"/>
  <c r="AL168" i="1"/>
  <c r="AO168" i="1"/>
  <c r="AP168" i="1"/>
  <c r="AX168" i="1" s="1"/>
  <c r="AW168" i="1"/>
  <c r="BD168" i="1"/>
  <c r="BF168" i="1"/>
  <c r="BH168" i="1"/>
  <c r="AD168" i="1" s="1"/>
  <c r="BI168" i="1"/>
  <c r="AE168" i="1" s="1"/>
  <c r="BJ168" i="1"/>
  <c r="K169" i="1"/>
  <c r="AL169" i="1" s="1"/>
  <c r="Z169" i="1"/>
  <c r="AB169" i="1"/>
  <c r="AC169" i="1"/>
  <c r="AD169" i="1"/>
  <c r="AF169" i="1"/>
  <c r="AG169" i="1"/>
  <c r="AH169" i="1"/>
  <c r="AJ169" i="1"/>
  <c r="AK169" i="1"/>
  <c r="AO169" i="1"/>
  <c r="AW169" i="1" s="1"/>
  <c r="AP169" i="1"/>
  <c r="BD169" i="1"/>
  <c r="BF169" i="1"/>
  <c r="BH169" i="1"/>
  <c r="BJ169" i="1"/>
  <c r="J170" i="1"/>
  <c r="K170" i="1"/>
  <c r="Z170" i="1"/>
  <c r="AB170" i="1"/>
  <c r="AC170" i="1"/>
  <c r="AF170" i="1"/>
  <c r="AG170" i="1"/>
  <c r="AH170" i="1"/>
  <c r="AJ170" i="1"/>
  <c r="AK170" i="1"/>
  <c r="AL170" i="1"/>
  <c r="AO170" i="1"/>
  <c r="I170" i="1" s="1"/>
  <c r="AP170" i="1"/>
  <c r="AW170" i="1"/>
  <c r="AX170" i="1"/>
  <c r="BD170" i="1"/>
  <c r="BF170" i="1"/>
  <c r="BH170" i="1"/>
  <c r="AD170" i="1" s="1"/>
  <c r="BI170" i="1"/>
  <c r="AE170" i="1" s="1"/>
  <c r="BJ170" i="1"/>
  <c r="J171" i="1"/>
  <c r="K171" i="1"/>
  <c r="Z171" i="1"/>
  <c r="AB171" i="1"/>
  <c r="AC171" i="1"/>
  <c r="AF171" i="1"/>
  <c r="AG171" i="1"/>
  <c r="AH171" i="1"/>
  <c r="AJ171" i="1"/>
  <c r="AK171" i="1"/>
  <c r="AL171" i="1"/>
  <c r="AO171" i="1"/>
  <c r="I171" i="1" s="1"/>
  <c r="AP171" i="1"/>
  <c r="AW171" i="1"/>
  <c r="AX171" i="1"/>
  <c r="BD171" i="1"/>
  <c r="BF171" i="1"/>
  <c r="BH171" i="1"/>
  <c r="AD171" i="1" s="1"/>
  <c r="BI171" i="1"/>
  <c r="AE171" i="1" s="1"/>
  <c r="BJ171" i="1"/>
  <c r="I172" i="1"/>
  <c r="K172" i="1"/>
  <c r="Z172" i="1"/>
  <c r="AB172" i="1"/>
  <c r="AC172" i="1"/>
  <c r="AF172" i="1"/>
  <c r="AG172" i="1"/>
  <c r="AH172" i="1"/>
  <c r="AJ172" i="1"/>
  <c r="AK172" i="1"/>
  <c r="AL172" i="1"/>
  <c r="AO172" i="1"/>
  <c r="AP172" i="1"/>
  <c r="AW172" i="1"/>
  <c r="BD172" i="1"/>
  <c r="BF172" i="1"/>
  <c r="BH172" i="1"/>
  <c r="AD172" i="1" s="1"/>
  <c r="BJ172" i="1"/>
  <c r="K173" i="1"/>
  <c r="AL173" i="1" s="1"/>
  <c r="Z173" i="1"/>
  <c r="AB173" i="1"/>
  <c r="AC173" i="1"/>
  <c r="AF173" i="1"/>
  <c r="AG173" i="1"/>
  <c r="AH173" i="1"/>
  <c r="AJ173" i="1"/>
  <c r="AK173" i="1"/>
  <c r="AO173" i="1"/>
  <c r="AP173" i="1"/>
  <c r="J173" i="1" s="1"/>
  <c r="AX173" i="1"/>
  <c r="BD173" i="1"/>
  <c r="BF173" i="1"/>
  <c r="BI173" i="1"/>
  <c r="AE173" i="1" s="1"/>
  <c r="BJ173" i="1"/>
  <c r="K174" i="1"/>
  <c r="AL174" i="1" s="1"/>
  <c r="Z174" i="1"/>
  <c r="AB174" i="1"/>
  <c r="AC174" i="1"/>
  <c r="AF174" i="1"/>
  <c r="AG174" i="1"/>
  <c r="AH174" i="1"/>
  <c r="AJ174" i="1"/>
  <c r="AK174" i="1"/>
  <c r="AO174" i="1"/>
  <c r="AP174" i="1"/>
  <c r="BD174" i="1"/>
  <c r="BF174" i="1"/>
  <c r="BJ174" i="1"/>
  <c r="J175" i="1"/>
  <c r="K175" i="1"/>
  <c r="AL175" i="1" s="1"/>
  <c r="Z175" i="1"/>
  <c r="AB175" i="1"/>
  <c r="AC175" i="1"/>
  <c r="AF175" i="1"/>
  <c r="AG175" i="1"/>
  <c r="AH175" i="1"/>
  <c r="AJ175" i="1"/>
  <c r="AK175" i="1"/>
  <c r="AO175" i="1"/>
  <c r="AP175" i="1"/>
  <c r="AX175" i="1"/>
  <c r="BD175" i="1"/>
  <c r="BF175" i="1"/>
  <c r="BI175" i="1"/>
  <c r="AE175" i="1" s="1"/>
  <c r="BJ175" i="1"/>
  <c r="I176" i="1"/>
  <c r="K176" i="1"/>
  <c r="Z176" i="1"/>
  <c r="AB176" i="1"/>
  <c r="AC176" i="1"/>
  <c r="AF176" i="1"/>
  <c r="AG176" i="1"/>
  <c r="AH176" i="1"/>
  <c r="AJ176" i="1"/>
  <c r="AK176" i="1"/>
  <c r="AL176" i="1"/>
  <c r="AO176" i="1"/>
  <c r="AP176" i="1"/>
  <c r="AW176" i="1"/>
  <c r="BD176" i="1"/>
  <c r="BF176" i="1"/>
  <c r="BH176" i="1"/>
  <c r="AD176" i="1" s="1"/>
  <c r="BJ176" i="1"/>
  <c r="I177" i="1"/>
  <c r="K177" i="1"/>
  <c r="AL177" i="1" s="1"/>
  <c r="Z177" i="1"/>
  <c r="AB177" i="1"/>
  <c r="AC177" i="1"/>
  <c r="AF177" i="1"/>
  <c r="AG177" i="1"/>
  <c r="AH177" i="1"/>
  <c r="AJ177" i="1"/>
  <c r="AK177" i="1"/>
  <c r="AO177" i="1"/>
  <c r="AW177" i="1" s="1"/>
  <c r="AP177" i="1"/>
  <c r="J177" i="1" s="1"/>
  <c r="AX177" i="1"/>
  <c r="BC177" i="1" s="1"/>
  <c r="BD177" i="1"/>
  <c r="BF177" i="1"/>
  <c r="BH177" i="1"/>
  <c r="AD177" i="1" s="1"/>
  <c r="BJ177" i="1"/>
  <c r="K178" i="1"/>
  <c r="AL178" i="1" s="1"/>
  <c r="Z178" i="1"/>
  <c r="AB178" i="1"/>
  <c r="AC178" i="1"/>
  <c r="AE178" i="1"/>
  <c r="AF178" i="1"/>
  <c r="AG178" i="1"/>
  <c r="AH178" i="1"/>
  <c r="AJ178" i="1"/>
  <c r="AK178" i="1"/>
  <c r="AO178" i="1"/>
  <c r="AP178" i="1"/>
  <c r="AW178" i="1"/>
  <c r="BD178" i="1"/>
  <c r="BF178" i="1"/>
  <c r="BI178" i="1"/>
  <c r="BJ178" i="1"/>
  <c r="I179" i="1"/>
  <c r="J179" i="1"/>
  <c r="K179" i="1"/>
  <c r="AL179" i="1" s="1"/>
  <c r="Z179" i="1"/>
  <c r="AB179" i="1"/>
  <c r="AC179" i="1"/>
  <c r="AD179" i="1"/>
  <c r="AF179" i="1"/>
  <c r="AG179" i="1"/>
  <c r="AH179" i="1"/>
  <c r="AJ179" i="1"/>
  <c r="AK179" i="1"/>
  <c r="AO179" i="1"/>
  <c r="AP179" i="1"/>
  <c r="AW179" i="1"/>
  <c r="BC179" i="1" s="1"/>
  <c r="AX179" i="1"/>
  <c r="BD179" i="1"/>
  <c r="BF179" i="1"/>
  <c r="BH179" i="1"/>
  <c r="BI179" i="1"/>
  <c r="AE179" i="1" s="1"/>
  <c r="BJ179" i="1"/>
  <c r="I180" i="1"/>
  <c r="J180" i="1"/>
  <c r="K180" i="1"/>
  <c r="Z180" i="1"/>
  <c r="AB180" i="1"/>
  <c r="AC180" i="1"/>
  <c r="AF180" i="1"/>
  <c r="AG180" i="1"/>
  <c r="AH180" i="1"/>
  <c r="AJ180" i="1"/>
  <c r="AK180" i="1"/>
  <c r="AL180" i="1"/>
  <c r="AO180" i="1"/>
  <c r="AP180" i="1"/>
  <c r="AX180" i="1" s="1"/>
  <c r="AW180" i="1"/>
  <c r="BD180" i="1"/>
  <c r="BF180" i="1"/>
  <c r="BH180" i="1"/>
  <c r="AD180" i="1" s="1"/>
  <c r="BI180" i="1"/>
  <c r="AE180" i="1" s="1"/>
  <c r="BJ180" i="1"/>
  <c r="K181" i="1"/>
  <c r="AL181" i="1" s="1"/>
  <c r="Z181" i="1"/>
  <c r="AB181" i="1"/>
  <c r="AC181" i="1"/>
  <c r="AF181" i="1"/>
  <c r="AG181" i="1"/>
  <c r="AH181" i="1"/>
  <c r="AJ181" i="1"/>
  <c r="AK181" i="1"/>
  <c r="AO181" i="1"/>
  <c r="AP181" i="1"/>
  <c r="BD181" i="1"/>
  <c r="BF181" i="1"/>
  <c r="BJ181" i="1"/>
  <c r="K182" i="1"/>
  <c r="Z182" i="1"/>
  <c r="AB182" i="1"/>
  <c r="AC182" i="1"/>
  <c r="AF182" i="1"/>
  <c r="AG182" i="1"/>
  <c r="AH182" i="1"/>
  <c r="AJ182" i="1"/>
  <c r="AK182" i="1"/>
  <c r="AL182" i="1"/>
  <c r="AO182" i="1"/>
  <c r="I182" i="1" s="1"/>
  <c r="AP182" i="1"/>
  <c r="AW182" i="1"/>
  <c r="BD182" i="1"/>
  <c r="BF182" i="1"/>
  <c r="BH182" i="1"/>
  <c r="AD182" i="1" s="1"/>
  <c r="BJ182" i="1"/>
  <c r="J183" i="1"/>
  <c r="K183" i="1"/>
  <c r="Z183" i="1"/>
  <c r="AB183" i="1"/>
  <c r="AC183" i="1"/>
  <c r="AF183" i="1"/>
  <c r="AG183" i="1"/>
  <c r="AH183" i="1"/>
  <c r="AJ183" i="1"/>
  <c r="AK183" i="1"/>
  <c r="AL183" i="1"/>
  <c r="AO183" i="1"/>
  <c r="AW183" i="1" s="1"/>
  <c r="AP183" i="1"/>
  <c r="AX183" i="1"/>
  <c r="BD183" i="1"/>
  <c r="BF183" i="1"/>
  <c r="BI183" i="1"/>
  <c r="AE183" i="1" s="1"/>
  <c r="BJ183" i="1"/>
  <c r="I184" i="1"/>
  <c r="K184" i="1"/>
  <c r="Z184" i="1"/>
  <c r="AB184" i="1"/>
  <c r="AC184" i="1"/>
  <c r="AF184" i="1"/>
  <c r="AG184" i="1"/>
  <c r="AH184" i="1"/>
  <c r="AJ184" i="1"/>
  <c r="AK184" i="1"/>
  <c r="AL184" i="1"/>
  <c r="AO184" i="1"/>
  <c r="AP184" i="1"/>
  <c r="AX184" i="1" s="1"/>
  <c r="AW184" i="1"/>
  <c r="BD184" i="1"/>
  <c r="BF184" i="1"/>
  <c r="BH184" i="1"/>
  <c r="AD184" i="1" s="1"/>
  <c r="BJ184" i="1"/>
  <c r="K185" i="1"/>
  <c r="AL185" i="1" s="1"/>
  <c r="Z185" i="1"/>
  <c r="AB185" i="1"/>
  <c r="AC185" i="1"/>
  <c r="AF185" i="1"/>
  <c r="AG185" i="1"/>
  <c r="AH185" i="1"/>
  <c r="AJ185" i="1"/>
  <c r="AK185" i="1"/>
  <c r="AO185" i="1"/>
  <c r="AW185" i="1" s="1"/>
  <c r="AP185" i="1"/>
  <c r="BD185" i="1"/>
  <c r="BF185" i="1"/>
  <c r="BH185" i="1"/>
  <c r="AD185" i="1" s="1"/>
  <c r="BJ185" i="1"/>
  <c r="J186" i="1"/>
  <c r="K186" i="1"/>
  <c r="AL186" i="1" s="1"/>
  <c r="Z186" i="1"/>
  <c r="AB186" i="1"/>
  <c r="AC186" i="1"/>
  <c r="AD186" i="1"/>
  <c r="AF186" i="1"/>
  <c r="AG186" i="1"/>
  <c r="AH186" i="1"/>
  <c r="AJ186" i="1"/>
  <c r="AK186" i="1"/>
  <c r="AO186" i="1"/>
  <c r="I186" i="1" s="1"/>
  <c r="AP186" i="1"/>
  <c r="AW186" i="1"/>
  <c r="AX186" i="1"/>
  <c r="BD186" i="1"/>
  <c r="BF186" i="1"/>
  <c r="BH186" i="1"/>
  <c r="BI186" i="1"/>
  <c r="AE186" i="1" s="1"/>
  <c r="BJ186" i="1"/>
  <c r="I187" i="1"/>
  <c r="J187" i="1"/>
  <c r="K187" i="1"/>
  <c r="Z187" i="1"/>
  <c r="AB187" i="1"/>
  <c r="AC187" i="1"/>
  <c r="AF187" i="1"/>
  <c r="AG187" i="1"/>
  <c r="AH187" i="1"/>
  <c r="AJ187" i="1"/>
  <c r="AK187" i="1"/>
  <c r="AL187" i="1"/>
  <c r="AO187" i="1"/>
  <c r="AP187" i="1"/>
  <c r="AW187" i="1"/>
  <c r="AX187" i="1"/>
  <c r="BD187" i="1"/>
  <c r="BF187" i="1"/>
  <c r="BH187" i="1"/>
  <c r="AD187" i="1" s="1"/>
  <c r="BI187" i="1"/>
  <c r="AE187" i="1" s="1"/>
  <c r="BJ187" i="1"/>
  <c r="I188" i="1"/>
  <c r="K188" i="1"/>
  <c r="Z188" i="1"/>
  <c r="AB188" i="1"/>
  <c r="AC188" i="1"/>
  <c r="AF188" i="1"/>
  <c r="AG188" i="1"/>
  <c r="AH188" i="1"/>
  <c r="AJ188" i="1"/>
  <c r="AK188" i="1"/>
  <c r="AL188" i="1"/>
  <c r="AO188" i="1"/>
  <c r="AP188" i="1"/>
  <c r="AW188" i="1"/>
  <c r="BD188" i="1"/>
  <c r="BF188" i="1"/>
  <c r="BH188" i="1"/>
  <c r="AD188" i="1" s="1"/>
  <c r="BJ188" i="1"/>
  <c r="K189" i="1"/>
  <c r="AL189" i="1" s="1"/>
  <c r="Z189" i="1"/>
  <c r="AB189" i="1"/>
  <c r="AC189" i="1"/>
  <c r="AF189" i="1"/>
  <c r="AG189" i="1"/>
  <c r="AH189" i="1"/>
  <c r="AJ189" i="1"/>
  <c r="AK189" i="1"/>
  <c r="AO189" i="1"/>
  <c r="AP189" i="1"/>
  <c r="J189" i="1" s="1"/>
  <c r="AX189" i="1"/>
  <c r="BD189" i="1"/>
  <c r="BF189" i="1"/>
  <c r="BI189" i="1"/>
  <c r="AE189" i="1" s="1"/>
  <c r="BJ189" i="1"/>
  <c r="K190" i="1"/>
  <c r="AL190" i="1" s="1"/>
  <c r="Z190" i="1"/>
  <c r="AB190" i="1"/>
  <c r="AC190" i="1"/>
  <c r="AF190" i="1"/>
  <c r="AG190" i="1"/>
  <c r="AH190" i="1"/>
  <c r="AJ190" i="1"/>
  <c r="AK190" i="1"/>
  <c r="AO190" i="1"/>
  <c r="AP190" i="1"/>
  <c r="BD190" i="1"/>
  <c r="BF190" i="1"/>
  <c r="BJ190" i="1"/>
  <c r="J191" i="1"/>
  <c r="K191" i="1"/>
  <c r="AL191" i="1" s="1"/>
  <c r="Z191" i="1"/>
  <c r="AB191" i="1"/>
  <c r="AC191" i="1"/>
  <c r="AF191" i="1"/>
  <c r="AG191" i="1"/>
  <c r="AH191" i="1"/>
  <c r="AJ191" i="1"/>
  <c r="AK191" i="1"/>
  <c r="AO191" i="1"/>
  <c r="AP191" i="1"/>
  <c r="AX191" i="1"/>
  <c r="BD191" i="1"/>
  <c r="BF191" i="1"/>
  <c r="BI191" i="1"/>
  <c r="AE191" i="1" s="1"/>
  <c r="BJ191" i="1"/>
  <c r="I192" i="1"/>
  <c r="K192" i="1"/>
  <c r="Z192" i="1"/>
  <c r="AB192" i="1"/>
  <c r="AC192" i="1"/>
  <c r="AF192" i="1"/>
  <c r="AG192" i="1"/>
  <c r="AH192" i="1"/>
  <c r="AJ192" i="1"/>
  <c r="AK192" i="1"/>
  <c r="AL192" i="1"/>
  <c r="AO192" i="1"/>
  <c r="AP192" i="1"/>
  <c r="AW192" i="1"/>
  <c r="BD192" i="1"/>
  <c r="BF192" i="1"/>
  <c r="BH192" i="1"/>
  <c r="AD192" i="1" s="1"/>
  <c r="BJ192" i="1"/>
  <c r="I193" i="1"/>
  <c r="K193" i="1"/>
  <c r="AL193" i="1" s="1"/>
  <c r="Z193" i="1"/>
  <c r="AB193" i="1"/>
  <c r="AC193" i="1"/>
  <c r="AD193" i="1"/>
  <c r="AF193" i="1"/>
  <c r="AG193" i="1"/>
  <c r="AH193" i="1"/>
  <c r="AJ193" i="1"/>
  <c r="AK193" i="1"/>
  <c r="AO193" i="1"/>
  <c r="AW193" i="1" s="1"/>
  <c r="AP193" i="1"/>
  <c r="J193" i="1" s="1"/>
  <c r="AX193" i="1"/>
  <c r="BD193" i="1"/>
  <c r="BF193" i="1"/>
  <c r="BH193" i="1"/>
  <c r="BJ193" i="1"/>
  <c r="K194" i="1"/>
  <c r="AL194" i="1" s="1"/>
  <c r="Z194" i="1"/>
  <c r="AB194" i="1"/>
  <c r="AC194" i="1"/>
  <c r="AF194" i="1"/>
  <c r="AG194" i="1"/>
  <c r="AH194" i="1"/>
  <c r="AJ194" i="1"/>
  <c r="AK194" i="1"/>
  <c r="AO194" i="1"/>
  <c r="AP194" i="1"/>
  <c r="AW194" i="1"/>
  <c r="BD194" i="1"/>
  <c r="BF194" i="1"/>
  <c r="BI194" i="1"/>
  <c r="AE194" i="1" s="1"/>
  <c r="BJ194" i="1"/>
  <c r="I195" i="1"/>
  <c r="J195" i="1"/>
  <c r="K195" i="1"/>
  <c r="AL195" i="1" s="1"/>
  <c r="Z195" i="1"/>
  <c r="AB195" i="1"/>
  <c r="AC195" i="1"/>
  <c r="AD195" i="1"/>
  <c r="AF195" i="1"/>
  <c r="AG195" i="1"/>
  <c r="AH195" i="1"/>
  <c r="AJ195" i="1"/>
  <c r="AK195" i="1"/>
  <c r="AO195" i="1"/>
  <c r="AP195" i="1"/>
  <c r="AW195" i="1"/>
  <c r="BC195" i="1" s="1"/>
  <c r="AX195" i="1"/>
  <c r="BD195" i="1"/>
  <c r="BF195" i="1"/>
  <c r="BH195" i="1"/>
  <c r="BI195" i="1"/>
  <c r="AE195" i="1" s="1"/>
  <c r="BJ195" i="1"/>
  <c r="I196" i="1"/>
  <c r="J196" i="1"/>
  <c r="K196" i="1"/>
  <c r="Z196" i="1"/>
  <c r="AB196" i="1"/>
  <c r="AC196" i="1"/>
  <c r="AF196" i="1"/>
  <c r="AG196" i="1"/>
  <c r="AH196" i="1"/>
  <c r="AJ196" i="1"/>
  <c r="AK196" i="1"/>
  <c r="AL196" i="1"/>
  <c r="AO196" i="1"/>
  <c r="AP196" i="1"/>
  <c r="AX196" i="1" s="1"/>
  <c r="AW196" i="1"/>
  <c r="BD196" i="1"/>
  <c r="BF196" i="1"/>
  <c r="BH196" i="1"/>
  <c r="AD196" i="1" s="1"/>
  <c r="BI196" i="1"/>
  <c r="AE196" i="1" s="1"/>
  <c r="BJ196" i="1"/>
  <c r="K197" i="1"/>
  <c r="AL197" i="1" s="1"/>
  <c r="Z197" i="1"/>
  <c r="AB197" i="1"/>
  <c r="AC197" i="1"/>
  <c r="AF197" i="1"/>
  <c r="AG197" i="1"/>
  <c r="AH197" i="1"/>
  <c r="AJ197" i="1"/>
  <c r="AK197" i="1"/>
  <c r="AO197" i="1"/>
  <c r="AP197" i="1"/>
  <c r="BD197" i="1"/>
  <c r="BF197" i="1"/>
  <c r="BJ197" i="1"/>
  <c r="K198" i="1"/>
  <c r="Z198" i="1"/>
  <c r="AB198" i="1"/>
  <c r="AC198" i="1"/>
  <c r="AF198" i="1"/>
  <c r="AG198" i="1"/>
  <c r="AH198" i="1"/>
  <c r="AJ198" i="1"/>
  <c r="AK198" i="1"/>
  <c r="AL198" i="1"/>
  <c r="AO198" i="1"/>
  <c r="I198" i="1" s="1"/>
  <c r="AP198" i="1"/>
  <c r="AW198" i="1"/>
  <c r="BD198" i="1"/>
  <c r="BF198" i="1"/>
  <c r="BH198" i="1"/>
  <c r="AD198" i="1" s="1"/>
  <c r="BJ198" i="1"/>
  <c r="J199" i="1"/>
  <c r="K199" i="1"/>
  <c r="Z199" i="1"/>
  <c r="AB199" i="1"/>
  <c r="AC199" i="1"/>
  <c r="AF199" i="1"/>
  <c r="AG199" i="1"/>
  <c r="AH199" i="1"/>
  <c r="AJ199" i="1"/>
  <c r="AK199" i="1"/>
  <c r="AL199" i="1"/>
  <c r="AO199" i="1"/>
  <c r="AW199" i="1" s="1"/>
  <c r="AP199" i="1"/>
  <c r="AX199" i="1"/>
  <c r="BD199" i="1"/>
  <c r="BF199" i="1"/>
  <c r="BI199" i="1"/>
  <c r="AE199" i="1" s="1"/>
  <c r="BJ199" i="1"/>
  <c r="K201" i="1"/>
  <c r="AL201" i="1" s="1"/>
  <c r="Z201" i="1"/>
  <c r="AB201" i="1"/>
  <c r="AC201" i="1"/>
  <c r="AF201" i="1"/>
  <c r="AG201" i="1"/>
  <c r="AH201" i="1"/>
  <c r="AJ201" i="1"/>
  <c r="AK201" i="1"/>
  <c r="AO201" i="1"/>
  <c r="I201" i="1" s="1"/>
  <c r="AP201" i="1"/>
  <c r="AX201" i="1" s="1"/>
  <c r="AW201" i="1"/>
  <c r="BD201" i="1"/>
  <c r="BF201" i="1"/>
  <c r="BH201" i="1"/>
  <c r="AD201" i="1" s="1"/>
  <c r="BJ201" i="1"/>
  <c r="J202" i="1"/>
  <c r="K202" i="1"/>
  <c r="Z202" i="1"/>
  <c r="AB202" i="1"/>
  <c r="AC202" i="1"/>
  <c r="AF202" i="1"/>
  <c r="AG202" i="1"/>
  <c r="AH202" i="1"/>
  <c r="AJ202" i="1"/>
  <c r="AK202" i="1"/>
  <c r="AL202" i="1"/>
  <c r="AO202" i="1"/>
  <c r="AP202" i="1"/>
  <c r="AX202" i="1"/>
  <c r="BD202" i="1"/>
  <c r="BF202" i="1"/>
  <c r="BI202" i="1"/>
  <c r="AE202" i="1" s="1"/>
  <c r="BJ202" i="1"/>
  <c r="I203" i="1"/>
  <c r="K203" i="1"/>
  <c r="Z203" i="1"/>
  <c r="AB203" i="1"/>
  <c r="AC203" i="1"/>
  <c r="AF203" i="1"/>
  <c r="AG203" i="1"/>
  <c r="AH203" i="1"/>
  <c r="AJ203" i="1"/>
  <c r="AK203" i="1"/>
  <c r="AL203" i="1"/>
  <c r="AO203" i="1"/>
  <c r="AP203" i="1"/>
  <c r="AX203" i="1" s="1"/>
  <c r="BC203" i="1" s="1"/>
  <c r="AV203" i="1"/>
  <c r="AW203" i="1"/>
  <c r="BD203" i="1"/>
  <c r="BF203" i="1"/>
  <c r="BH203" i="1"/>
  <c r="AD203" i="1" s="1"/>
  <c r="BJ203" i="1"/>
  <c r="I204" i="1"/>
  <c r="K204" i="1"/>
  <c r="AL204" i="1" s="1"/>
  <c r="Z204" i="1"/>
  <c r="AB204" i="1"/>
  <c r="AC204" i="1"/>
  <c r="AF204" i="1"/>
  <c r="AG204" i="1"/>
  <c r="AH204" i="1"/>
  <c r="AJ204" i="1"/>
  <c r="AK204" i="1"/>
  <c r="AO204" i="1"/>
  <c r="AW204" i="1" s="1"/>
  <c r="AV204" i="1" s="1"/>
  <c r="AP204" i="1"/>
  <c r="J204" i="1" s="1"/>
  <c r="AX204" i="1"/>
  <c r="BC204" i="1"/>
  <c r="BD204" i="1"/>
  <c r="BF204" i="1"/>
  <c r="BI204" i="1"/>
  <c r="AE204" i="1" s="1"/>
  <c r="BJ204" i="1"/>
  <c r="K205" i="1"/>
  <c r="Z205" i="1"/>
  <c r="AB205" i="1"/>
  <c r="AC205" i="1"/>
  <c r="AF205" i="1"/>
  <c r="AG205" i="1"/>
  <c r="AH205" i="1"/>
  <c r="AJ205" i="1"/>
  <c r="AK205" i="1"/>
  <c r="AL205" i="1"/>
  <c r="AO205" i="1"/>
  <c r="AP205" i="1"/>
  <c r="J205" i="1" s="1"/>
  <c r="AX205" i="1"/>
  <c r="BD205" i="1"/>
  <c r="BF205" i="1"/>
  <c r="BH205" i="1"/>
  <c r="AD205" i="1" s="1"/>
  <c r="BJ205" i="1"/>
  <c r="J206" i="1"/>
  <c r="K206" i="1"/>
  <c r="AL206" i="1" s="1"/>
  <c r="Z206" i="1"/>
  <c r="AB206" i="1"/>
  <c r="AC206" i="1"/>
  <c r="AF206" i="1"/>
  <c r="AG206" i="1"/>
  <c r="AH206" i="1"/>
  <c r="AJ206" i="1"/>
  <c r="AK206" i="1"/>
  <c r="AO206" i="1"/>
  <c r="AP206" i="1"/>
  <c r="AX206" i="1"/>
  <c r="BD206" i="1"/>
  <c r="BF206" i="1"/>
  <c r="BI206" i="1"/>
  <c r="AE206" i="1" s="1"/>
  <c r="BJ206" i="1"/>
  <c r="I207" i="1"/>
  <c r="K207" i="1"/>
  <c r="Z207" i="1"/>
  <c r="AB207" i="1"/>
  <c r="AC207" i="1"/>
  <c r="AF207" i="1"/>
  <c r="AG207" i="1"/>
  <c r="AH207" i="1"/>
  <c r="AJ207" i="1"/>
  <c r="AK207" i="1"/>
  <c r="AL207" i="1"/>
  <c r="AO207" i="1"/>
  <c r="AP207" i="1"/>
  <c r="AW207" i="1"/>
  <c r="BD207" i="1"/>
  <c r="BF207" i="1"/>
  <c r="BH207" i="1"/>
  <c r="AD207" i="1" s="1"/>
  <c r="BJ207" i="1"/>
  <c r="K208" i="1"/>
  <c r="AL208" i="1" s="1"/>
  <c r="Z208" i="1"/>
  <c r="AB208" i="1"/>
  <c r="AC208" i="1"/>
  <c r="AF208" i="1"/>
  <c r="AG208" i="1"/>
  <c r="AH208" i="1"/>
  <c r="AJ208" i="1"/>
  <c r="AK208" i="1"/>
  <c r="AO208" i="1"/>
  <c r="AW208" i="1" s="1"/>
  <c r="AP208" i="1"/>
  <c r="J208" i="1" s="1"/>
  <c r="AX208" i="1"/>
  <c r="BC208" i="1"/>
  <c r="BD208" i="1"/>
  <c r="BF208" i="1"/>
  <c r="BH208" i="1"/>
  <c r="AD208" i="1" s="1"/>
  <c r="BI208" i="1"/>
  <c r="AE208" i="1" s="1"/>
  <c r="BJ208" i="1"/>
  <c r="K209" i="1"/>
  <c r="AL209" i="1" s="1"/>
  <c r="Z209" i="1"/>
  <c r="AB209" i="1"/>
  <c r="AC209" i="1"/>
  <c r="AF209" i="1"/>
  <c r="AG209" i="1"/>
  <c r="AH209" i="1"/>
  <c r="AJ209" i="1"/>
  <c r="AK209" i="1"/>
  <c r="AO209" i="1"/>
  <c r="AP209" i="1"/>
  <c r="AW209" i="1"/>
  <c r="BD209" i="1"/>
  <c r="BF209" i="1"/>
  <c r="BI209" i="1"/>
  <c r="AE209" i="1" s="1"/>
  <c r="BJ209" i="1"/>
  <c r="I210" i="1"/>
  <c r="J210" i="1"/>
  <c r="K210" i="1"/>
  <c r="AL210" i="1" s="1"/>
  <c r="Z210" i="1"/>
  <c r="AB210" i="1"/>
  <c r="AC210" i="1"/>
  <c r="AD210" i="1"/>
  <c r="AF210" i="1"/>
  <c r="AG210" i="1"/>
  <c r="AH210" i="1"/>
  <c r="AJ210" i="1"/>
  <c r="AK210" i="1"/>
  <c r="AO210" i="1"/>
  <c r="AP210" i="1"/>
  <c r="AV210" i="1"/>
  <c r="AW210" i="1"/>
  <c r="BC210" i="1" s="1"/>
  <c r="AX210" i="1"/>
  <c r="BD210" i="1"/>
  <c r="BF210" i="1"/>
  <c r="BH210" i="1"/>
  <c r="BI210" i="1"/>
  <c r="AE210" i="1" s="1"/>
  <c r="BJ210" i="1"/>
  <c r="I211" i="1"/>
  <c r="J211" i="1"/>
  <c r="K211" i="1"/>
  <c r="Z211" i="1"/>
  <c r="AB211" i="1"/>
  <c r="AC211" i="1"/>
  <c r="AF211" i="1"/>
  <c r="AG211" i="1"/>
  <c r="AH211" i="1"/>
  <c r="AJ211" i="1"/>
  <c r="AK211" i="1"/>
  <c r="AL211" i="1"/>
  <c r="AO211" i="1"/>
  <c r="AP211" i="1"/>
  <c r="AX211" i="1" s="1"/>
  <c r="AW211" i="1"/>
  <c r="AV211" i="1" s="1"/>
  <c r="BC211" i="1"/>
  <c r="BD211" i="1"/>
  <c r="BF211" i="1"/>
  <c r="BH211" i="1"/>
  <c r="AD211" i="1" s="1"/>
  <c r="BI211" i="1"/>
  <c r="AE211" i="1" s="1"/>
  <c r="BJ211" i="1"/>
  <c r="K212" i="1"/>
  <c r="AL212" i="1" s="1"/>
  <c r="Z212" i="1"/>
  <c r="AB212" i="1"/>
  <c r="AC212" i="1"/>
  <c r="AE212" i="1"/>
  <c r="AF212" i="1"/>
  <c r="AG212" i="1"/>
  <c r="AH212" i="1"/>
  <c r="AJ212" i="1"/>
  <c r="AK212" i="1"/>
  <c r="AO212" i="1"/>
  <c r="AP212" i="1"/>
  <c r="BD212" i="1"/>
  <c r="BF212" i="1"/>
  <c r="BI212" i="1"/>
  <c r="BJ212" i="1"/>
  <c r="K213" i="1"/>
  <c r="Z213" i="1"/>
  <c r="AB213" i="1"/>
  <c r="AC213" i="1"/>
  <c r="AF213" i="1"/>
  <c r="AG213" i="1"/>
  <c r="AH213" i="1"/>
  <c r="AJ213" i="1"/>
  <c r="AK213" i="1"/>
  <c r="AL213" i="1"/>
  <c r="AO213" i="1"/>
  <c r="I213" i="1" s="1"/>
  <c r="AP213" i="1"/>
  <c r="BI213" i="1" s="1"/>
  <c r="AE213" i="1" s="1"/>
  <c r="AW213" i="1"/>
  <c r="BD213" i="1"/>
  <c r="BF213" i="1"/>
  <c r="BH213" i="1"/>
  <c r="AD213" i="1" s="1"/>
  <c r="BJ213" i="1"/>
  <c r="J214" i="1"/>
  <c r="K214" i="1"/>
  <c r="Z214" i="1"/>
  <c r="AB214" i="1"/>
  <c r="AC214" i="1"/>
  <c r="AF214" i="1"/>
  <c r="AG214" i="1"/>
  <c r="AH214" i="1"/>
  <c r="AJ214" i="1"/>
  <c r="AK214" i="1"/>
  <c r="AL214" i="1"/>
  <c r="AO214" i="1"/>
  <c r="I214" i="1" s="1"/>
  <c r="AP214" i="1"/>
  <c r="AV214" i="1"/>
  <c r="AW214" i="1"/>
  <c r="BC214" i="1" s="1"/>
  <c r="AX214" i="1"/>
  <c r="BD214" i="1"/>
  <c r="BF214" i="1"/>
  <c r="BH214" i="1"/>
  <c r="AD214" i="1" s="1"/>
  <c r="BI214" i="1"/>
  <c r="AE214" i="1" s="1"/>
  <c r="BJ214" i="1"/>
  <c r="I215" i="1"/>
  <c r="K215" i="1"/>
  <c r="Z215" i="1"/>
  <c r="AB215" i="1"/>
  <c r="AC215" i="1"/>
  <c r="AF215" i="1"/>
  <c r="AG215" i="1"/>
  <c r="AH215" i="1"/>
  <c r="AJ215" i="1"/>
  <c r="AK215" i="1"/>
  <c r="AL215" i="1"/>
  <c r="AO215" i="1"/>
  <c r="AP215" i="1"/>
  <c r="AX215" i="1" s="1"/>
  <c r="AW215" i="1"/>
  <c r="AV215" i="1" s="1"/>
  <c r="BC215" i="1"/>
  <c r="BD215" i="1"/>
  <c r="BF215" i="1"/>
  <c r="BH215" i="1"/>
  <c r="AD215" i="1" s="1"/>
  <c r="BI215" i="1"/>
  <c r="AE215" i="1" s="1"/>
  <c r="BJ215" i="1"/>
  <c r="K216" i="1"/>
  <c r="AL216" i="1" s="1"/>
  <c r="Z216" i="1"/>
  <c r="AB216" i="1"/>
  <c r="AC216" i="1"/>
  <c r="AF216" i="1"/>
  <c r="AG216" i="1"/>
  <c r="AH216" i="1"/>
  <c r="AJ216" i="1"/>
  <c r="AK216" i="1"/>
  <c r="AO216" i="1"/>
  <c r="AW216" i="1" s="1"/>
  <c r="AP216" i="1"/>
  <c r="AX216" i="1"/>
  <c r="BD216" i="1"/>
  <c r="BF216" i="1"/>
  <c r="BH216" i="1"/>
  <c r="AD216" i="1" s="1"/>
  <c r="BJ216" i="1"/>
  <c r="J217" i="1"/>
  <c r="K217" i="1"/>
  <c r="Z217" i="1"/>
  <c r="AB217" i="1"/>
  <c r="AC217" i="1"/>
  <c r="AF217" i="1"/>
  <c r="AG217" i="1"/>
  <c r="AH217" i="1"/>
  <c r="AJ217" i="1"/>
  <c r="AK217" i="1"/>
  <c r="AL217" i="1"/>
  <c r="AO217" i="1"/>
  <c r="I217" i="1" s="1"/>
  <c r="AP217" i="1"/>
  <c r="AW217" i="1"/>
  <c r="AX217" i="1"/>
  <c r="BD217" i="1"/>
  <c r="BF217" i="1"/>
  <c r="BH217" i="1"/>
  <c r="AD217" i="1" s="1"/>
  <c r="BI217" i="1"/>
  <c r="AE217" i="1" s="1"/>
  <c r="BJ217" i="1"/>
  <c r="J218" i="1"/>
  <c r="K218" i="1"/>
  <c r="Z218" i="1"/>
  <c r="AB218" i="1"/>
  <c r="AC218" i="1"/>
  <c r="AF218" i="1"/>
  <c r="AG218" i="1"/>
  <c r="AH218" i="1"/>
  <c r="AJ218" i="1"/>
  <c r="AK218" i="1"/>
  <c r="AL218" i="1"/>
  <c r="AO218" i="1"/>
  <c r="AP218" i="1"/>
  <c r="AX218" i="1"/>
  <c r="BD218" i="1"/>
  <c r="BF218" i="1"/>
  <c r="BI218" i="1"/>
  <c r="AE218" i="1" s="1"/>
  <c r="BJ218" i="1"/>
  <c r="I219" i="1"/>
  <c r="K219" i="1"/>
  <c r="Z219" i="1"/>
  <c r="AB219" i="1"/>
  <c r="AC219" i="1"/>
  <c r="AF219" i="1"/>
  <c r="AG219" i="1"/>
  <c r="AH219" i="1"/>
  <c r="AJ219" i="1"/>
  <c r="AK219" i="1"/>
  <c r="AL219" i="1"/>
  <c r="AO219" i="1"/>
  <c r="AP219" i="1"/>
  <c r="AW219" i="1"/>
  <c r="BD219" i="1"/>
  <c r="BF219" i="1"/>
  <c r="BH219" i="1"/>
  <c r="AD219" i="1" s="1"/>
  <c r="BJ219" i="1"/>
  <c r="I220" i="1"/>
  <c r="K220" i="1"/>
  <c r="AL220" i="1" s="1"/>
  <c r="Z220" i="1"/>
  <c r="AB220" i="1"/>
  <c r="AC220" i="1"/>
  <c r="AF220" i="1"/>
  <c r="AG220" i="1"/>
  <c r="AH220" i="1"/>
  <c r="AJ220" i="1"/>
  <c r="AK220" i="1"/>
  <c r="AO220" i="1"/>
  <c r="AP220" i="1"/>
  <c r="J220" i="1" s="1"/>
  <c r="AX220" i="1"/>
  <c r="BD220" i="1"/>
  <c r="BF220" i="1"/>
  <c r="BI220" i="1"/>
  <c r="AE220" i="1" s="1"/>
  <c r="BJ220" i="1"/>
  <c r="K221" i="1"/>
  <c r="AL221" i="1" s="1"/>
  <c r="Z221" i="1"/>
  <c r="AB221" i="1"/>
  <c r="AC221" i="1"/>
  <c r="AF221" i="1"/>
  <c r="AG221" i="1"/>
  <c r="AH221" i="1"/>
  <c r="AJ221" i="1"/>
  <c r="AK221" i="1"/>
  <c r="AO221" i="1"/>
  <c r="AP221" i="1"/>
  <c r="AX221" i="1"/>
  <c r="BD221" i="1"/>
  <c r="BF221" i="1"/>
  <c r="BH221" i="1"/>
  <c r="AD221" i="1" s="1"/>
  <c r="BJ221" i="1"/>
  <c r="J222" i="1"/>
  <c r="K222" i="1"/>
  <c r="AL222" i="1" s="1"/>
  <c r="Z222" i="1"/>
  <c r="AB222" i="1"/>
  <c r="AC222" i="1"/>
  <c r="AF222" i="1"/>
  <c r="AG222" i="1"/>
  <c r="AH222" i="1"/>
  <c r="AJ222" i="1"/>
  <c r="AK222" i="1"/>
  <c r="AO222" i="1"/>
  <c r="AP222" i="1"/>
  <c r="AX222" i="1"/>
  <c r="BD222" i="1"/>
  <c r="BF222" i="1"/>
  <c r="BI222" i="1"/>
  <c r="AE222" i="1" s="1"/>
  <c r="BJ222" i="1"/>
  <c r="I223" i="1"/>
  <c r="K223" i="1"/>
  <c r="Z223" i="1"/>
  <c r="AB223" i="1"/>
  <c r="AC223" i="1"/>
  <c r="AF223" i="1"/>
  <c r="AG223" i="1"/>
  <c r="AH223" i="1"/>
  <c r="AJ223" i="1"/>
  <c r="AK223" i="1"/>
  <c r="AL223" i="1"/>
  <c r="AO223" i="1"/>
  <c r="AP223" i="1"/>
  <c r="AW223" i="1"/>
  <c r="BD223" i="1"/>
  <c r="BF223" i="1"/>
  <c r="BH223" i="1"/>
  <c r="AD223" i="1" s="1"/>
  <c r="BJ223" i="1"/>
  <c r="K224" i="1"/>
  <c r="AL224" i="1" s="1"/>
  <c r="Z224" i="1"/>
  <c r="AB224" i="1"/>
  <c r="AC224" i="1"/>
  <c r="AF224" i="1"/>
  <c r="AG224" i="1"/>
  <c r="AH224" i="1"/>
  <c r="AJ224" i="1"/>
  <c r="AK224" i="1"/>
  <c r="AO224" i="1"/>
  <c r="AW224" i="1" s="1"/>
  <c r="AP224" i="1"/>
  <c r="J224" i="1" s="1"/>
  <c r="AX224" i="1"/>
  <c r="BC224" i="1"/>
  <c r="BD224" i="1"/>
  <c r="BF224" i="1"/>
  <c r="BH224" i="1"/>
  <c r="AD224" i="1" s="1"/>
  <c r="BI224" i="1"/>
  <c r="AE224" i="1" s="1"/>
  <c r="BJ224" i="1"/>
  <c r="K225" i="1"/>
  <c r="AL225" i="1" s="1"/>
  <c r="Z225" i="1"/>
  <c r="AB225" i="1"/>
  <c r="AC225" i="1"/>
  <c r="AF225" i="1"/>
  <c r="AG225" i="1"/>
  <c r="AH225" i="1"/>
  <c r="AJ225" i="1"/>
  <c r="AK225" i="1"/>
  <c r="AO225" i="1"/>
  <c r="AP225" i="1"/>
  <c r="AW225" i="1"/>
  <c r="BD225" i="1"/>
  <c r="BF225" i="1"/>
  <c r="BI225" i="1"/>
  <c r="AE225" i="1" s="1"/>
  <c r="BJ225" i="1"/>
  <c r="I226" i="1"/>
  <c r="J226" i="1"/>
  <c r="K226" i="1"/>
  <c r="AL226" i="1" s="1"/>
  <c r="Z226" i="1"/>
  <c r="AB226" i="1"/>
  <c r="AC226" i="1"/>
  <c r="AD226" i="1"/>
  <c r="AF226" i="1"/>
  <c r="AG226" i="1"/>
  <c r="AH226" i="1"/>
  <c r="AJ226" i="1"/>
  <c r="AK226" i="1"/>
  <c r="AO226" i="1"/>
  <c r="AP226" i="1"/>
  <c r="AV226" i="1"/>
  <c r="AW226" i="1"/>
  <c r="BC226" i="1" s="1"/>
  <c r="AX226" i="1"/>
  <c r="BD226" i="1"/>
  <c r="BF226" i="1"/>
  <c r="BH226" i="1"/>
  <c r="BI226" i="1"/>
  <c r="AE226" i="1" s="1"/>
  <c r="BJ226" i="1"/>
  <c r="I227" i="1"/>
  <c r="J227" i="1"/>
  <c r="K227" i="1"/>
  <c r="Z227" i="1"/>
  <c r="AB227" i="1"/>
  <c r="AC227" i="1"/>
  <c r="AF227" i="1"/>
  <c r="AG227" i="1"/>
  <c r="AH227" i="1"/>
  <c r="AJ227" i="1"/>
  <c r="AK227" i="1"/>
  <c r="AL227" i="1"/>
  <c r="AO227" i="1"/>
  <c r="AP227" i="1"/>
  <c r="AX227" i="1" s="1"/>
  <c r="AW227" i="1"/>
  <c r="AV227" i="1" s="1"/>
  <c r="BC227" i="1"/>
  <c r="BD227" i="1"/>
  <c r="BF227" i="1"/>
  <c r="BH227" i="1"/>
  <c r="AD227" i="1" s="1"/>
  <c r="BI227" i="1"/>
  <c r="AE227" i="1" s="1"/>
  <c r="BJ227" i="1"/>
  <c r="K228" i="1"/>
  <c r="AL228" i="1" s="1"/>
  <c r="Z228" i="1"/>
  <c r="AB228" i="1"/>
  <c r="AC228" i="1"/>
  <c r="AE228" i="1"/>
  <c r="AF228" i="1"/>
  <c r="AG228" i="1"/>
  <c r="AH228" i="1"/>
  <c r="AJ228" i="1"/>
  <c r="AK228" i="1"/>
  <c r="AO228" i="1"/>
  <c r="AP228" i="1"/>
  <c r="BD228" i="1"/>
  <c r="BF228" i="1"/>
  <c r="BI228" i="1"/>
  <c r="BJ228" i="1"/>
  <c r="K229" i="1"/>
  <c r="Z229" i="1"/>
  <c r="AB229" i="1"/>
  <c r="AC229" i="1"/>
  <c r="AF229" i="1"/>
  <c r="AG229" i="1"/>
  <c r="AH229" i="1"/>
  <c r="AJ229" i="1"/>
  <c r="AK229" i="1"/>
  <c r="AL229" i="1"/>
  <c r="AO229" i="1"/>
  <c r="I229" i="1" s="1"/>
  <c r="AP229" i="1"/>
  <c r="AW229" i="1"/>
  <c r="BD229" i="1"/>
  <c r="BF229" i="1"/>
  <c r="BH229" i="1"/>
  <c r="AD229" i="1" s="1"/>
  <c r="BJ229" i="1"/>
  <c r="J230" i="1"/>
  <c r="K230" i="1"/>
  <c r="Z230" i="1"/>
  <c r="AB230" i="1"/>
  <c r="AC230" i="1"/>
  <c r="AF230" i="1"/>
  <c r="AG230" i="1"/>
  <c r="AH230" i="1"/>
  <c r="AJ230" i="1"/>
  <c r="AK230" i="1"/>
  <c r="AL230" i="1"/>
  <c r="AO230" i="1"/>
  <c r="AW230" i="1" s="1"/>
  <c r="BC230" i="1" s="1"/>
  <c r="AP230" i="1"/>
  <c r="AV230" i="1"/>
  <c r="AX230" i="1"/>
  <c r="BD230" i="1"/>
  <c r="BF230" i="1"/>
  <c r="BH230" i="1"/>
  <c r="AD230" i="1" s="1"/>
  <c r="BI230" i="1"/>
  <c r="AE230" i="1" s="1"/>
  <c r="BJ230" i="1"/>
  <c r="I231" i="1"/>
  <c r="K231" i="1"/>
  <c r="Z231" i="1"/>
  <c r="AB231" i="1"/>
  <c r="AC231" i="1"/>
  <c r="AF231" i="1"/>
  <c r="AG231" i="1"/>
  <c r="AH231" i="1"/>
  <c r="AJ231" i="1"/>
  <c r="AK231" i="1"/>
  <c r="AL231" i="1"/>
  <c r="AO231" i="1"/>
  <c r="AP231" i="1"/>
  <c r="AX231" i="1" s="1"/>
  <c r="AW231" i="1"/>
  <c r="AV231" i="1" s="1"/>
  <c r="BC231" i="1"/>
  <c r="BD231" i="1"/>
  <c r="BF231" i="1"/>
  <c r="BH231" i="1"/>
  <c r="AD231" i="1" s="1"/>
  <c r="BI231" i="1"/>
  <c r="AE231" i="1" s="1"/>
  <c r="BJ231" i="1"/>
  <c r="K232" i="1"/>
  <c r="AL232" i="1" s="1"/>
  <c r="Z232" i="1"/>
  <c r="AB232" i="1"/>
  <c r="AC232" i="1"/>
  <c r="AF232" i="1"/>
  <c r="AG232" i="1"/>
  <c r="AH232" i="1"/>
  <c r="AJ232" i="1"/>
  <c r="AK232" i="1"/>
  <c r="AO232" i="1"/>
  <c r="AW232" i="1" s="1"/>
  <c r="AP232" i="1"/>
  <c r="AX232" i="1"/>
  <c r="BC232" i="1" s="1"/>
  <c r="BD232" i="1"/>
  <c r="BF232" i="1"/>
  <c r="BH232" i="1"/>
  <c r="AD232" i="1" s="1"/>
  <c r="BJ232" i="1"/>
  <c r="J233" i="1"/>
  <c r="K233" i="1"/>
  <c r="Z233" i="1"/>
  <c r="AB233" i="1"/>
  <c r="AC233" i="1"/>
  <c r="AF233" i="1"/>
  <c r="AG233" i="1"/>
  <c r="AH233" i="1"/>
  <c r="AJ233" i="1"/>
  <c r="AK233" i="1"/>
  <c r="AL233" i="1"/>
  <c r="AO233" i="1"/>
  <c r="I233" i="1" s="1"/>
  <c r="AP233" i="1"/>
  <c r="AW233" i="1"/>
  <c r="AX233" i="1"/>
  <c r="BD233" i="1"/>
  <c r="BF233" i="1"/>
  <c r="BH233" i="1"/>
  <c r="AD233" i="1" s="1"/>
  <c r="BI233" i="1"/>
  <c r="AE233" i="1" s="1"/>
  <c r="BJ233" i="1"/>
  <c r="J234" i="1"/>
  <c r="K234" i="1"/>
  <c r="Z234" i="1"/>
  <c r="AB234" i="1"/>
  <c r="AC234" i="1"/>
  <c r="AF234" i="1"/>
  <c r="AG234" i="1"/>
  <c r="AH234" i="1"/>
  <c r="AJ234" i="1"/>
  <c r="AK234" i="1"/>
  <c r="AL234" i="1"/>
  <c r="AO234" i="1"/>
  <c r="AP234" i="1"/>
  <c r="AX234" i="1"/>
  <c r="BD234" i="1"/>
  <c r="BF234" i="1"/>
  <c r="BI234" i="1"/>
  <c r="AE234" i="1" s="1"/>
  <c r="BJ234" i="1"/>
  <c r="I235" i="1"/>
  <c r="K235" i="1"/>
  <c r="Z235" i="1"/>
  <c r="AB235" i="1"/>
  <c r="AC235" i="1"/>
  <c r="AF235" i="1"/>
  <c r="AG235" i="1"/>
  <c r="AH235" i="1"/>
  <c r="AJ235" i="1"/>
  <c r="AK235" i="1"/>
  <c r="AL235" i="1"/>
  <c r="AO235" i="1"/>
  <c r="AP235" i="1"/>
  <c r="AW235" i="1"/>
  <c r="BD235" i="1"/>
  <c r="BF235" i="1"/>
  <c r="BH235" i="1"/>
  <c r="AD235" i="1" s="1"/>
  <c r="BJ235" i="1"/>
  <c r="I236" i="1"/>
  <c r="K236" i="1"/>
  <c r="AL236" i="1" s="1"/>
  <c r="Z236" i="1"/>
  <c r="AB236" i="1"/>
  <c r="AC236" i="1"/>
  <c r="AF236" i="1"/>
  <c r="AG236" i="1"/>
  <c r="AH236" i="1"/>
  <c r="AJ236" i="1"/>
  <c r="AK236" i="1"/>
  <c r="AO236" i="1"/>
  <c r="AP236" i="1"/>
  <c r="BD236" i="1"/>
  <c r="BF236" i="1"/>
  <c r="BI236" i="1"/>
  <c r="AE236" i="1" s="1"/>
  <c r="BJ236" i="1"/>
  <c r="K237" i="1"/>
  <c r="Z237" i="1"/>
  <c r="AB237" i="1"/>
  <c r="AC237" i="1"/>
  <c r="AF237" i="1"/>
  <c r="AG237" i="1"/>
  <c r="AH237" i="1"/>
  <c r="AJ237" i="1"/>
  <c r="AK237" i="1"/>
  <c r="AL237" i="1"/>
  <c r="AO237" i="1"/>
  <c r="I237" i="1" s="1"/>
  <c r="AP237" i="1"/>
  <c r="AW237" i="1"/>
  <c r="BD237" i="1"/>
  <c r="BF237" i="1"/>
  <c r="BJ237" i="1"/>
  <c r="I238" i="1"/>
  <c r="J238" i="1"/>
  <c r="K238" i="1"/>
  <c r="Z238" i="1"/>
  <c r="AB238" i="1"/>
  <c r="AC238" i="1"/>
  <c r="AF238" i="1"/>
  <c r="AG238" i="1"/>
  <c r="AH238" i="1"/>
  <c r="AJ238" i="1"/>
  <c r="AK238" i="1"/>
  <c r="AL238" i="1"/>
  <c r="AO238" i="1"/>
  <c r="AP238" i="1"/>
  <c r="AW238" i="1"/>
  <c r="BC238" i="1" s="1"/>
  <c r="AX238" i="1"/>
  <c r="BD238" i="1"/>
  <c r="BF238" i="1"/>
  <c r="BH238" i="1"/>
  <c r="AD238" i="1" s="1"/>
  <c r="BI238" i="1"/>
  <c r="AE238" i="1" s="1"/>
  <c r="BJ238" i="1"/>
  <c r="I239" i="1"/>
  <c r="J239" i="1"/>
  <c r="K239" i="1"/>
  <c r="Z239" i="1"/>
  <c r="AB239" i="1"/>
  <c r="AC239" i="1"/>
  <c r="AF239" i="1"/>
  <c r="AG239" i="1"/>
  <c r="AH239" i="1"/>
  <c r="AJ239" i="1"/>
  <c r="AK239" i="1"/>
  <c r="AL239" i="1"/>
  <c r="AO239" i="1"/>
  <c r="AP239" i="1"/>
  <c r="AX239" i="1" s="1"/>
  <c r="AW239" i="1"/>
  <c r="AV239" i="1" s="1"/>
  <c r="BC239" i="1"/>
  <c r="BD239" i="1"/>
  <c r="BF239" i="1"/>
  <c r="BH239" i="1"/>
  <c r="AD239" i="1" s="1"/>
  <c r="BI239" i="1"/>
  <c r="AE239" i="1" s="1"/>
  <c r="BJ239" i="1"/>
  <c r="K241" i="1"/>
  <c r="AL241" i="1" s="1"/>
  <c r="Z241" i="1"/>
  <c r="AB241" i="1"/>
  <c r="AC241" i="1"/>
  <c r="AF241" i="1"/>
  <c r="AG241" i="1"/>
  <c r="AH241" i="1"/>
  <c r="AJ241" i="1"/>
  <c r="AK241" i="1"/>
  <c r="AO241" i="1"/>
  <c r="AP241" i="1"/>
  <c r="J241" i="1" s="1"/>
  <c r="BD241" i="1"/>
  <c r="BF241" i="1"/>
  <c r="BI241" i="1"/>
  <c r="AE241" i="1" s="1"/>
  <c r="BJ241" i="1"/>
  <c r="I242" i="1"/>
  <c r="K242" i="1"/>
  <c r="Z242" i="1"/>
  <c r="AB242" i="1"/>
  <c r="AC242" i="1"/>
  <c r="AF242" i="1"/>
  <c r="AG242" i="1"/>
  <c r="AH242" i="1"/>
  <c r="AJ242" i="1"/>
  <c r="AK242" i="1"/>
  <c r="AL242" i="1"/>
  <c r="AO242" i="1"/>
  <c r="AP242" i="1"/>
  <c r="AW242" i="1"/>
  <c r="BD242" i="1"/>
  <c r="BF242" i="1"/>
  <c r="BH242" i="1"/>
  <c r="AD242" i="1" s="1"/>
  <c r="BJ242" i="1"/>
  <c r="I243" i="1"/>
  <c r="K243" i="1"/>
  <c r="AL243" i="1" s="1"/>
  <c r="Z243" i="1"/>
  <c r="AB243" i="1"/>
  <c r="AC243" i="1"/>
  <c r="AF243" i="1"/>
  <c r="AG243" i="1"/>
  <c r="AH243" i="1"/>
  <c r="AJ243" i="1"/>
  <c r="AK243" i="1"/>
  <c r="AO243" i="1"/>
  <c r="AW243" i="1" s="1"/>
  <c r="AP243" i="1"/>
  <c r="J243" i="1" s="1"/>
  <c r="AX243" i="1"/>
  <c r="BD243" i="1"/>
  <c r="BF243" i="1"/>
  <c r="BH243" i="1"/>
  <c r="AD243" i="1" s="1"/>
  <c r="BI243" i="1"/>
  <c r="AE243" i="1" s="1"/>
  <c r="BJ243" i="1"/>
  <c r="K244" i="1"/>
  <c r="AL244" i="1" s="1"/>
  <c r="Z244" i="1"/>
  <c r="AB244" i="1"/>
  <c r="AC244" i="1"/>
  <c r="AE244" i="1"/>
  <c r="AF244" i="1"/>
  <c r="AG244" i="1"/>
  <c r="AH244" i="1"/>
  <c r="AJ244" i="1"/>
  <c r="AK244" i="1"/>
  <c r="AO244" i="1"/>
  <c r="AP244" i="1"/>
  <c r="BD244" i="1"/>
  <c r="BF244" i="1"/>
  <c r="BI244" i="1"/>
  <c r="BJ244" i="1"/>
  <c r="J245" i="1"/>
  <c r="K245" i="1"/>
  <c r="AL245" i="1" s="1"/>
  <c r="Z245" i="1"/>
  <c r="AB245" i="1"/>
  <c r="AC245" i="1"/>
  <c r="AF245" i="1"/>
  <c r="AG245" i="1"/>
  <c r="AH245" i="1"/>
  <c r="AJ245" i="1"/>
  <c r="AK245" i="1"/>
  <c r="AO245" i="1"/>
  <c r="I245" i="1" s="1"/>
  <c r="AP245" i="1"/>
  <c r="AX245" i="1"/>
  <c r="BD245" i="1"/>
  <c r="BF245" i="1"/>
  <c r="BI245" i="1"/>
  <c r="AE245" i="1" s="1"/>
  <c r="BJ245" i="1"/>
  <c r="I246" i="1"/>
  <c r="K246" i="1"/>
  <c r="Z246" i="1"/>
  <c r="AB246" i="1"/>
  <c r="AC246" i="1"/>
  <c r="AF246" i="1"/>
  <c r="AG246" i="1"/>
  <c r="AH246" i="1"/>
  <c r="AJ246" i="1"/>
  <c r="AK246" i="1"/>
  <c r="AL246" i="1"/>
  <c r="AO246" i="1"/>
  <c r="AP246" i="1"/>
  <c r="AX246" i="1" s="1"/>
  <c r="AW246" i="1"/>
  <c r="BC246" i="1" s="1"/>
  <c r="BD246" i="1"/>
  <c r="BF246" i="1"/>
  <c r="BH246" i="1"/>
  <c r="AD246" i="1" s="1"/>
  <c r="BI246" i="1"/>
  <c r="AE246" i="1" s="1"/>
  <c r="BJ246" i="1"/>
  <c r="I247" i="1"/>
  <c r="K247" i="1"/>
  <c r="AL247" i="1" s="1"/>
  <c r="Z247" i="1"/>
  <c r="AB247" i="1"/>
  <c r="AC247" i="1"/>
  <c r="AF247" i="1"/>
  <c r="AG247" i="1"/>
  <c r="AH247" i="1"/>
  <c r="AJ247" i="1"/>
  <c r="AK247" i="1"/>
  <c r="AO247" i="1"/>
  <c r="AP247" i="1"/>
  <c r="BD247" i="1"/>
  <c r="BF247" i="1"/>
  <c r="BJ247" i="1"/>
  <c r="K248" i="1"/>
  <c r="Z248" i="1"/>
  <c r="AB248" i="1"/>
  <c r="AC248" i="1"/>
  <c r="AF248" i="1"/>
  <c r="AG248" i="1"/>
  <c r="AH248" i="1"/>
  <c r="AJ248" i="1"/>
  <c r="AK248" i="1"/>
  <c r="AL248" i="1"/>
  <c r="AO248" i="1"/>
  <c r="I248" i="1" s="1"/>
  <c r="AP248" i="1"/>
  <c r="AW248" i="1"/>
  <c r="BD248" i="1"/>
  <c r="BF248" i="1"/>
  <c r="BJ248" i="1"/>
  <c r="I249" i="1"/>
  <c r="J249" i="1"/>
  <c r="K249" i="1"/>
  <c r="Z249" i="1"/>
  <c r="AB249" i="1"/>
  <c r="AC249" i="1"/>
  <c r="AF249" i="1"/>
  <c r="AG249" i="1"/>
  <c r="AH249" i="1"/>
  <c r="AJ249" i="1"/>
  <c r="AK249" i="1"/>
  <c r="AL249" i="1"/>
  <c r="AO249" i="1"/>
  <c r="AP249" i="1"/>
  <c r="AW249" i="1"/>
  <c r="BC249" i="1" s="1"/>
  <c r="AX249" i="1"/>
  <c r="BD249" i="1"/>
  <c r="BF249" i="1"/>
  <c r="BH249" i="1"/>
  <c r="AD249" i="1" s="1"/>
  <c r="BI249" i="1"/>
  <c r="AE249" i="1" s="1"/>
  <c r="BJ249" i="1"/>
  <c r="I250" i="1"/>
  <c r="J250" i="1"/>
  <c r="K250" i="1"/>
  <c r="Z250" i="1"/>
  <c r="AB250" i="1"/>
  <c r="AC250" i="1"/>
  <c r="AF250" i="1"/>
  <c r="AG250" i="1"/>
  <c r="AH250" i="1"/>
  <c r="AJ250" i="1"/>
  <c r="AK250" i="1"/>
  <c r="AL250" i="1"/>
  <c r="AO250" i="1"/>
  <c r="AP250" i="1"/>
  <c r="AX250" i="1" s="1"/>
  <c r="AW250" i="1"/>
  <c r="AV250" i="1" s="1"/>
  <c r="BC250" i="1"/>
  <c r="BD250" i="1"/>
  <c r="BF250" i="1"/>
  <c r="BH250" i="1"/>
  <c r="AD250" i="1" s="1"/>
  <c r="BI250" i="1"/>
  <c r="AE250" i="1" s="1"/>
  <c r="BJ250" i="1"/>
  <c r="K251" i="1"/>
  <c r="AL251" i="1" s="1"/>
  <c r="Z251" i="1"/>
  <c r="AB251" i="1"/>
  <c r="AC251" i="1"/>
  <c r="AF251" i="1"/>
  <c r="AG251" i="1"/>
  <c r="AH251" i="1"/>
  <c r="AJ251" i="1"/>
  <c r="AK251" i="1"/>
  <c r="AO251" i="1"/>
  <c r="AW251" i="1" s="1"/>
  <c r="AP251" i="1"/>
  <c r="BD251" i="1"/>
  <c r="BF251" i="1"/>
  <c r="BJ251" i="1"/>
  <c r="J252" i="1"/>
  <c r="K252" i="1"/>
  <c r="Z252" i="1"/>
  <c r="AB252" i="1"/>
  <c r="AC252" i="1"/>
  <c r="AF252" i="1"/>
  <c r="AG252" i="1"/>
  <c r="AH252" i="1"/>
  <c r="AJ252" i="1"/>
  <c r="AK252" i="1"/>
  <c r="AL252" i="1"/>
  <c r="AO252" i="1"/>
  <c r="I252" i="1" s="1"/>
  <c r="AP252" i="1"/>
  <c r="BI252" i="1" s="1"/>
  <c r="AE252" i="1" s="1"/>
  <c r="AW252" i="1"/>
  <c r="AX252" i="1"/>
  <c r="BD252" i="1"/>
  <c r="BF252" i="1"/>
  <c r="BH252" i="1"/>
  <c r="AD252" i="1" s="1"/>
  <c r="BJ252" i="1"/>
  <c r="J253" i="1"/>
  <c r="K253" i="1"/>
  <c r="Z253" i="1"/>
  <c r="AB253" i="1"/>
  <c r="AC253" i="1"/>
  <c r="AF253" i="1"/>
  <c r="AG253" i="1"/>
  <c r="AH253" i="1"/>
  <c r="AJ253" i="1"/>
  <c r="AK253" i="1"/>
  <c r="AL253" i="1"/>
  <c r="AO253" i="1"/>
  <c r="I253" i="1" s="1"/>
  <c r="AP253" i="1"/>
  <c r="AW253" i="1"/>
  <c r="AX253" i="1"/>
  <c r="BD253" i="1"/>
  <c r="BF253" i="1"/>
  <c r="BH253" i="1"/>
  <c r="AD253" i="1" s="1"/>
  <c r="BI253" i="1"/>
  <c r="AE253" i="1" s="1"/>
  <c r="BJ253" i="1"/>
  <c r="I254" i="1"/>
  <c r="J254" i="1"/>
  <c r="K254" i="1"/>
  <c r="Z254" i="1"/>
  <c r="AB254" i="1"/>
  <c r="AC254" i="1"/>
  <c r="AF254" i="1"/>
  <c r="AG254" i="1"/>
  <c r="AH254" i="1"/>
  <c r="AJ254" i="1"/>
  <c r="AK254" i="1"/>
  <c r="AL254" i="1"/>
  <c r="AO254" i="1"/>
  <c r="AP254" i="1"/>
  <c r="AX254" i="1" s="1"/>
  <c r="AW254" i="1"/>
  <c r="AV254" i="1" s="1"/>
  <c r="BC254" i="1"/>
  <c r="BD254" i="1"/>
  <c r="BF254" i="1"/>
  <c r="BH254" i="1"/>
  <c r="AD254" i="1" s="1"/>
  <c r="BI254" i="1"/>
  <c r="AE254" i="1" s="1"/>
  <c r="BJ254" i="1"/>
  <c r="K255" i="1"/>
  <c r="AL255" i="1" s="1"/>
  <c r="Z255" i="1"/>
  <c r="AB255" i="1"/>
  <c r="AC255" i="1"/>
  <c r="AF255" i="1"/>
  <c r="AG255" i="1"/>
  <c r="AH255" i="1"/>
  <c r="AJ255" i="1"/>
  <c r="AK255" i="1"/>
  <c r="AO255" i="1"/>
  <c r="AW255" i="1" s="1"/>
  <c r="AP255" i="1"/>
  <c r="J255" i="1" s="1"/>
  <c r="AX255" i="1"/>
  <c r="BC255" i="1" s="1"/>
  <c r="BD255" i="1"/>
  <c r="BF255" i="1"/>
  <c r="BH255" i="1"/>
  <c r="AD255" i="1" s="1"/>
  <c r="BJ255" i="1"/>
  <c r="J256" i="1"/>
  <c r="K256" i="1"/>
  <c r="Z256" i="1"/>
  <c r="AB256" i="1"/>
  <c r="AC256" i="1"/>
  <c r="AF256" i="1"/>
  <c r="AG256" i="1"/>
  <c r="AH256" i="1"/>
  <c r="AJ256" i="1"/>
  <c r="AK256" i="1"/>
  <c r="AO256" i="1"/>
  <c r="AP256" i="1"/>
  <c r="AX256" i="1"/>
  <c r="BD256" i="1"/>
  <c r="BF256" i="1"/>
  <c r="BI256" i="1"/>
  <c r="AE256" i="1" s="1"/>
  <c r="BJ256" i="1"/>
  <c r="J257" i="1"/>
  <c r="K257" i="1"/>
  <c r="AL257" i="1" s="1"/>
  <c r="Z257" i="1"/>
  <c r="AB257" i="1"/>
  <c r="AC257" i="1"/>
  <c r="AF257" i="1"/>
  <c r="AG257" i="1"/>
  <c r="AH257" i="1"/>
  <c r="AJ257" i="1"/>
  <c r="AK257" i="1"/>
  <c r="AO257" i="1"/>
  <c r="AP257" i="1"/>
  <c r="AX257" i="1"/>
  <c r="BD257" i="1"/>
  <c r="BF257" i="1"/>
  <c r="BI257" i="1"/>
  <c r="AE257" i="1" s="1"/>
  <c r="BJ257" i="1"/>
  <c r="I258" i="1"/>
  <c r="K258" i="1"/>
  <c r="Z258" i="1"/>
  <c r="AB258" i="1"/>
  <c r="AC258" i="1"/>
  <c r="AF258" i="1"/>
  <c r="AG258" i="1"/>
  <c r="AH258" i="1"/>
  <c r="AJ258" i="1"/>
  <c r="AK258" i="1"/>
  <c r="AL258" i="1"/>
  <c r="AO258" i="1"/>
  <c r="AP258" i="1"/>
  <c r="AW258" i="1"/>
  <c r="BD258" i="1"/>
  <c r="BF258" i="1"/>
  <c r="BH258" i="1"/>
  <c r="AD258" i="1" s="1"/>
  <c r="BJ258" i="1"/>
  <c r="K259" i="1"/>
  <c r="AL259" i="1" s="1"/>
  <c r="Z259" i="1"/>
  <c r="AB259" i="1"/>
  <c r="AC259" i="1"/>
  <c r="AF259" i="1"/>
  <c r="AG259" i="1"/>
  <c r="AH259" i="1"/>
  <c r="AJ259" i="1"/>
  <c r="AK259" i="1"/>
  <c r="AO259" i="1"/>
  <c r="AP259" i="1"/>
  <c r="J259" i="1" s="1"/>
  <c r="AX259" i="1"/>
  <c r="BD259" i="1"/>
  <c r="BF259" i="1"/>
  <c r="BI259" i="1"/>
  <c r="AE259" i="1" s="1"/>
  <c r="BJ259" i="1"/>
  <c r="K260" i="1"/>
  <c r="AL260" i="1" s="1"/>
  <c r="Z260" i="1"/>
  <c r="AB260" i="1"/>
  <c r="AC260" i="1"/>
  <c r="AE260" i="1"/>
  <c r="AF260" i="1"/>
  <c r="AG260" i="1"/>
  <c r="AH260" i="1"/>
  <c r="AJ260" i="1"/>
  <c r="AK260" i="1"/>
  <c r="AO260" i="1"/>
  <c r="AP260" i="1"/>
  <c r="BD260" i="1"/>
  <c r="BF260" i="1"/>
  <c r="BI260" i="1"/>
  <c r="BJ260" i="1"/>
  <c r="I261" i="1"/>
  <c r="J261" i="1"/>
  <c r="K261" i="1"/>
  <c r="AL261" i="1" s="1"/>
  <c r="Z261" i="1"/>
  <c r="AB261" i="1"/>
  <c r="AC261" i="1"/>
  <c r="AD261" i="1"/>
  <c r="AF261" i="1"/>
  <c r="AG261" i="1"/>
  <c r="AH261" i="1"/>
  <c r="AJ261" i="1"/>
  <c r="AK261" i="1"/>
  <c r="AO261" i="1"/>
  <c r="AP261" i="1"/>
  <c r="AV261" i="1"/>
  <c r="AW261" i="1"/>
  <c r="BC261" i="1" s="1"/>
  <c r="AX261" i="1"/>
  <c r="BD261" i="1"/>
  <c r="BF261" i="1"/>
  <c r="BH261" i="1"/>
  <c r="BI261" i="1"/>
  <c r="AE261" i="1" s="1"/>
  <c r="BJ261" i="1"/>
  <c r="I262" i="1"/>
  <c r="J262" i="1"/>
  <c r="K262" i="1"/>
  <c r="Z262" i="1"/>
  <c r="AB262" i="1"/>
  <c r="AC262" i="1"/>
  <c r="AF262" i="1"/>
  <c r="AG262" i="1"/>
  <c r="AH262" i="1"/>
  <c r="AJ262" i="1"/>
  <c r="AK262" i="1"/>
  <c r="AL262" i="1"/>
  <c r="AO262" i="1"/>
  <c r="AP262" i="1"/>
  <c r="AX262" i="1" s="1"/>
  <c r="AW262" i="1"/>
  <c r="BD262" i="1"/>
  <c r="BF262" i="1"/>
  <c r="BH262" i="1"/>
  <c r="AD262" i="1" s="1"/>
  <c r="BI262" i="1"/>
  <c r="AE262" i="1" s="1"/>
  <c r="BJ262" i="1"/>
  <c r="I263" i="1"/>
  <c r="K263" i="1"/>
  <c r="AL263" i="1" s="1"/>
  <c r="Z263" i="1"/>
  <c r="AB263" i="1"/>
  <c r="AC263" i="1"/>
  <c r="AF263" i="1"/>
  <c r="AG263" i="1"/>
  <c r="AH263" i="1"/>
  <c r="AJ263" i="1"/>
  <c r="AK263" i="1"/>
  <c r="AO263" i="1"/>
  <c r="AP263" i="1"/>
  <c r="BD263" i="1"/>
  <c r="BF263" i="1"/>
  <c r="BI263" i="1"/>
  <c r="AE263" i="1" s="1"/>
  <c r="BJ263" i="1"/>
  <c r="K264" i="1"/>
  <c r="Z264" i="1"/>
  <c r="AB264" i="1"/>
  <c r="AC264" i="1"/>
  <c r="AF264" i="1"/>
  <c r="AG264" i="1"/>
  <c r="AH264" i="1"/>
  <c r="AJ264" i="1"/>
  <c r="AK264" i="1"/>
  <c r="AL264" i="1"/>
  <c r="AO264" i="1"/>
  <c r="I264" i="1" s="1"/>
  <c r="AP264" i="1"/>
  <c r="AW264" i="1"/>
  <c r="BD264" i="1"/>
  <c r="BF264" i="1"/>
  <c r="BH264" i="1"/>
  <c r="AD264" i="1" s="1"/>
  <c r="BJ264" i="1"/>
  <c r="I265" i="1"/>
  <c r="J265" i="1"/>
  <c r="K265" i="1"/>
  <c r="Z265" i="1"/>
  <c r="AB265" i="1"/>
  <c r="AC265" i="1"/>
  <c r="AF265" i="1"/>
  <c r="AG265" i="1"/>
  <c r="AH265" i="1"/>
  <c r="AJ265" i="1"/>
  <c r="AK265" i="1"/>
  <c r="AL265" i="1"/>
  <c r="AO265" i="1"/>
  <c r="AP265" i="1"/>
  <c r="AV265" i="1"/>
  <c r="AW265" i="1"/>
  <c r="BC265" i="1" s="1"/>
  <c r="AX265" i="1"/>
  <c r="BD265" i="1"/>
  <c r="BF265" i="1"/>
  <c r="BH265" i="1"/>
  <c r="AD265" i="1" s="1"/>
  <c r="BI265" i="1"/>
  <c r="AE265" i="1" s="1"/>
  <c r="BJ265" i="1"/>
  <c r="I266" i="1"/>
  <c r="J266" i="1"/>
  <c r="K266" i="1"/>
  <c r="Z266" i="1"/>
  <c r="AB266" i="1"/>
  <c r="AC266" i="1"/>
  <c r="AF266" i="1"/>
  <c r="AG266" i="1"/>
  <c r="AH266" i="1"/>
  <c r="AJ266" i="1"/>
  <c r="AK266" i="1"/>
  <c r="AL266" i="1"/>
  <c r="AO266" i="1"/>
  <c r="AP266" i="1"/>
  <c r="AX266" i="1" s="1"/>
  <c r="AW266" i="1"/>
  <c r="AV266" i="1" s="1"/>
  <c r="BC266" i="1"/>
  <c r="BD266" i="1"/>
  <c r="BF266" i="1"/>
  <c r="BH266" i="1"/>
  <c r="AD266" i="1" s="1"/>
  <c r="BI266" i="1"/>
  <c r="AE266" i="1" s="1"/>
  <c r="BJ266" i="1"/>
  <c r="K267" i="1"/>
  <c r="AL267" i="1" s="1"/>
  <c r="Z267" i="1"/>
  <c r="AB267" i="1"/>
  <c r="AC267" i="1"/>
  <c r="AD267" i="1"/>
  <c r="AF267" i="1"/>
  <c r="AG267" i="1"/>
  <c r="AH267" i="1"/>
  <c r="AJ267" i="1"/>
  <c r="AK267" i="1"/>
  <c r="AO267" i="1"/>
  <c r="AW267" i="1" s="1"/>
  <c r="AP267" i="1"/>
  <c r="BD267" i="1"/>
  <c r="BF267" i="1"/>
  <c r="BH267" i="1"/>
  <c r="BJ267" i="1"/>
  <c r="J268" i="1"/>
  <c r="K268" i="1"/>
  <c r="Z268" i="1"/>
  <c r="AB268" i="1"/>
  <c r="AC268" i="1"/>
  <c r="AF268" i="1"/>
  <c r="AG268" i="1"/>
  <c r="AH268" i="1"/>
  <c r="AJ268" i="1"/>
  <c r="AK268" i="1"/>
  <c r="AL268" i="1"/>
  <c r="AO268" i="1"/>
  <c r="I268" i="1" s="1"/>
  <c r="AP268" i="1"/>
  <c r="AW268" i="1"/>
  <c r="AX268" i="1"/>
  <c r="BD268" i="1"/>
  <c r="BF268" i="1"/>
  <c r="BH268" i="1"/>
  <c r="AD268" i="1" s="1"/>
  <c r="BI268" i="1"/>
  <c r="AE268" i="1" s="1"/>
  <c r="BJ268" i="1"/>
  <c r="J269" i="1"/>
  <c r="K269" i="1"/>
  <c r="Z269" i="1"/>
  <c r="AB269" i="1"/>
  <c r="AC269" i="1"/>
  <c r="AF269" i="1"/>
  <c r="AG269" i="1"/>
  <c r="AH269" i="1"/>
  <c r="AJ269" i="1"/>
  <c r="AK269" i="1"/>
  <c r="AL269" i="1"/>
  <c r="AO269" i="1"/>
  <c r="AW269" i="1" s="1"/>
  <c r="AP269" i="1"/>
  <c r="AX269" i="1"/>
  <c r="BD269" i="1"/>
  <c r="BF269" i="1"/>
  <c r="BI269" i="1"/>
  <c r="AE269" i="1" s="1"/>
  <c r="BJ269" i="1"/>
  <c r="I270" i="1"/>
  <c r="K270" i="1"/>
  <c r="Z270" i="1"/>
  <c r="AB270" i="1"/>
  <c r="AC270" i="1"/>
  <c r="AF270" i="1"/>
  <c r="AG270" i="1"/>
  <c r="AH270" i="1"/>
  <c r="AJ270" i="1"/>
  <c r="AK270" i="1"/>
  <c r="AL270" i="1"/>
  <c r="AO270" i="1"/>
  <c r="AP270" i="1"/>
  <c r="AX270" i="1" s="1"/>
  <c r="AV270" i="1" s="1"/>
  <c r="AW270" i="1"/>
  <c r="BC270" i="1"/>
  <c r="BD270" i="1"/>
  <c r="BF270" i="1"/>
  <c r="BH270" i="1"/>
  <c r="AD270" i="1" s="1"/>
  <c r="BI270" i="1"/>
  <c r="AE270" i="1" s="1"/>
  <c r="BJ270" i="1"/>
  <c r="K271" i="1"/>
  <c r="AL271" i="1" s="1"/>
  <c r="Z271" i="1"/>
  <c r="AB271" i="1"/>
  <c r="AC271" i="1"/>
  <c r="AE271" i="1"/>
  <c r="AF271" i="1"/>
  <c r="AG271" i="1"/>
  <c r="AH271" i="1"/>
  <c r="AJ271" i="1"/>
  <c r="AK271" i="1"/>
  <c r="AO271" i="1"/>
  <c r="AW271" i="1" s="1"/>
  <c r="AP271" i="1"/>
  <c r="J271" i="1" s="1"/>
  <c r="AX271" i="1"/>
  <c r="BC271" i="1" s="1"/>
  <c r="BD271" i="1"/>
  <c r="BF271" i="1"/>
  <c r="BH271" i="1"/>
  <c r="AD271" i="1" s="1"/>
  <c r="BI271" i="1"/>
  <c r="BJ271" i="1"/>
  <c r="J272" i="1"/>
  <c r="K272" i="1"/>
  <c r="Z272" i="1"/>
  <c r="AB272" i="1"/>
  <c r="AC272" i="1"/>
  <c r="AF272" i="1"/>
  <c r="AG272" i="1"/>
  <c r="AH272" i="1"/>
  <c r="AJ272" i="1"/>
  <c r="AK272" i="1"/>
  <c r="AL272" i="1"/>
  <c r="AO272" i="1"/>
  <c r="AP272" i="1"/>
  <c r="AX272" i="1"/>
  <c r="BD272" i="1"/>
  <c r="BF272" i="1"/>
  <c r="BH272" i="1"/>
  <c r="AD272" i="1" s="1"/>
  <c r="BI272" i="1"/>
  <c r="AE272" i="1" s="1"/>
  <c r="BJ272" i="1"/>
  <c r="K273" i="1"/>
  <c r="AL273" i="1" s="1"/>
  <c r="Z273" i="1"/>
  <c r="AB273" i="1"/>
  <c r="AC273" i="1"/>
  <c r="AF273" i="1"/>
  <c r="AG273" i="1"/>
  <c r="AH273" i="1"/>
  <c r="AJ273" i="1"/>
  <c r="AK273" i="1"/>
  <c r="AO273" i="1"/>
  <c r="AP273" i="1"/>
  <c r="J273" i="1" s="1"/>
  <c r="AX273" i="1"/>
  <c r="BD273" i="1"/>
  <c r="BF273" i="1"/>
  <c r="BH273" i="1"/>
  <c r="AD273" i="1" s="1"/>
  <c r="BI273" i="1"/>
  <c r="AE273" i="1" s="1"/>
  <c r="BJ273" i="1"/>
  <c r="J274" i="1"/>
  <c r="K274" i="1"/>
  <c r="AL274" i="1" s="1"/>
  <c r="Z274" i="1"/>
  <c r="AB274" i="1"/>
  <c r="AC274" i="1"/>
  <c r="AF274" i="1"/>
  <c r="AG274" i="1"/>
  <c r="AH274" i="1"/>
  <c r="AJ274" i="1"/>
  <c r="AK274" i="1"/>
  <c r="AO274" i="1"/>
  <c r="I274" i="1" s="1"/>
  <c r="AP274" i="1"/>
  <c r="AW274" i="1"/>
  <c r="AX274" i="1"/>
  <c r="BD274" i="1"/>
  <c r="BF274" i="1"/>
  <c r="BH274" i="1"/>
  <c r="AD274" i="1" s="1"/>
  <c r="BI274" i="1"/>
  <c r="AE274" i="1" s="1"/>
  <c r="BJ274" i="1"/>
  <c r="I275" i="1"/>
  <c r="J275" i="1"/>
  <c r="K275" i="1"/>
  <c r="Z275" i="1"/>
  <c r="AB275" i="1"/>
  <c r="AC275" i="1"/>
  <c r="AF275" i="1"/>
  <c r="AG275" i="1"/>
  <c r="AH275" i="1"/>
  <c r="AJ275" i="1"/>
  <c r="AK275" i="1"/>
  <c r="AL275" i="1"/>
  <c r="AO275" i="1"/>
  <c r="AP275" i="1"/>
  <c r="AW275" i="1"/>
  <c r="BC275" i="1" s="1"/>
  <c r="AX275" i="1"/>
  <c r="BD275" i="1"/>
  <c r="BF275" i="1"/>
  <c r="BH275" i="1"/>
  <c r="AD275" i="1" s="1"/>
  <c r="BI275" i="1"/>
  <c r="AE275" i="1" s="1"/>
  <c r="BJ275" i="1"/>
  <c r="I276" i="1"/>
  <c r="K276" i="1"/>
  <c r="Z276" i="1"/>
  <c r="AB276" i="1"/>
  <c r="AC276" i="1"/>
  <c r="AF276" i="1"/>
  <c r="AG276" i="1"/>
  <c r="AH276" i="1"/>
  <c r="AJ276" i="1"/>
  <c r="AK276" i="1"/>
  <c r="AL276" i="1"/>
  <c r="AO276" i="1"/>
  <c r="AP276" i="1"/>
  <c r="AW276" i="1"/>
  <c r="BD276" i="1"/>
  <c r="BF276" i="1"/>
  <c r="BH276" i="1"/>
  <c r="AD276" i="1" s="1"/>
  <c r="BJ276" i="1"/>
  <c r="K277" i="1"/>
  <c r="AL277" i="1" s="1"/>
  <c r="Z277" i="1"/>
  <c r="AB277" i="1"/>
  <c r="AC277" i="1"/>
  <c r="AF277" i="1"/>
  <c r="AG277" i="1"/>
  <c r="AH277" i="1"/>
  <c r="AJ277" i="1"/>
  <c r="AK277" i="1"/>
  <c r="AO277" i="1"/>
  <c r="AP277" i="1"/>
  <c r="J277" i="1" s="1"/>
  <c r="AX277" i="1"/>
  <c r="BD277" i="1"/>
  <c r="BF277" i="1"/>
  <c r="BH277" i="1"/>
  <c r="AD277" i="1" s="1"/>
  <c r="BJ277" i="1"/>
  <c r="J278" i="1"/>
  <c r="K278" i="1"/>
  <c r="AL278" i="1" s="1"/>
  <c r="Z278" i="1"/>
  <c r="AB278" i="1"/>
  <c r="AC278" i="1"/>
  <c r="AF278" i="1"/>
  <c r="AG278" i="1"/>
  <c r="AH278" i="1"/>
  <c r="AJ278" i="1"/>
  <c r="AK278" i="1"/>
  <c r="AO278" i="1"/>
  <c r="I278" i="1" s="1"/>
  <c r="AP278" i="1"/>
  <c r="AX278" i="1"/>
  <c r="BD278" i="1"/>
  <c r="BF278" i="1"/>
  <c r="BI278" i="1"/>
  <c r="AE278" i="1" s="1"/>
  <c r="BJ278" i="1"/>
  <c r="I279" i="1"/>
  <c r="J279" i="1"/>
  <c r="K279" i="1"/>
  <c r="Z279" i="1"/>
  <c r="AB279" i="1"/>
  <c r="AC279" i="1"/>
  <c r="AF279" i="1"/>
  <c r="AG279" i="1"/>
  <c r="AH279" i="1"/>
  <c r="AJ279" i="1"/>
  <c r="AK279" i="1"/>
  <c r="AL279" i="1"/>
  <c r="AO279" i="1"/>
  <c r="AP279" i="1"/>
  <c r="AW279" i="1"/>
  <c r="BC279" i="1" s="1"/>
  <c r="AX279" i="1"/>
  <c r="BD279" i="1"/>
  <c r="BF279" i="1"/>
  <c r="BH279" i="1"/>
  <c r="AD279" i="1" s="1"/>
  <c r="BI279" i="1"/>
  <c r="AE279" i="1" s="1"/>
  <c r="BJ279" i="1"/>
  <c r="K281" i="1"/>
  <c r="AL281" i="1" s="1"/>
  <c r="AU280" i="1" s="1"/>
  <c r="Z281" i="1"/>
  <c r="AB281" i="1"/>
  <c r="AC281" i="1"/>
  <c r="AF281" i="1"/>
  <c r="AG281" i="1"/>
  <c r="AH281" i="1"/>
  <c r="AJ281" i="1"/>
  <c r="AK281" i="1"/>
  <c r="AO281" i="1"/>
  <c r="I281" i="1" s="1"/>
  <c r="AP281" i="1"/>
  <c r="J281" i="1" s="1"/>
  <c r="BD281" i="1"/>
  <c r="BF281" i="1"/>
  <c r="BI281" i="1"/>
  <c r="AE281" i="1" s="1"/>
  <c r="BJ281" i="1"/>
  <c r="I283" i="1"/>
  <c r="J283" i="1"/>
  <c r="K283" i="1"/>
  <c r="Z283" i="1"/>
  <c r="AB283" i="1"/>
  <c r="AC283" i="1"/>
  <c r="AF283" i="1"/>
  <c r="AG283" i="1"/>
  <c r="AH283" i="1"/>
  <c r="AJ283" i="1"/>
  <c r="AK283" i="1"/>
  <c r="AL283" i="1"/>
  <c r="AO283" i="1"/>
  <c r="AP283" i="1"/>
  <c r="AV283" i="1"/>
  <c r="AW283" i="1"/>
  <c r="BC283" i="1" s="1"/>
  <c r="AX283" i="1"/>
  <c r="BD283" i="1"/>
  <c r="BF283" i="1"/>
  <c r="BH283" i="1"/>
  <c r="AD283" i="1" s="1"/>
  <c r="BI283" i="1"/>
  <c r="AE283" i="1" s="1"/>
  <c r="BJ283" i="1"/>
  <c r="I285" i="1"/>
  <c r="K285" i="1"/>
  <c r="Z285" i="1"/>
  <c r="AB285" i="1"/>
  <c r="AC285" i="1"/>
  <c r="AF285" i="1"/>
  <c r="AG285" i="1"/>
  <c r="AH285" i="1"/>
  <c r="AJ285" i="1"/>
  <c r="AK285" i="1"/>
  <c r="AL285" i="1"/>
  <c r="AO285" i="1"/>
  <c r="AP285" i="1"/>
  <c r="AW285" i="1"/>
  <c r="BD285" i="1"/>
  <c r="BF285" i="1"/>
  <c r="BH285" i="1"/>
  <c r="AD285" i="1" s="1"/>
  <c r="BI285" i="1"/>
  <c r="AE285" i="1" s="1"/>
  <c r="BJ285" i="1"/>
  <c r="K287" i="1"/>
  <c r="AL287" i="1" s="1"/>
  <c r="Z287" i="1"/>
  <c r="AB287" i="1"/>
  <c r="AC287" i="1"/>
  <c r="AF287" i="1"/>
  <c r="AG287" i="1"/>
  <c r="AH287" i="1"/>
  <c r="AJ287" i="1"/>
  <c r="AS280" i="1" s="1"/>
  <c r="AK287" i="1"/>
  <c r="AO287" i="1"/>
  <c r="AP287" i="1"/>
  <c r="J287" i="1" s="1"/>
  <c r="AX287" i="1"/>
  <c r="BD287" i="1"/>
  <c r="BF287" i="1"/>
  <c r="BH287" i="1"/>
  <c r="AD287" i="1" s="1"/>
  <c r="BI287" i="1"/>
  <c r="AE287" i="1" s="1"/>
  <c r="BJ287" i="1"/>
  <c r="J289" i="1"/>
  <c r="K289" i="1"/>
  <c r="AL289" i="1" s="1"/>
  <c r="Z289" i="1"/>
  <c r="AB289" i="1"/>
  <c r="AC289" i="1"/>
  <c r="AF289" i="1"/>
  <c r="AG289" i="1"/>
  <c r="AH289" i="1"/>
  <c r="AJ289" i="1"/>
  <c r="AK289" i="1"/>
  <c r="AO289" i="1"/>
  <c r="I289" i="1" s="1"/>
  <c r="AP289" i="1"/>
  <c r="AW289" i="1"/>
  <c r="AX289" i="1"/>
  <c r="BD289" i="1"/>
  <c r="BF289" i="1"/>
  <c r="BH289" i="1"/>
  <c r="AD289" i="1" s="1"/>
  <c r="BI289" i="1"/>
  <c r="AE289" i="1" s="1"/>
  <c r="BJ289" i="1"/>
  <c r="I291" i="1"/>
  <c r="J291" i="1"/>
  <c r="K291" i="1"/>
  <c r="AB291" i="1"/>
  <c r="AC291" i="1"/>
  <c r="AD291" i="1"/>
  <c r="AE291" i="1"/>
  <c r="AF291" i="1"/>
  <c r="AG291" i="1"/>
  <c r="AH291" i="1"/>
  <c r="AJ291" i="1"/>
  <c r="AK291" i="1"/>
  <c r="AL291" i="1"/>
  <c r="AO291" i="1"/>
  <c r="AP291" i="1"/>
  <c r="AW291" i="1"/>
  <c r="BC291" i="1" s="1"/>
  <c r="AX291" i="1"/>
  <c r="BD291" i="1"/>
  <c r="BF291" i="1"/>
  <c r="BH291" i="1"/>
  <c r="BI291" i="1"/>
  <c r="BJ291" i="1"/>
  <c r="Z291" i="1" s="1"/>
  <c r="K293" i="1"/>
  <c r="AL293" i="1" s="1"/>
  <c r="Z293" i="1"/>
  <c r="AB293" i="1"/>
  <c r="AC293" i="1"/>
  <c r="AF293" i="1"/>
  <c r="AG293" i="1"/>
  <c r="AH293" i="1"/>
  <c r="AJ293" i="1"/>
  <c r="AK293" i="1"/>
  <c r="AO293" i="1"/>
  <c r="I293" i="1" s="1"/>
  <c r="AP293" i="1"/>
  <c r="J293" i="1" s="1"/>
  <c r="AW293" i="1"/>
  <c r="BD293" i="1"/>
  <c r="BF293" i="1"/>
  <c r="BH293" i="1"/>
  <c r="AD293" i="1" s="1"/>
  <c r="BJ293" i="1"/>
  <c r="I295" i="1"/>
  <c r="J295" i="1"/>
  <c r="K295" i="1"/>
  <c r="Z295" i="1"/>
  <c r="AB295" i="1"/>
  <c r="AC295" i="1"/>
  <c r="AF295" i="1"/>
  <c r="AG295" i="1"/>
  <c r="AH295" i="1"/>
  <c r="AJ295" i="1"/>
  <c r="AK295" i="1"/>
  <c r="AL295" i="1"/>
  <c r="AO295" i="1"/>
  <c r="AP295" i="1"/>
  <c r="AV295" i="1"/>
  <c r="AW295" i="1"/>
  <c r="BC295" i="1" s="1"/>
  <c r="AX295" i="1"/>
  <c r="BD295" i="1"/>
  <c r="BF295" i="1"/>
  <c r="BH295" i="1"/>
  <c r="AD295" i="1" s="1"/>
  <c r="BI295" i="1"/>
  <c r="AE295" i="1" s="1"/>
  <c r="BJ295" i="1"/>
  <c r="I297" i="1"/>
  <c r="K297" i="1"/>
  <c r="Z297" i="1"/>
  <c r="AB297" i="1"/>
  <c r="AC297" i="1"/>
  <c r="AF297" i="1"/>
  <c r="AG297" i="1"/>
  <c r="AH297" i="1"/>
  <c r="AJ297" i="1"/>
  <c r="AK297" i="1"/>
  <c r="AL297" i="1"/>
  <c r="AO297" i="1"/>
  <c r="AP297" i="1"/>
  <c r="AW297" i="1"/>
  <c r="BD297" i="1"/>
  <c r="BF297" i="1"/>
  <c r="BH297" i="1"/>
  <c r="AD297" i="1" s="1"/>
  <c r="BI297" i="1"/>
  <c r="AE297" i="1" s="1"/>
  <c r="BJ297" i="1"/>
  <c r="K299" i="1"/>
  <c r="AL299" i="1" s="1"/>
  <c r="Z299" i="1"/>
  <c r="AB299" i="1"/>
  <c r="AC299" i="1"/>
  <c r="AF299" i="1"/>
  <c r="AG299" i="1"/>
  <c r="AH299" i="1"/>
  <c r="AJ299" i="1"/>
  <c r="AK299" i="1"/>
  <c r="AO299" i="1"/>
  <c r="AP299" i="1"/>
  <c r="J299" i="1" s="1"/>
  <c r="AX299" i="1"/>
  <c r="BD299" i="1"/>
  <c r="BF299" i="1"/>
  <c r="BH299" i="1"/>
  <c r="AD299" i="1" s="1"/>
  <c r="BI299" i="1"/>
  <c r="AE299" i="1" s="1"/>
  <c r="BJ299" i="1"/>
  <c r="J301" i="1"/>
  <c r="K301" i="1"/>
  <c r="AL301" i="1" s="1"/>
  <c r="Z301" i="1"/>
  <c r="AB301" i="1"/>
  <c r="AC301" i="1"/>
  <c r="AF301" i="1"/>
  <c r="AG301" i="1"/>
  <c r="AH301" i="1"/>
  <c r="AJ301" i="1"/>
  <c r="AK301" i="1"/>
  <c r="AO301" i="1"/>
  <c r="I301" i="1" s="1"/>
  <c r="AP301" i="1"/>
  <c r="AW301" i="1"/>
  <c r="AX301" i="1"/>
  <c r="BD301" i="1"/>
  <c r="BF301" i="1"/>
  <c r="BH301" i="1"/>
  <c r="AD301" i="1" s="1"/>
  <c r="BI301" i="1"/>
  <c r="AE301" i="1" s="1"/>
  <c r="BJ301" i="1"/>
  <c r="I303" i="1"/>
  <c r="J303" i="1"/>
  <c r="K303" i="1"/>
  <c r="Z303" i="1"/>
  <c r="AB303" i="1"/>
  <c r="AC303" i="1"/>
  <c r="AF303" i="1"/>
  <c r="AG303" i="1"/>
  <c r="AH303" i="1"/>
  <c r="AJ303" i="1"/>
  <c r="AK303" i="1"/>
  <c r="AL303" i="1"/>
  <c r="AO303" i="1"/>
  <c r="AP303" i="1"/>
  <c r="AW303" i="1"/>
  <c r="BC303" i="1" s="1"/>
  <c r="AX303" i="1"/>
  <c r="BD303" i="1"/>
  <c r="BF303" i="1"/>
  <c r="BH303" i="1"/>
  <c r="AD303" i="1" s="1"/>
  <c r="BI303" i="1"/>
  <c r="AE303" i="1" s="1"/>
  <c r="BJ303" i="1"/>
  <c r="I305" i="1"/>
  <c r="K305" i="1"/>
  <c r="Z305" i="1"/>
  <c r="AB305" i="1"/>
  <c r="AC305" i="1"/>
  <c r="AF305" i="1"/>
  <c r="AG305" i="1"/>
  <c r="AH305" i="1"/>
  <c r="AJ305" i="1"/>
  <c r="AK305" i="1"/>
  <c r="AL305" i="1"/>
  <c r="AO305" i="1"/>
  <c r="AP305" i="1"/>
  <c r="AW305" i="1"/>
  <c r="BD305" i="1"/>
  <c r="BF305" i="1"/>
  <c r="BH305" i="1"/>
  <c r="AD305" i="1" s="1"/>
  <c r="BJ305" i="1"/>
  <c r="K307" i="1"/>
  <c r="AL307" i="1" s="1"/>
  <c r="Z307" i="1"/>
  <c r="AB307" i="1"/>
  <c r="AC307" i="1"/>
  <c r="AF307" i="1"/>
  <c r="AG307" i="1"/>
  <c r="AH307" i="1"/>
  <c r="AJ307" i="1"/>
  <c r="AK307" i="1"/>
  <c r="AO307" i="1"/>
  <c r="AP307" i="1"/>
  <c r="J307" i="1" s="1"/>
  <c r="AX307" i="1"/>
  <c r="BD307" i="1"/>
  <c r="BF307" i="1"/>
  <c r="BH307" i="1"/>
  <c r="AD307" i="1" s="1"/>
  <c r="BJ307" i="1"/>
  <c r="J309" i="1"/>
  <c r="K309" i="1"/>
  <c r="AL309" i="1" s="1"/>
  <c r="Z309" i="1"/>
  <c r="AB309" i="1"/>
  <c r="AC309" i="1"/>
  <c r="AF309" i="1"/>
  <c r="AG309" i="1"/>
  <c r="AH309" i="1"/>
  <c r="AJ309" i="1"/>
  <c r="AK309" i="1"/>
  <c r="AO309" i="1"/>
  <c r="I309" i="1" s="1"/>
  <c r="AP309" i="1"/>
  <c r="AX309" i="1"/>
  <c r="BD309" i="1"/>
  <c r="BF309" i="1"/>
  <c r="BI309" i="1"/>
  <c r="AE309" i="1" s="1"/>
  <c r="BJ309" i="1"/>
  <c r="I311" i="1"/>
  <c r="J311" i="1"/>
  <c r="K311" i="1"/>
  <c r="AB311" i="1"/>
  <c r="AC311" i="1"/>
  <c r="AD311" i="1"/>
  <c r="AE311" i="1"/>
  <c r="AF311" i="1"/>
  <c r="AG311" i="1"/>
  <c r="AH311" i="1"/>
  <c r="AJ311" i="1"/>
  <c r="AK311" i="1"/>
  <c r="AL311" i="1"/>
  <c r="AO311" i="1"/>
  <c r="AP311" i="1"/>
  <c r="AW311" i="1"/>
  <c r="AX311" i="1"/>
  <c r="BD311" i="1"/>
  <c r="BF311" i="1"/>
  <c r="BH311" i="1"/>
  <c r="BI311" i="1"/>
  <c r="BJ311" i="1"/>
  <c r="Z311" i="1" s="1"/>
  <c r="J313" i="1"/>
  <c r="K313" i="1"/>
  <c r="Z313" i="1"/>
  <c r="AB313" i="1"/>
  <c r="AC313" i="1"/>
  <c r="AF313" i="1"/>
  <c r="AG313" i="1"/>
  <c r="AH313" i="1"/>
  <c r="AJ313" i="1"/>
  <c r="AK313" i="1"/>
  <c r="AO313" i="1"/>
  <c r="I313" i="1" s="1"/>
  <c r="AP313" i="1"/>
  <c r="AX313" i="1" s="1"/>
  <c r="AW313" i="1"/>
  <c r="BD313" i="1"/>
  <c r="BF313" i="1"/>
  <c r="BH313" i="1"/>
  <c r="AD313" i="1" s="1"/>
  <c r="BJ313" i="1"/>
  <c r="I314" i="1"/>
  <c r="J314" i="1"/>
  <c r="K314" i="1"/>
  <c r="Z314" i="1"/>
  <c r="AB314" i="1"/>
  <c r="AC314" i="1"/>
  <c r="AF314" i="1"/>
  <c r="AG314" i="1"/>
  <c r="AH314" i="1"/>
  <c r="AJ314" i="1"/>
  <c r="AK314" i="1"/>
  <c r="AL314" i="1"/>
  <c r="AO314" i="1"/>
  <c r="AP314" i="1"/>
  <c r="AW314" i="1"/>
  <c r="BC314" i="1" s="1"/>
  <c r="AX314" i="1"/>
  <c r="BD314" i="1"/>
  <c r="BF314" i="1"/>
  <c r="BH314" i="1"/>
  <c r="AD314" i="1" s="1"/>
  <c r="BI314" i="1"/>
  <c r="AE314" i="1" s="1"/>
  <c r="BJ314" i="1"/>
  <c r="I315" i="1"/>
  <c r="K315" i="1"/>
  <c r="Z315" i="1"/>
  <c r="AB315" i="1"/>
  <c r="AC315" i="1"/>
  <c r="AF315" i="1"/>
  <c r="AG315" i="1"/>
  <c r="AH315" i="1"/>
  <c r="AJ315" i="1"/>
  <c r="AK315" i="1"/>
  <c r="AL315" i="1"/>
  <c r="AO315" i="1"/>
  <c r="AP315" i="1"/>
  <c r="AW315" i="1"/>
  <c r="BD315" i="1"/>
  <c r="BF315" i="1"/>
  <c r="BH315" i="1"/>
  <c r="AD315" i="1" s="1"/>
  <c r="BJ315" i="1"/>
  <c r="K316" i="1"/>
  <c r="AL316" i="1" s="1"/>
  <c r="Z316" i="1"/>
  <c r="AB316" i="1"/>
  <c r="AC316" i="1"/>
  <c r="AF316" i="1"/>
  <c r="AG316" i="1"/>
  <c r="AH316" i="1"/>
  <c r="AJ316" i="1"/>
  <c r="AK316" i="1"/>
  <c r="AO316" i="1"/>
  <c r="AP316" i="1"/>
  <c r="J316" i="1" s="1"/>
  <c r="AX316" i="1"/>
  <c r="BD316" i="1"/>
  <c r="BF316" i="1"/>
  <c r="BH316" i="1"/>
  <c r="AD316" i="1" s="1"/>
  <c r="BJ316" i="1"/>
  <c r="J317" i="1"/>
  <c r="K317" i="1"/>
  <c r="AL317" i="1" s="1"/>
  <c r="Z317" i="1"/>
  <c r="AB317" i="1"/>
  <c r="AC317" i="1"/>
  <c r="AF317" i="1"/>
  <c r="AG317" i="1"/>
  <c r="AH317" i="1"/>
  <c r="AJ317" i="1"/>
  <c r="AK317" i="1"/>
  <c r="AO317" i="1"/>
  <c r="I317" i="1" s="1"/>
  <c r="AP317" i="1"/>
  <c r="AX317" i="1"/>
  <c r="BD317" i="1"/>
  <c r="BF317" i="1"/>
  <c r="BI317" i="1"/>
  <c r="AE317" i="1" s="1"/>
  <c r="BJ317" i="1"/>
  <c r="I318" i="1"/>
  <c r="J318" i="1"/>
  <c r="K318" i="1"/>
  <c r="Z318" i="1"/>
  <c r="AB318" i="1"/>
  <c r="AC318" i="1"/>
  <c r="AF318" i="1"/>
  <c r="AG318" i="1"/>
  <c r="AH318" i="1"/>
  <c r="AJ318" i="1"/>
  <c r="AK318" i="1"/>
  <c r="AL318" i="1"/>
  <c r="AO318" i="1"/>
  <c r="AP318" i="1"/>
  <c r="AW318" i="1"/>
  <c r="BC318" i="1" s="1"/>
  <c r="AX318" i="1"/>
  <c r="BD318" i="1"/>
  <c r="BF318" i="1"/>
  <c r="BH318" i="1"/>
  <c r="AD318" i="1" s="1"/>
  <c r="BI318" i="1"/>
  <c r="AE318" i="1" s="1"/>
  <c r="BJ318" i="1"/>
  <c r="I319" i="1"/>
  <c r="K319" i="1"/>
  <c r="Z319" i="1"/>
  <c r="AB319" i="1"/>
  <c r="AC319" i="1"/>
  <c r="AF319" i="1"/>
  <c r="AG319" i="1"/>
  <c r="AH319" i="1"/>
  <c r="AJ319" i="1"/>
  <c r="AK319" i="1"/>
  <c r="AL319" i="1"/>
  <c r="AO319" i="1"/>
  <c r="AP319" i="1"/>
  <c r="AW319" i="1"/>
  <c r="BD319" i="1"/>
  <c r="BF319" i="1"/>
  <c r="BH319" i="1"/>
  <c r="AD319" i="1" s="1"/>
  <c r="BJ319" i="1"/>
  <c r="K320" i="1"/>
  <c r="AL320" i="1" s="1"/>
  <c r="Z320" i="1"/>
  <c r="AB320" i="1"/>
  <c r="AC320" i="1"/>
  <c r="AF320" i="1"/>
  <c r="AG320" i="1"/>
  <c r="AH320" i="1"/>
  <c r="AJ320" i="1"/>
  <c r="AK320" i="1"/>
  <c r="AO320" i="1"/>
  <c r="AP320" i="1"/>
  <c r="BD320" i="1"/>
  <c r="BF320" i="1"/>
  <c r="BJ320" i="1"/>
  <c r="J321" i="1"/>
  <c r="K321" i="1"/>
  <c r="Z321" i="1"/>
  <c r="AB321" i="1"/>
  <c r="AC321" i="1"/>
  <c r="AD321" i="1"/>
  <c r="AE321" i="1"/>
  <c r="AF321" i="1"/>
  <c r="AG321" i="1"/>
  <c r="AH321" i="1"/>
  <c r="AJ321" i="1"/>
  <c r="AK321" i="1"/>
  <c r="AL321" i="1"/>
  <c r="AO321" i="1"/>
  <c r="I321" i="1" s="1"/>
  <c r="AP321" i="1"/>
  <c r="AW321" i="1"/>
  <c r="AX321" i="1"/>
  <c r="BD321" i="1"/>
  <c r="BF321" i="1"/>
  <c r="BH321" i="1"/>
  <c r="BI321" i="1"/>
  <c r="BJ321" i="1"/>
  <c r="K323" i="1"/>
  <c r="Z323" i="1"/>
  <c r="AB323" i="1"/>
  <c r="AC323" i="1"/>
  <c r="AF323" i="1"/>
  <c r="AG323" i="1"/>
  <c r="AH323" i="1"/>
  <c r="AJ323" i="1"/>
  <c r="AK323" i="1"/>
  <c r="AO323" i="1"/>
  <c r="AP323" i="1"/>
  <c r="J323" i="1" s="1"/>
  <c r="BD323" i="1"/>
  <c r="BF323" i="1"/>
  <c r="BH323" i="1"/>
  <c r="AD323" i="1" s="1"/>
  <c r="BI323" i="1"/>
  <c r="AE323" i="1" s="1"/>
  <c r="BJ323" i="1"/>
  <c r="J324" i="1"/>
  <c r="K324" i="1"/>
  <c r="AL324" i="1" s="1"/>
  <c r="Z324" i="1"/>
  <c r="AB324" i="1"/>
  <c r="AC324" i="1"/>
  <c r="AF324" i="1"/>
  <c r="AG324" i="1"/>
  <c r="AH324" i="1"/>
  <c r="AJ324" i="1"/>
  <c r="AK324" i="1"/>
  <c r="AO324" i="1"/>
  <c r="I324" i="1" s="1"/>
  <c r="AP324" i="1"/>
  <c r="AW324" i="1"/>
  <c r="AX324" i="1"/>
  <c r="BD324" i="1"/>
  <c r="BF324" i="1"/>
  <c r="BH324" i="1"/>
  <c r="AD324" i="1" s="1"/>
  <c r="BI324" i="1"/>
  <c r="AE324" i="1" s="1"/>
  <c r="BJ324" i="1"/>
  <c r="I325" i="1"/>
  <c r="J325" i="1"/>
  <c r="K325" i="1"/>
  <c r="Z325" i="1"/>
  <c r="AB325" i="1"/>
  <c r="AC325" i="1"/>
  <c r="AF325" i="1"/>
  <c r="AG325" i="1"/>
  <c r="AH325" i="1"/>
  <c r="AJ325" i="1"/>
  <c r="AK325" i="1"/>
  <c r="AL325" i="1"/>
  <c r="AO325" i="1"/>
  <c r="AP325" i="1"/>
  <c r="AW325" i="1"/>
  <c r="BC325" i="1" s="1"/>
  <c r="AX325" i="1"/>
  <c r="BD325" i="1"/>
  <c r="BF325" i="1"/>
  <c r="BH325" i="1"/>
  <c r="AD325" i="1" s="1"/>
  <c r="BI325" i="1"/>
  <c r="AE325" i="1" s="1"/>
  <c r="BJ325" i="1"/>
  <c r="I326" i="1"/>
  <c r="K326" i="1"/>
  <c r="Z326" i="1"/>
  <c r="AB326" i="1"/>
  <c r="AC326" i="1"/>
  <c r="AF326" i="1"/>
  <c r="AG326" i="1"/>
  <c r="AH326" i="1"/>
  <c r="AJ326" i="1"/>
  <c r="AK326" i="1"/>
  <c r="AL326" i="1"/>
  <c r="AO326" i="1"/>
  <c r="AP326" i="1"/>
  <c r="AW326" i="1"/>
  <c r="BD326" i="1"/>
  <c r="BF326" i="1"/>
  <c r="BH326" i="1"/>
  <c r="AD326" i="1" s="1"/>
  <c r="BJ326" i="1"/>
  <c r="K327" i="1"/>
  <c r="AL327" i="1" s="1"/>
  <c r="Z327" i="1"/>
  <c r="AB327" i="1"/>
  <c r="AC327" i="1"/>
  <c r="AF327" i="1"/>
  <c r="AG327" i="1"/>
  <c r="AH327" i="1"/>
  <c r="AJ327" i="1"/>
  <c r="AK327" i="1"/>
  <c r="AO327" i="1"/>
  <c r="AP327" i="1"/>
  <c r="J327" i="1" s="1"/>
  <c r="AX327" i="1"/>
  <c r="BD327" i="1"/>
  <c r="BF327" i="1"/>
  <c r="BH327" i="1"/>
  <c r="AD327" i="1" s="1"/>
  <c r="BJ327" i="1"/>
  <c r="J328" i="1"/>
  <c r="K328" i="1"/>
  <c r="AL328" i="1" s="1"/>
  <c r="Z328" i="1"/>
  <c r="AB328" i="1"/>
  <c r="AC328" i="1"/>
  <c r="AF328" i="1"/>
  <c r="AG328" i="1"/>
  <c r="AH328" i="1"/>
  <c r="AJ328" i="1"/>
  <c r="AK328" i="1"/>
  <c r="AO328" i="1"/>
  <c r="I328" i="1" s="1"/>
  <c r="AP328" i="1"/>
  <c r="AX328" i="1"/>
  <c r="BD328" i="1"/>
  <c r="BF328" i="1"/>
  <c r="BI328" i="1"/>
  <c r="AE328" i="1" s="1"/>
  <c r="BJ328" i="1"/>
  <c r="I329" i="1"/>
  <c r="J329" i="1"/>
  <c r="K329" i="1"/>
  <c r="Z329" i="1"/>
  <c r="AB329" i="1"/>
  <c r="AC329" i="1"/>
  <c r="AF329" i="1"/>
  <c r="AG329" i="1"/>
  <c r="AH329" i="1"/>
  <c r="AJ329" i="1"/>
  <c r="AK329" i="1"/>
  <c r="AL329" i="1"/>
  <c r="AO329" i="1"/>
  <c r="AP329" i="1"/>
  <c r="AW329" i="1"/>
  <c r="BC329" i="1" s="1"/>
  <c r="AX329" i="1"/>
  <c r="BD329" i="1"/>
  <c r="BF329" i="1"/>
  <c r="BH329" i="1"/>
  <c r="AD329" i="1" s="1"/>
  <c r="BI329" i="1"/>
  <c r="AE329" i="1" s="1"/>
  <c r="BJ329" i="1"/>
  <c r="I330" i="1"/>
  <c r="K330" i="1"/>
  <c r="Z330" i="1"/>
  <c r="AB330" i="1"/>
  <c r="AC330" i="1"/>
  <c r="AF330" i="1"/>
  <c r="AG330" i="1"/>
  <c r="AH330" i="1"/>
  <c r="AJ330" i="1"/>
  <c r="AK330" i="1"/>
  <c r="AL330" i="1"/>
  <c r="AO330" i="1"/>
  <c r="AP330" i="1"/>
  <c r="AW330" i="1"/>
  <c r="BD330" i="1"/>
  <c r="BF330" i="1"/>
  <c r="BH330" i="1"/>
  <c r="AD330" i="1" s="1"/>
  <c r="BJ330" i="1"/>
  <c r="K331" i="1"/>
  <c r="AL331" i="1" s="1"/>
  <c r="Z331" i="1"/>
  <c r="AB331" i="1"/>
  <c r="AC331" i="1"/>
  <c r="AF331" i="1"/>
  <c r="AG331" i="1"/>
  <c r="AH331" i="1"/>
  <c r="AJ331" i="1"/>
  <c r="AK331" i="1"/>
  <c r="AO331" i="1"/>
  <c r="AP331" i="1"/>
  <c r="BD331" i="1"/>
  <c r="BF331" i="1"/>
  <c r="BJ331" i="1"/>
  <c r="J332" i="1"/>
  <c r="K332" i="1"/>
  <c r="Z332" i="1"/>
  <c r="AB332" i="1"/>
  <c r="AC332" i="1"/>
  <c r="AF332" i="1"/>
  <c r="AG332" i="1"/>
  <c r="AH332" i="1"/>
  <c r="AJ332" i="1"/>
  <c r="AK332" i="1"/>
  <c r="AL332" i="1"/>
  <c r="AO332" i="1"/>
  <c r="AP332" i="1"/>
  <c r="AX332" i="1"/>
  <c r="BD332" i="1"/>
  <c r="BF332" i="1"/>
  <c r="BI332" i="1"/>
  <c r="AE332" i="1" s="1"/>
  <c r="BJ332" i="1"/>
  <c r="I333" i="1"/>
  <c r="J333" i="1"/>
  <c r="K333" i="1"/>
  <c r="Z333" i="1"/>
  <c r="AB333" i="1"/>
  <c r="AC333" i="1"/>
  <c r="AF333" i="1"/>
  <c r="AG333" i="1"/>
  <c r="AH333" i="1"/>
  <c r="AJ333" i="1"/>
  <c r="AK333" i="1"/>
  <c r="AL333" i="1"/>
  <c r="AO333" i="1"/>
  <c r="AP333" i="1"/>
  <c r="AW333" i="1"/>
  <c r="AX333" i="1"/>
  <c r="BD333" i="1"/>
  <c r="BF333" i="1"/>
  <c r="BH333" i="1"/>
  <c r="AD333" i="1" s="1"/>
  <c r="BI333" i="1"/>
  <c r="AE333" i="1" s="1"/>
  <c r="BJ333" i="1"/>
  <c r="I334" i="1"/>
  <c r="K334" i="1"/>
  <c r="Z334" i="1"/>
  <c r="AB334" i="1"/>
  <c r="AC334" i="1"/>
  <c r="AF334" i="1"/>
  <c r="AG334" i="1"/>
  <c r="AH334" i="1"/>
  <c r="AJ334" i="1"/>
  <c r="AK334" i="1"/>
  <c r="AL334" i="1"/>
  <c r="AO334" i="1"/>
  <c r="AP334" i="1"/>
  <c r="AW334" i="1"/>
  <c r="BD334" i="1"/>
  <c r="BF334" i="1"/>
  <c r="BH334" i="1"/>
  <c r="AD334" i="1" s="1"/>
  <c r="BJ334" i="1"/>
  <c r="K335" i="1"/>
  <c r="AL335" i="1" s="1"/>
  <c r="Z335" i="1"/>
  <c r="AB335" i="1"/>
  <c r="AC335" i="1"/>
  <c r="AF335" i="1"/>
  <c r="AG335" i="1"/>
  <c r="AH335" i="1"/>
  <c r="AJ335" i="1"/>
  <c r="AK335" i="1"/>
  <c r="AO335" i="1"/>
  <c r="AP335" i="1"/>
  <c r="J335" i="1" s="1"/>
  <c r="AX335" i="1"/>
  <c r="BD335" i="1"/>
  <c r="BF335" i="1"/>
  <c r="BI335" i="1"/>
  <c r="AE335" i="1" s="1"/>
  <c r="BJ335" i="1"/>
  <c r="J337" i="1"/>
  <c r="K337" i="1"/>
  <c r="Z337" i="1"/>
  <c r="AB337" i="1"/>
  <c r="AC337" i="1"/>
  <c r="AF337" i="1"/>
  <c r="AG337" i="1"/>
  <c r="AH337" i="1"/>
  <c r="AJ337" i="1"/>
  <c r="AK337" i="1"/>
  <c r="AL337" i="1"/>
  <c r="AO337" i="1"/>
  <c r="I337" i="1" s="1"/>
  <c r="AP337" i="1"/>
  <c r="AW337" i="1"/>
  <c r="AX337" i="1"/>
  <c r="BD337" i="1"/>
  <c r="BF337" i="1"/>
  <c r="BH337" i="1"/>
  <c r="AD337" i="1" s="1"/>
  <c r="BI337" i="1"/>
  <c r="AE337" i="1" s="1"/>
  <c r="BJ337" i="1"/>
  <c r="I338" i="1"/>
  <c r="J338" i="1"/>
  <c r="K338" i="1"/>
  <c r="Z338" i="1"/>
  <c r="AB338" i="1"/>
  <c r="AC338" i="1"/>
  <c r="AF338" i="1"/>
  <c r="AG338" i="1"/>
  <c r="AH338" i="1"/>
  <c r="AJ338" i="1"/>
  <c r="AK338" i="1"/>
  <c r="AL338" i="1"/>
  <c r="AO338" i="1"/>
  <c r="AP338" i="1"/>
  <c r="AV338" i="1"/>
  <c r="AW338" i="1"/>
  <c r="BC338" i="1" s="1"/>
  <c r="AX338" i="1"/>
  <c r="BD338" i="1"/>
  <c r="BF338" i="1"/>
  <c r="BH338" i="1"/>
  <c r="AD338" i="1" s="1"/>
  <c r="BI338" i="1"/>
  <c r="AE338" i="1" s="1"/>
  <c r="BJ338" i="1"/>
  <c r="I339" i="1"/>
  <c r="K339" i="1"/>
  <c r="Z339" i="1"/>
  <c r="AB339" i="1"/>
  <c r="AC339" i="1"/>
  <c r="AF339" i="1"/>
  <c r="AG339" i="1"/>
  <c r="AH339" i="1"/>
  <c r="AJ339" i="1"/>
  <c r="AK339" i="1"/>
  <c r="AL339" i="1"/>
  <c r="AO339" i="1"/>
  <c r="AP339" i="1"/>
  <c r="AW339" i="1"/>
  <c r="BD339" i="1"/>
  <c r="BF339" i="1"/>
  <c r="BH339" i="1"/>
  <c r="AD339" i="1" s="1"/>
  <c r="BI339" i="1"/>
  <c r="AE339" i="1" s="1"/>
  <c r="BJ339" i="1"/>
  <c r="K340" i="1"/>
  <c r="AL340" i="1" s="1"/>
  <c r="Z340" i="1"/>
  <c r="AB340" i="1"/>
  <c r="AC340" i="1"/>
  <c r="AD340" i="1"/>
  <c r="AE340" i="1"/>
  <c r="AF340" i="1"/>
  <c r="AG340" i="1"/>
  <c r="AH340" i="1"/>
  <c r="AJ340" i="1"/>
  <c r="AK340" i="1"/>
  <c r="AO340" i="1"/>
  <c r="AP340" i="1"/>
  <c r="J340" i="1" s="1"/>
  <c r="AX340" i="1"/>
  <c r="BD340" i="1"/>
  <c r="BF340" i="1"/>
  <c r="BH340" i="1"/>
  <c r="BI340" i="1"/>
  <c r="BJ340" i="1"/>
  <c r="K342" i="1"/>
  <c r="Z342" i="1"/>
  <c r="AB342" i="1"/>
  <c r="AC342" i="1"/>
  <c r="AF342" i="1"/>
  <c r="AG342" i="1"/>
  <c r="AH342" i="1"/>
  <c r="AJ342" i="1"/>
  <c r="AK342" i="1"/>
  <c r="AT341" i="1" s="1"/>
  <c r="AL342" i="1"/>
  <c r="AU341" i="1" s="1"/>
  <c r="AO342" i="1"/>
  <c r="I342" i="1" s="1"/>
  <c r="AP342" i="1"/>
  <c r="AW342" i="1"/>
  <c r="BD342" i="1"/>
  <c r="BF342" i="1"/>
  <c r="BH342" i="1"/>
  <c r="AD342" i="1" s="1"/>
  <c r="BJ342" i="1"/>
  <c r="K344" i="1"/>
  <c r="AL344" i="1" s="1"/>
  <c r="Z344" i="1"/>
  <c r="AB344" i="1"/>
  <c r="AC344" i="1"/>
  <c r="AF344" i="1"/>
  <c r="AG344" i="1"/>
  <c r="AH344" i="1"/>
  <c r="AJ344" i="1"/>
  <c r="AK344" i="1"/>
  <c r="AO344" i="1"/>
  <c r="AP344" i="1"/>
  <c r="J344" i="1" s="1"/>
  <c r="AX344" i="1"/>
  <c r="BD344" i="1"/>
  <c r="BF344" i="1"/>
  <c r="BH344" i="1"/>
  <c r="AD344" i="1" s="1"/>
  <c r="BJ344" i="1"/>
  <c r="J345" i="1"/>
  <c r="K345" i="1"/>
  <c r="AL345" i="1" s="1"/>
  <c r="Z345" i="1"/>
  <c r="AB345" i="1"/>
  <c r="AC345" i="1"/>
  <c r="AF345" i="1"/>
  <c r="AG345" i="1"/>
  <c r="AH345" i="1"/>
  <c r="AJ345" i="1"/>
  <c r="AK345" i="1"/>
  <c r="AO345" i="1"/>
  <c r="I345" i="1" s="1"/>
  <c r="AP345" i="1"/>
  <c r="AX345" i="1"/>
  <c r="BD345" i="1"/>
  <c r="BF345" i="1"/>
  <c r="BI345" i="1"/>
  <c r="AE345" i="1" s="1"/>
  <c r="BJ345" i="1"/>
  <c r="K348" i="1"/>
  <c r="Z348" i="1"/>
  <c r="AD348" i="1"/>
  <c r="AE348" i="1"/>
  <c r="AF348" i="1"/>
  <c r="AG348" i="1"/>
  <c r="AH348" i="1"/>
  <c r="AJ348" i="1"/>
  <c r="AK348" i="1"/>
  <c r="AO348" i="1"/>
  <c r="BH348" i="1" s="1"/>
  <c r="AB348" i="1" s="1"/>
  <c r="AP348" i="1"/>
  <c r="J348" i="1" s="1"/>
  <c r="BD348" i="1"/>
  <c r="BF348" i="1"/>
  <c r="BI348" i="1"/>
  <c r="AC348" i="1" s="1"/>
  <c r="BJ348" i="1"/>
  <c r="J349" i="1"/>
  <c r="K349" i="1"/>
  <c r="AL349" i="1" s="1"/>
  <c r="Z349" i="1"/>
  <c r="AC349" i="1"/>
  <c r="AD349" i="1"/>
  <c r="AE349" i="1"/>
  <c r="AF349" i="1"/>
  <c r="AG349" i="1"/>
  <c r="AH349" i="1"/>
  <c r="AJ349" i="1"/>
  <c r="AK349" i="1"/>
  <c r="AO349" i="1"/>
  <c r="I349" i="1" s="1"/>
  <c r="AP349" i="1"/>
  <c r="AW349" i="1"/>
  <c r="AX349" i="1"/>
  <c r="BD349" i="1"/>
  <c r="BF349" i="1"/>
  <c r="BH349" i="1"/>
  <c r="AB349" i="1" s="1"/>
  <c r="BI349" i="1"/>
  <c r="BJ349" i="1"/>
  <c r="I350" i="1"/>
  <c r="J350" i="1"/>
  <c r="K350" i="1"/>
  <c r="Z350" i="1"/>
  <c r="AB350" i="1"/>
  <c r="AC350" i="1"/>
  <c r="AD350" i="1"/>
  <c r="AE350" i="1"/>
  <c r="AF350" i="1"/>
  <c r="AG350" i="1"/>
  <c r="AH350" i="1"/>
  <c r="AJ350" i="1"/>
  <c r="AK350" i="1"/>
  <c r="AL350" i="1"/>
  <c r="AO350" i="1"/>
  <c r="AP350" i="1"/>
  <c r="AW350" i="1"/>
  <c r="AX350" i="1"/>
  <c r="BD350" i="1"/>
  <c r="BF350" i="1"/>
  <c r="BH350" i="1"/>
  <c r="BI350" i="1"/>
  <c r="BJ350" i="1"/>
  <c r="I351" i="1"/>
  <c r="K351" i="1"/>
  <c r="Z351" i="1"/>
  <c r="AB351" i="1"/>
  <c r="AD351" i="1"/>
  <c r="AE351" i="1"/>
  <c r="AF351" i="1"/>
  <c r="AG351" i="1"/>
  <c r="AH351" i="1"/>
  <c r="AJ351" i="1"/>
  <c r="AK351" i="1"/>
  <c r="AL351" i="1"/>
  <c r="AO351" i="1"/>
  <c r="AP351" i="1"/>
  <c r="AW351" i="1"/>
  <c r="BD351" i="1"/>
  <c r="BF351" i="1"/>
  <c r="BH351" i="1"/>
  <c r="BJ351" i="1"/>
  <c r="K352" i="1"/>
  <c r="AL352" i="1" s="1"/>
  <c r="Z352" i="1"/>
  <c r="AD352" i="1"/>
  <c r="AE352" i="1"/>
  <c r="AF352" i="1"/>
  <c r="AG352" i="1"/>
  <c r="AH352" i="1"/>
  <c r="AJ352" i="1"/>
  <c r="AK352" i="1"/>
  <c r="AO352" i="1"/>
  <c r="AP352" i="1"/>
  <c r="J352" i="1" s="1"/>
  <c r="AX352" i="1"/>
  <c r="BD352" i="1"/>
  <c r="BF352" i="1"/>
  <c r="BH352" i="1"/>
  <c r="AB352" i="1" s="1"/>
  <c r="BJ352" i="1"/>
  <c r="J353" i="1"/>
  <c r="K353" i="1"/>
  <c r="AL353" i="1" s="1"/>
  <c r="Z353" i="1"/>
  <c r="AC353" i="1"/>
  <c r="AD353" i="1"/>
  <c r="AE353" i="1"/>
  <c r="AF353" i="1"/>
  <c r="AG353" i="1"/>
  <c r="AH353" i="1"/>
  <c r="AJ353" i="1"/>
  <c r="AK353" i="1"/>
  <c r="AO353" i="1"/>
  <c r="I353" i="1" s="1"/>
  <c r="AP353" i="1"/>
  <c r="AX353" i="1"/>
  <c r="BD353" i="1"/>
  <c r="BF353" i="1"/>
  <c r="BI353" i="1"/>
  <c r="BJ353" i="1"/>
  <c r="I354" i="1"/>
  <c r="J354" i="1"/>
  <c r="K354" i="1"/>
  <c r="Z354" i="1"/>
  <c r="AB354" i="1"/>
  <c r="AC354" i="1"/>
  <c r="AD354" i="1"/>
  <c r="AE354" i="1"/>
  <c r="AF354" i="1"/>
  <c r="AG354" i="1"/>
  <c r="AH354" i="1"/>
  <c r="AJ354" i="1"/>
  <c r="AK354" i="1"/>
  <c r="AL354" i="1"/>
  <c r="AO354" i="1"/>
  <c r="AP354" i="1"/>
  <c r="AV354" i="1"/>
  <c r="AW354" i="1"/>
  <c r="BC354" i="1" s="1"/>
  <c r="AX354" i="1"/>
  <c r="BD354" i="1"/>
  <c r="BF354" i="1"/>
  <c r="BH354" i="1"/>
  <c r="BI354" i="1"/>
  <c r="BJ354" i="1"/>
  <c r="I355" i="1"/>
  <c r="K355" i="1"/>
  <c r="Z355" i="1"/>
  <c r="AB355" i="1"/>
  <c r="AD355" i="1"/>
  <c r="AE355" i="1"/>
  <c r="AF355" i="1"/>
  <c r="AG355" i="1"/>
  <c r="AH355" i="1"/>
  <c r="AJ355" i="1"/>
  <c r="AK355" i="1"/>
  <c r="AL355" i="1"/>
  <c r="AO355" i="1"/>
  <c r="AP355" i="1"/>
  <c r="AW355" i="1"/>
  <c r="BD355" i="1"/>
  <c r="BF355" i="1"/>
  <c r="BH355" i="1"/>
  <c r="BI355" i="1"/>
  <c r="AC355" i="1" s="1"/>
  <c r="BJ355" i="1"/>
  <c r="K356" i="1"/>
  <c r="AL356" i="1" s="1"/>
  <c r="Z356" i="1"/>
  <c r="AD356" i="1"/>
  <c r="AE356" i="1"/>
  <c r="AF356" i="1"/>
  <c r="AG356" i="1"/>
  <c r="AH356" i="1"/>
  <c r="AJ356" i="1"/>
  <c r="AK356" i="1"/>
  <c r="AO356" i="1"/>
  <c r="AP356" i="1"/>
  <c r="BD356" i="1"/>
  <c r="BF356" i="1"/>
  <c r="BJ356" i="1"/>
  <c r="J357" i="1"/>
  <c r="K357" i="1"/>
  <c r="Z357" i="1"/>
  <c r="AC357" i="1"/>
  <c r="AD357" i="1"/>
  <c r="AE357" i="1"/>
  <c r="AF357" i="1"/>
  <c r="AG357" i="1"/>
  <c r="AH357" i="1"/>
  <c r="AJ357" i="1"/>
  <c r="AK357" i="1"/>
  <c r="AL357" i="1"/>
  <c r="AO357" i="1"/>
  <c r="AP357" i="1"/>
  <c r="AX357" i="1"/>
  <c r="BD357" i="1"/>
  <c r="BF357" i="1"/>
  <c r="BI357" i="1"/>
  <c r="BJ357" i="1"/>
  <c r="I358" i="1"/>
  <c r="J358" i="1"/>
  <c r="K358" i="1"/>
  <c r="Z358" i="1"/>
  <c r="AB358" i="1"/>
  <c r="AC358" i="1"/>
  <c r="AD358" i="1"/>
  <c r="AE358" i="1"/>
  <c r="AF358" i="1"/>
  <c r="AG358" i="1"/>
  <c r="AH358" i="1"/>
  <c r="AJ358" i="1"/>
  <c r="AK358" i="1"/>
  <c r="AL358" i="1"/>
  <c r="AO358" i="1"/>
  <c r="AP358" i="1"/>
  <c r="AW358" i="1"/>
  <c r="BC358" i="1" s="1"/>
  <c r="AX358" i="1"/>
  <c r="BD358" i="1"/>
  <c r="BF358" i="1"/>
  <c r="BH358" i="1"/>
  <c r="BI358" i="1"/>
  <c r="BJ358" i="1"/>
  <c r="I359" i="1"/>
  <c r="K359" i="1"/>
  <c r="Z359" i="1"/>
  <c r="AB359" i="1"/>
  <c r="AD359" i="1"/>
  <c r="AE359" i="1"/>
  <c r="AF359" i="1"/>
  <c r="AG359" i="1"/>
  <c r="AH359" i="1"/>
  <c r="AJ359" i="1"/>
  <c r="AK359" i="1"/>
  <c r="AL359" i="1"/>
  <c r="AO359" i="1"/>
  <c r="AP359" i="1"/>
  <c r="AW359" i="1"/>
  <c r="BD359" i="1"/>
  <c r="BF359" i="1"/>
  <c r="BH359" i="1"/>
  <c r="BJ359" i="1"/>
  <c r="K360" i="1"/>
  <c r="AL360" i="1" s="1"/>
  <c r="Z360" i="1"/>
  <c r="AD360" i="1"/>
  <c r="AE360" i="1"/>
  <c r="AF360" i="1"/>
  <c r="AG360" i="1"/>
  <c r="AH360" i="1"/>
  <c r="AJ360" i="1"/>
  <c r="AK360" i="1"/>
  <c r="AO360" i="1"/>
  <c r="AP360" i="1"/>
  <c r="J360" i="1" s="1"/>
  <c r="AX360" i="1"/>
  <c r="BD360" i="1"/>
  <c r="BF360" i="1"/>
  <c r="BI360" i="1"/>
  <c r="AC360" i="1" s="1"/>
  <c r="BJ360" i="1"/>
  <c r="J361" i="1"/>
  <c r="K361" i="1"/>
  <c r="Z361" i="1"/>
  <c r="AC361" i="1"/>
  <c r="AD361" i="1"/>
  <c r="AE361" i="1"/>
  <c r="AF361" i="1"/>
  <c r="AG361" i="1"/>
  <c r="AH361" i="1"/>
  <c r="AJ361" i="1"/>
  <c r="AK361" i="1"/>
  <c r="AL361" i="1"/>
  <c r="AO361" i="1"/>
  <c r="I361" i="1" s="1"/>
  <c r="AP361" i="1"/>
  <c r="AW361" i="1"/>
  <c r="AX361" i="1"/>
  <c r="BD361" i="1"/>
  <c r="BF361" i="1"/>
  <c r="BH361" i="1"/>
  <c r="AB361" i="1" s="1"/>
  <c r="BI361" i="1"/>
  <c r="BJ361" i="1"/>
  <c r="I362" i="1"/>
  <c r="J362" i="1"/>
  <c r="K362" i="1"/>
  <c r="Z362" i="1"/>
  <c r="AB362" i="1"/>
  <c r="AC362" i="1"/>
  <c r="AD362" i="1"/>
  <c r="AE362" i="1"/>
  <c r="AF362" i="1"/>
  <c r="AG362" i="1"/>
  <c r="AH362" i="1"/>
  <c r="AJ362" i="1"/>
  <c r="AK362" i="1"/>
  <c r="AL362" i="1"/>
  <c r="AO362" i="1"/>
  <c r="AP362" i="1"/>
  <c r="AW362" i="1"/>
  <c r="BC362" i="1" s="1"/>
  <c r="AX362" i="1"/>
  <c r="BD362" i="1"/>
  <c r="BF362" i="1"/>
  <c r="BH362" i="1"/>
  <c r="BI362" i="1"/>
  <c r="BJ362" i="1"/>
  <c r="I363" i="1"/>
  <c r="K363" i="1"/>
  <c r="Z363" i="1"/>
  <c r="AB363" i="1"/>
  <c r="AD363" i="1"/>
  <c r="AE363" i="1"/>
  <c r="AF363" i="1"/>
  <c r="AG363" i="1"/>
  <c r="AH363" i="1"/>
  <c r="AJ363" i="1"/>
  <c r="AK363" i="1"/>
  <c r="AL363" i="1"/>
  <c r="AO363" i="1"/>
  <c r="AP363" i="1"/>
  <c r="AW363" i="1"/>
  <c r="BD363" i="1"/>
  <c r="BF363" i="1"/>
  <c r="BH363" i="1"/>
  <c r="BJ363" i="1"/>
  <c r="K364" i="1"/>
  <c r="AL364" i="1" s="1"/>
  <c r="Z364" i="1"/>
  <c r="AD364" i="1"/>
  <c r="AE364" i="1"/>
  <c r="AF364" i="1"/>
  <c r="AG364" i="1"/>
  <c r="AH364" i="1"/>
  <c r="AJ364" i="1"/>
  <c r="AK364" i="1"/>
  <c r="AO364" i="1"/>
  <c r="AP364" i="1"/>
  <c r="J364" i="1" s="1"/>
  <c r="AX364" i="1"/>
  <c r="BD364" i="1"/>
  <c r="BF364" i="1"/>
  <c r="BH364" i="1"/>
  <c r="AB364" i="1" s="1"/>
  <c r="BI364" i="1"/>
  <c r="AC364" i="1" s="1"/>
  <c r="BJ364" i="1"/>
  <c r="J365" i="1"/>
  <c r="K365" i="1"/>
  <c r="AL365" i="1" s="1"/>
  <c r="Z365" i="1"/>
  <c r="AC365" i="1"/>
  <c r="AD365" i="1"/>
  <c r="AE365" i="1"/>
  <c r="AF365" i="1"/>
  <c r="AG365" i="1"/>
  <c r="AH365" i="1"/>
  <c r="AJ365" i="1"/>
  <c r="AK365" i="1"/>
  <c r="AO365" i="1"/>
  <c r="I365" i="1" s="1"/>
  <c r="AP365" i="1"/>
  <c r="AW365" i="1"/>
  <c r="AX365" i="1"/>
  <c r="BD365" i="1"/>
  <c r="BF365" i="1"/>
  <c r="BH365" i="1"/>
  <c r="AB365" i="1" s="1"/>
  <c r="BI365" i="1"/>
  <c r="BJ365" i="1"/>
  <c r="I366" i="1"/>
  <c r="J366" i="1"/>
  <c r="K366" i="1"/>
  <c r="Z366" i="1"/>
  <c r="AB366" i="1"/>
  <c r="AC366" i="1"/>
  <c r="AD366" i="1"/>
  <c r="AE366" i="1"/>
  <c r="AF366" i="1"/>
  <c r="AG366" i="1"/>
  <c r="AH366" i="1"/>
  <c r="AJ366" i="1"/>
  <c r="AK366" i="1"/>
  <c r="AL366" i="1"/>
  <c r="AO366" i="1"/>
  <c r="AP366" i="1"/>
  <c r="AW366" i="1"/>
  <c r="AX366" i="1"/>
  <c r="BD366" i="1"/>
  <c r="BF366" i="1"/>
  <c r="BH366" i="1"/>
  <c r="BI366" i="1"/>
  <c r="BJ366" i="1"/>
  <c r="I367" i="1"/>
  <c r="K367" i="1"/>
  <c r="Z367" i="1"/>
  <c r="AB367" i="1"/>
  <c r="AD367" i="1"/>
  <c r="AE367" i="1"/>
  <c r="AF367" i="1"/>
  <c r="AG367" i="1"/>
  <c r="AH367" i="1"/>
  <c r="AJ367" i="1"/>
  <c r="AK367" i="1"/>
  <c r="AL367" i="1"/>
  <c r="AO367" i="1"/>
  <c r="AP367" i="1"/>
  <c r="AW367" i="1"/>
  <c r="BD367" i="1"/>
  <c r="BF367" i="1"/>
  <c r="BH367" i="1"/>
  <c r="BJ367" i="1"/>
  <c r="K368" i="1"/>
  <c r="AL368" i="1" s="1"/>
  <c r="Z368" i="1"/>
  <c r="AD368" i="1"/>
  <c r="AE368" i="1"/>
  <c r="AF368" i="1"/>
  <c r="AG368" i="1"/>
  <c r="AH368" i="1"/>
  <c r="AJ368" i="1"/>
  <c r="AK368" i="1"/>
  <c r="AO368" i="1"/>
  <c r="AP368" i="1"/>
  <c r="J368" i="1" s="1"/>
  <c r="AX368" i="1"/>
  <c r="BD368" i="1"/>
  <c r="BF368" i="1"/>
  <c r="BH368" i="1"/>
  <c r="AB368" i="1" s="1"/>
  <c r="BJ368" i="1"/>
  <c r="J369" i="1"/>
  <c r="K369" i="1"/>
  <c r="AL369" i="1" s="1"/>
  <c r="Z369" i="1"/>
  <c r="AC369" i="1"/>
  <c r="AD369" i="1"/>
  <c r="AE369" i="1"/>
  <c r="AF369" i="1"/>
  <c r="AG369" i="1"/>
  <c r="AH369" i="1"/>
  <c r="AJ369" i="1"/>
  <c r="AK369" i="1"/>
  <c r="AO369" i="1"/>
  <c r="I369" i="1" s="1"/>
  <c r="AP369" i="1"/>
  <c r="AX369" i="1"/>
  <c r="BD369" i="1"/>
  <c r="BF369" i="1"/>
  <c r="BI369" i="1"/>
  <c r="BJ369" i="1"/>
  <c r="I370" i="1"/>
  <c r="J370" i="1"/>
  <c r="K370" i="1"/>
  <c r="Z370" i="1"/>
  <c r="AB370" i="1"/>
  <c r="AC370" i="1"/>
  <c r="AD370" i="1"/>
  <c r="AE370" i="1"/>
  <c r="AF370" i="1"/>
  <c r="AG370" i="1"/>
  <c r="AH370" i="1"/>
  <c r="AJ370" i="1"/>
  <c r="AK370" i="1"/>
  <c r="AL370" i="1"/>
  <c r="AO370" i="1"/>
  <c r="AP370" i="1"/>
  <c r="AV370" i="1"/>
  <c r="AW370" i="1"/>
  <c r="BC370" i="1" s="1"/>
  <c r="AX370" i="1"/>
  <c r="BD370" i="1"/>
  <c r="BF370" i="1"/>
  <c r="BH370" i="1"/>
  <c r="BI370" i="1"/>
  <c r="BJ370" i="1"/>
  <c r="I371" i="1"/>
  <c r="K371" i="1"/>
  <c r="Z371" i="1"/>
  <c r="AB371" i="1"/>
  <c r="AD371" i="1"/>
  <c r="AE371" i="1"/>
  <c r="AF371" i="1"/>
  <c r="AG371" i="1"/>
  <c r="AH371" i="1"/>
  <c r="AJ371" i="1"/>
  <c r="AK371" i="1"/>
  <c r="AL371" i="1"/>
  <c r="AO371" i="1"/>
  <c r="AP371" i="1"/>
  <c r="AW371" i="1"/>
  <c r="BD371" i="1"/>
  <c r="BF371" i="1"/>
  <c r="BH371" i="1"/>
  <c r="BI371" i="1"/>
  <c r="AC371" i="1" s="1"/>
  <c r="BJ371" i="1"/>
  <c r="K372" i="1"/>
  <c r="AL372" i="1" s="1"/>
  <c r="Z372" i="1"/>
  <c r="AD372" i="1"/>
  <c r="AE372" i="1"/>
  <c r="AF372" i="1"/>
  <c r="AG372" i="1"/>
  <c r="AH372" i="1"/>
  <c r="AJ372" i="1"/>
  <c r="AK372" i="1"/>
  <c r="AO372" i="1"/>
  <c r="AP372" i="1"/>
  <c r="BD372" i="1"/>
  <c r="BF372" i="1"/>
  <c r="BJ372" i="1"/>
  <c r="J373" i="1"/>
  <c r="K373" i="1"/>
  <c r="Z373" i="1"/>
  <c r="AC373" i="1"/>
  <c r="AD373" i="1"/>
  <c r="AE373" i="1"/>
  <c r="AF373" i="1"/>
  <c r="AG373" i="1"/>
  <c r="AH373" i="1"/>
  <c r="AJ373" i="1"/>
  <c r="AK373" i="1"/>
  <c r="AL373" i="1"/>
  <c r="AO373" i="1"/>
  <c r="AP373" i="1"/>
  <c r="AX373" i="1"/>
  <c r="BD373" i="1"/>
  <c r="BF373" i="1"/>
  <c r="BI373" i="1"/>
  <c r="BJ373" i="1"/>
  <c r="I374" i="1"/>
  <c r="J374" i="1"/>
  <c r="K374" i="1"/>
  <c r="Z374" i="1"/>
  <c r="AB374" i="1"/>
  <c r="AC374" i="1"/>
  <c r="AD374" i="1"/>
  <c r="AE374" i="1"/>
  <c r="AF374" i="1"/>
  <c r="AG374" i="1"/>
  <c r="AH374" i="1"/>
  <c r="AJ374" i="1"/>
  <c r="AK374" i="1"/>
  <c r="AL374" i="1"/>
  <c r="AO374" i="1"/>
  <c r="AP374" i="1"/>
  <c r="AW374" i="1"/>
  <c r="BC374" i="1" s="1"/>
  <c r="AX374" i="1"/>
  <c r="BD374" i="1"/>
  <c r="BF374" i="1"/>
  <c r="BH374" i="1"/>
  <c r="BI374" i="1"/>
  <c r="BJ374" i="1"/>
  <c r="I375" i="1"/>
  <c r="K375" i="1"/>
  <c r="Z375" i="1"/>
  <c r="AB375" i="1"/>
  <c r="AD375" i="1"/>
  <c r="AE375" i="1"/>
  <c r="AF375" i="1"/>
  <c r="AG375" i="1"/>
  <c r="AH375" i="1"/>
  <c r="AJ375" i="1"/>
  <c r="AK375" i="1"/>
  <c r="AL375" i="1"/>
  <c r="AO375" i="1"/>
  <c r="AP375" i="1"/>
  <c r="AW375" i="1"/>
  <c r="BD375" i="1"/>
  <c r="BF375" i="1"/>
  <c r="BH375" i="1"/>
  <c r="BJ375" i="1"/>
  <c r="K376" i="1"/>
  <c r="AL376" i="1" s="1"/>
  <c r="Z376" i="1"/>
  <c r="AD376" i="1"/>
  <c r="AE376" i="1"/>
  <c r="AF376" i="1"/>
  <c r="AG376" i="1"/>
  <c r="AH376" i="1"/>
  <c r="AJ376" i="1"/>
  <c r="AK376" i="1"/>
  <c r="AO376" i="1"/>
  <c r="I376" i="1" s="1"/>
  <c r="AP376" i="1"/>
  <c r="BD376" i="1"/>
  <c r="BF376" i="1"/>
  <c r="BH376" i="1"/>
  <c r="AB376" i="1" s="1"/>
  <c r="BI376" i="1"/>
  <c r="AC376" i="1" s="1"/>
  <c r="BJ376" i="1"/>
  <c r="J377" i="1"/>
  <c r="K377" i="1"/>
  <c r="AL377" i="1" s="1"/>
  <c r="Z377" i="1"/>
  <c r="AC377" i="1"/>
  <c r="AD377" i="1"/>
  <c r="AE377" i="1"/>
  <c r="AF377" i="1"/>
  <c r="AG377" i="1"/>
  <c r="AH377" i="1"/>
  <c r="AJ377" i="1"/>
  <c r="AK377" i="1"/>
  <c r="AO377" i="1"/>
  <c r="BH377" i="1" s="1"/>
  <c r="AB377" i="1" s="1"/>
  <c r="AP377" i="1"/>
  <c r="AX377" i="1"/>
  <c r="BD377" i="1"/>
  <c r="BF377" i="1"/>
  <c r="BI377" i="1"/>
  <c r="BJ377" i="1"/>
  <c r="I378" i="1"/>
  <c r="J378" i="1"/>
  <c r="K378" i="1"/>
  <c r="Z378" i="1"/>
  <c r="AB378" i="1"/>
  <c r="AC378" i="1"/>
  <c r="AD378" i="1"/>
  <c r="AE378" i="1"/>
  <c r="AF378" i="1"/>
  <c r="AG378" i="1"/>
  <c r="AH378" i="1"/>
  <c r="AJ378" i="1"/>
  <c r="AK378" i="1"/>
  <c r="AL378" i="1"/>
  <c r="AO378" i="1"/>
  <c r="AP378" i="1"/>
  <c r="AX378" i="1" s="1"/>
  <c r="AW378" i="1"/>
  <c r="BD378" i="1"/>
  <c r="BF378" i="1"/>
  <c r="BH378" i="1"/>
  <c r="BI378" i="1"/>
  <c r="BJ378" i="1"/>
  <c r="I379" i="1"/>
  <c r="K379" i="1"/>
  <c r="AL379" i="1" s="1"/>
  <c r="Z379" i="1"/>
  <c r="AB379" i="1"/>
  <c r="AD379" i="1"/>
  <c r="AE379" i="1"/>
  <c r="AF379" i="1"/>
  <c r="AG379" i="1"/>
  <c r="AH379" i="1"/>
  <c r="AJ379" i="1"/>
  <c r="AK379" i="1"/>
  <c r="AO379" i="1"/>
  <c r="AW379" i="1" s="1"/>
  <c r="AP379" i="1"/>
  <c r="J379" i="1" s="1"/>
  <c r="BD379" i="1"/>
  <c r="BF379" i="1"/>
  <c r="BH379" i="1"/>
  <c r="BI379" i="1"/>
  <c r="AC379" i="1" s="1"/>
  <c r="BJ379" i="1"/>
  <c r="K380" i="1"/>
  <c r="AL380" i="1" s="1"/>
  <c r="Z380" i="1"/>
  <c r="AD380" i="1"/>
  <c r="AE380" i="1"/>
  <c r="AF380" i="1"/>
  <c r="AG380" i="1"/>
  <c r="AH380" i="1"/>
  <c r="AJ380" i="1"/>
  <c r="AK380" i="1"/>
  <c r="AO380" i="1"/>
  <c r="I380" i="1" s="1"/>
  <c r="AP380" i="1"/>
  <c r="BD380" i="1"/>
  <c r="BF380" i="1"/>
  <c r="BH380" i="1"/>
  <c r="AB380" i="1" s="1"/>
  <c r="BI380" i="1"/>
  <c r="AC380" i="1" s="1"/>
  <c r="BJ380" i="1"/>
  <c r="J381" i="1"/>
  <c r="K381" i="1"/>
  <c r="AL381" i="1" s="1"/>
  <c r="Z381" i="1"/>
  <c r="AC381" i="1"/>
  <c r="AD381" i="1"/>
  <c r="AE381" i="1"/>
  <c r="AF381" i="1"/>
  <c r="AG381" i="1"/>
  <c r="AH381" i="1"/>
  <c r="AJ381" i="1"/>
  <c r="AK381" i="1"/>
  <c r="AO381" i="1"/>
  <c r="BH381" i="1" s="1"/>
  <c r="AB381" i="1" s="1"/>
  <c r="AP381" i="1"/>
  <c r="AX381" i="1"/>
  <c r="BD381" i="1"/>
  <c r="BF381" i="1"/>
  <c r="BI381" i="1"/>
  <c r="BJ381" i="1"/>
  <c r="I382" i="1"/>
  <c r="J382" i="1"/>
  <c r="K382" i="1"/>
  <c r="Z382" i="1"/>
  <c r="AB382" i="1"/>
  <c r="AC382" i="1"/>
  <c r="AD382" i="1"/>
  <c r="AE382" i="1"/>
  <c r="AF382" i="1"/>
  <c r="AG382" i="1"/>
  <c r="AH382" i="1"/>
  <c r="AJ382" i="1"/>
  <c r="AK382" i="1"/>
  <c r="AL382" i="1"/>
  <c r="AO382" i="1"/>
  <c r="AP382" i="1"/>
  <c r="AX382" i="1" s="1"/>
  <c r="AW382" i="1"/>
  <c r="BD382" i="1"/>
  <c r="BF382" i="1"/>
  <c r="BH382" i="1"/>
  <c r="BI382" i="1"/>
  <c r="BJ382" i="1"/>
  <c r="I383" i="1"/>
  <c r="K383" i="1"/>
  <c r="AL383" i="1" s="1"/>
  <c r="Z383" i="1"/>
  <c r="AB383" i="1"/>
  <c r="AD383" i="1"/>
  <c r="AE383" i="1"/>
  <c r="AF383" i="1"/>
  <c r="AG383" i="1"/>
  <c r="AH383" i="1"/>
  <c r="AJ383" i="1"/>
  <c r="AK383" i="1"/>
  <c r="AO383" i="1"/>
  <c r="AW383" i="1" s="1"/>
  <c r="AP383" i="1"/>
  <c r="J383" i="1" s="1"/>
  <c r="BD383" i="1"/>
  <c r="BF383" i="1"/>
  <c r="BH383" i="1"/>
  <c r="BI383" i="1"/>
  <c r="AC383" i="1" s="1"/>
  <c r="BJ383" i="1"/>
  <c r="K384" i="1"/>
  <c r="AL384" i="1" s="1"/>
  <c r="Z384" i="1"/>
  <c r="AD384" i="1"/>
  <c r="AE384" i="1"/>
  <c r="AF384" i="1"/>
  <c r="AG384" i="1"/>
  <c r="AH384" i="1"/>
  <c r="AJ384" i="1"/>
  <c r="AK384" i="1"/>
  <c r="AO384" i="1"/>
  <c r="I384" i="1" s="1"/>
  <c r="AP384" i="1"/>
  <c r="BI384" i="1" s="1"/>
  <c r="AC384" i="1" s="1"/>
  <c r="BD384" i="1"/>
  <c r="BF384" i="1"/>
  <c r="BH384" i="1"/>
  <c r="AB384" i="1" s="1"/>
  <c r="BJ384" i="1"/>
  <c r="J385" i="1"/>
  <c r="K385" i="1"/>
  <c r="AL385" i="1" s="1"/>
  <c r="Z385" i="1"/>
  <c r="AC385" i="1"/>
  <c r="AD385" i="1"/>
  <c r="AE385" i="1"/>
  <c r="AF385" i="1"/>
  <c r="AG385" i="1"/>
  <c r="AH385" i="1"/>
  <c r="AJ385" i="1"/>
  <c r="AK385" i="1"/>
  <c r="AO385" i="1"/>
  <c r="AP385" i="1"/>
  <c r="AX385" i="1"/>
  <c r="BD385" i="1"/>
  <c r="BF385" i="1"/>
  <c r="BH385" i="1"/>
  <c r="AB385" i="1" s="1"/>
  <c r="BI385" i="1"/>
  <c r="BJ385" i="1"/>
  <c r="I386" i="1"/>
  <c r="J386" i="1"/>
  <c r="K386" i="1"/>
  <c r="Z386" i="1"/>
  <c r="AB386" i="1"/>
  <c r="AC386" i="1"/>
  <c r="AD386" i="1"/>
  <c r="AE386" i="1"/>
  <c r="AF386" i="1"/>
  <c r="AG386" i="1"/>
  <c r="AH386" i="1"/>
  <c r="AJ386" i="1"/>
  <c r="AK386" i="1"/>
  <c r="AL386" i="1"/>
  <c r="AO386" i="1"/>
  <c r="AP386" i="1"/>
  <c r="AX386" i="1" s="1"/>
  <c r="AW386" i="1"/>
  <c r="BD386" i="1"/>
  <c r="BF386" i="1"/>
  <c r="BH386" i="1"/>
  <c r="BI386" i="1"/>
  <c r="BJ386" i="1"/>
  <c r="I387" i="1"/>
  <c r="K387" i="1"/>
  <c r="AL387" i="1" s="1"/>
  <c r="Z387" i="1"/>
  <c r="AB387" i="1"/>
  <c r="AD387" i="1"/>
  <c r="AE387" i="1"/>
  <c r="AF387" i="1"/>
  <c r="AG387" i="1"/>
  <c r="AH387" i="1"/>
  <c r="AJ387" i="1"/>
  <c r="AK387" i="1"/>
  <c r="AO387" i="1"/>
  <c r="AW387" i="1" s="1"/>
  <c r="AP387" i="1"/>
  <c r="J387" i="1" s="1"/>
  <c r="BD387" i="1"/>
  <c r="BF387" i="1"/>
  <c r="BH387" i="1"/>
  <c r="BI387" i="1"/>
  <c r="AC387" i="1" s="1"/>
  <c r="BJ387" i="1"/>
  <c r="K388" i="1"/>
  <c r="AL388" i="1" s="1"/>
  <c r="Z388" i="1"/>
  <c r="AD388" i="1"/>
  <c r="AE388" i="1"/>
  <c r="AF388" i="1"/>
  <c r="AG388" i="1"/>
  <c r="AH388" i="1"/>
  <c r="AJ388" i="1"/>
  <c r="AK388" i="1"/>
  <c r="AO388" i="1"/>
  <c r="I388" i="1" s="1"/>
  <c r="AP388" i="1"/>
  <c r="BI388" i="1" s="1"/>
  <c r="AC388" i="1" s="1"/>
  <c r="BD388" i="1"/>
  <c r="BF388" i="1"/>
  <c r="BH388" i="1"/>
  <c r="AB388" i="1" s="1"/>
  <c r="BJ388" i="1"/>
  <c r="J389" i="1"/>
  <c r="K389" i="1"/>
  <c r="AL389" i="1" s="1"/>
  <c r="Z389" i="1"/>
  <c r="AC389" i="1"/>
  <c r="AD389" i="1"/>
  <c r="AE389" i="1"/>
  <c r="AF389" i="1"/>
  <c r="AG389" i="1"/>
  <c r="AH389" i="1"/>
  <c r="AJ389" i="1"/>
  <c r="AK389" i="1"/>
  <c r="AO389" i="1"/>
  <c r="AP389" i="1"/>
  <c r="AX389" i="1"/>
  <c r="BD389" i="1"/>
  <c r="BF389" i="1"/>
  <c r="BH389" i="1"/>
  <c r="AB389" i="1" s="1"/>
  <c r="BI389" i="1"/>
  <c r="BJ389" i="1"/>
  <c r="I390" i="1"/>
  <c r="J390" i="1"/>
  <c r="K390" i="1"/>
  <c r="Z390" i="1"/>
  <c r="AB390" i="1"/>
  <c r="AC390" i="1"/>
  <c r="AD390" i="1"/>
  <c r="AE390" i="1"/>
  <c r="AF390" i="1"/>
  <c r="AG390" i="1"/>
  <c r="AH390" i="1"/>
  <c r="AJ390" i="1"/>
  <c r="AK390" i="1"/>
  <c r="AL390" i="1"/>
  <c r="AO390" i="1"/>
  <c r="AP390" i="1"/>
  <c r="AX390" i="1" s="1"/>
  <c r="AW390" i="1"/>
  <c r="BD390" i="1"/>
  <c r="BF390" i="1"/>
  <c r="BH390" i="1"/>
  <c r="BI390" i="1"/>
  <c r="BJ390" i="1"/>
  <c r="I391" i="1"/>
  <c r="K391" i="1"/>
  <c r="AL391" i="1" s="1"/>
  <c r="Z391" i="1"/>
  <c r="AB391" i="1"/>
  <c r="AD391" i="1"/>
  <c r="AE391" i="1"/>
  <c r="AF391" i="1"/>
  <c r="AG391" i="1"/>
  <c r="AH391" i="1"/>
  <c r="AJ391" i="1"/>
  <c r="AK391" i="1"/>
  <c r="AO391" i="1"/>
  <c r="AW391" i="1" s="1"/>
  <c r="AP391" i="1"/>
  <c r="J391" i="1" s="1"/>
  <c r="BD391" i="1"/>
  <c r="BF391" i="1"/>
  <c r="BH391" i="1"/>
  <c r="BI391" i="1"/>
  <c r="AC391" i="1" s="1"/>
  <c r="BJ391" i="1"/>
  <c r="K392" i="1"/>
  <c r="AL392" i="1" s="1"/>
  <c r="Z392" i="1"/>
  <c r="AD392" i="1"/>
  <c r="AE392" i="1"/>
  <c r="AF392" i="1"/>
  <c r="AG392" i="1"/>
  <c r="AH392" i="1"/>
  <c r="AJ392" i="1"/>
  <c r="AK392" i="1"/>
  <c r="AO392" i="1"/>
  <c r="I392" i="1" s="1"/>
  <c r="AP392" i="1"/>
  <c r="BD392" i="1"/>
  <c r="BF392" i="1"/>
  <c r="BH392" i="1"/>
  <c r="AB392" i="1" s="1"/>
  <c r="BI392" i="1"/>
  <c r="AC392" i="1" s="1"/>
  <c r="BJ392" i="1"/>
  <c r="J393" i="1"/>
  <c r="K393" i="1"/>
  <c r="AL393" i="1" s="1"/>
  <c r="Z393" i="1"/>
  <c r="AC393" i="1"/>
  <c r="AD393" i="1"/>
  <c r="AE393" i="1"/>
  <c r="AF393" i="1"/>
  <c r="AG393" i="1"/>
  <c r="AH393" i="1"/>
  <c r="AJ393" i="1"/>
  <c r="AK393" i="1"/>
  <c r="AO393" i="1"/>
  <c r="BH393" i="1" s="1"/>
  <c r="AB393" i="1" s="1"/>
  <c r="AP393" i="1"/>
  <c r="AX393" i="1"/>
  <c r="BD393" i="1"/>
  <c r="BF393" i="1"/>
  <c r="BI393" i="1"/>
  <c r="BJ393" i="1"/>
  <c r="I394" i="1"/>
  <c r="J394" i="1"/>
  <c r="K394" i="1"/>
  <c r="Z394" i="1"/>
  <c r="AB394" i="1"/>
  <c r="AC394" i="1"/>
  <c r="AD394" i="1"/>
  <c r="AE394" i="1"/>
  <c r="AF394" i="1"/>
  <c r="AG394" i="1"/>
  <c r="AH394" i="1"/>
  <c r="AJ394" i="1"/>
  <c r="AK394" i="1"/>
  <c r="AL394" i="1"/>
  <c r="AO394" i="1"/>
  <c r="AP394" i="1"/>
  <c r="AX394" i="1" s="1"/>
  <c r="AW394" i="1"/>
  <c r="BD394" i="1"/>
  <c r="BF394" i="1"/>
  <c r="BH394" i="1"/>
  <c r="BI394" i="1"/>
  <c r="BJ394" i="1"/>
  <c r="I395" i="1"/>
  <c r="K395" i="1"/>
  <c r="AL395" i="1" s="1"/>
  <c r="Z395" i="1"/>
  <c r="AB395" i="1"/>
  <c r="AD395" i="1"/>
  <c r="AE395" i="1"/>
  <c r="AF395" i="1"/>
  <c r="AG395" i="1"/>
  <c r="AH395" i="1"/>
  <c r="AJ395" i="1"/>
  <c r="AK395" i="1"/>
  <c r="AO395" i="1"/>
  <c r="AW395" i="1" s="1"/>
  <c r="AP395" i="1"/>
  <c r="J395" i="1" s="1"/>
  <c r="BD395" i="1"/>
  <c r="BF395" i="1"/>
  <c r="BH395" i="1"/>
  <c r="BI395" i="1"/>
  <c r="AC395" i="1" s="1"/>
  <c r="BJ395" i="1"/>
  <c r="K396" i="1"/>
  <c r="AL396" i="1" s="1"/>
  <c r="Z396" i="1"/>
  <c r="AD396" i="1"/>
  <c r="AE396" i="1"/>
  <c r="AF396" i="1"/>
  <c r="AG396" i="1"/>
  <c r="AH396" i="1"/>
  <c r="AJ396" i="1"/>
  <c r="AK396" i="1"/>
  <c r="AO396" i="1"/>
  <c r="I396" i="1" s="1"/>
  <c r="AP396" i="1"/>
  <c r="BD396" i="1"/>
  <c r="BF396" i="1"/>
  <c r="BH396" i="1"/>
  <c r="AB396" i="1" s="1"/>
  <c r="BI396" i="1"/>
  <c r="AC396" i="1" s="1"/>
  <c r="BJ396" i="1"/>
  <c r="J397" i="1"/>
  <c r="K397" i="1"/>
  <c r="AL397" i="1" s="1"/>
  <c r="Z397" i="1"/>
  <c r="AC397" i="1"/>
  <c r="AD397" i="1"/>
  <c r="AE397" i="1"/>
  <c r="AF397" i="1"/>
  <c r="AG397" i="1"/>
  <c r="AH397" i="1"/>
  <c r="AJ397" i="1"/>
  <c r="AK397" i="1"/>
  <c r="AO397" i="1"/>
  <c r="BH397" i="1" s="1"/>
  <c r="AB397" i="1" s="1"/>
  <c r="AP397" i="1"/>
  <c r="AX397" i="1"/>
  <c r="BD397" i="1"/>
  <c r="BF397" i="1"/>
  <c r="BI397" i="1"/>
  <c r="BJ397" i="1"/>
  <c r="I398" i="1"/>
  <c r="J398" i="1"/>
  <c r="K398" i="1"/>
  <c r="Z398" i="1"/>
  <c r="AB398" i="1"/>
  <c r="AC398" i="1"/>
  <c r="AD398" i="1"/>
  <c r="AE398" i="1"/>
  <c r="AF398" i="1"/>
  <c r="AG398" i="1"/>
  <c r="AH398" i="1"/>
  <c r="AJ398" i="1"/>
  <c r="AK398" i="1"/>
  <c r="AL398" i="1"/>
  <c r="AO398" i="1"/>
  <c r="AP398" i="1"/>
  <c r="AX398" i="1" s="1"/>
  <c r="AW398" i="1"/>
  <c r="BD398" i="1"/>
  <c r="BF398" i="1"/>
  <c r="BH398" i="1"/>
  <c r="BI398" i="1"/>
  <c r="BJ398" i="1"/>
  <c r="I399" i="1"/>
  <c r="K399" i="1"/>
  <c r="AL399" i="1" s="1"/>
  <c r="Z399" i="1"/>
  <c r="AB399" i="1"/>
  <c r="AD399" i="1"/>
  <c r="AE399" i="1"/>
  <c r="AF399" i="1"/>
  <c r="AG399" i="1"/>
  <c r="AH399" i="1"/>
  <c r="AJ399" i="1"/>
  <c r="AK399" i="1"/>
  <c r="AO399" i="1"/>
  <c r="AW399" i="1" s="1"/>
  <c r="AP399" i="1"/>
  <c r="J399" i="1" s="1"/>
  <c r="BD399" i="1"/>
  <c r="BF399" i="1"/>
  <c r="BH399" i="1"/>
  <c r="BI399" i="1"/>
  <c r="AC399" i="1" s="1"/>
  <c r="BJ399" i="1"/>
  <c r="K400" i="1"/>
  <c r="AL400" i="1" s="1"/>
  <c r="Z400" i="1"/>
  <c r="AD400" i="1"/>
  <c r="AE400" i="1"/>
  <c r="AF400" i="1"/>
  <c r="AG400" i="1"/>
  <c r="AH400" i="1"/>
  <c r="AJ400" i="1"/>
  <c r="AK400" i="1"/>
  <c r="AO400" i="1"/>
  <c r="I400" i="1" s="1"/>
  <c r="AP400" i="1"/>
  <c r="BI400" i="1" s="1"/>
  <c r="AC400" i="1" s="1"/>
  <c r="BD400" i="1"/>
  <c r="BF400" i="1"/>
  <c r="BH400" i="1"/>
  <c r="AB400" i="1" s="1"/>
  <c r="BJ400" i="1"/>
  <c r="J401" i="1"/>
  <c r="K401" i="1"/>
  <c r="AL401" i="1" s="1"/>
  <c r="Z401" i="1"/>
  <c r="AC401" i="1"/>
  <c r="AD401" i="1"/>
  <c r="AE401" i="1"/>
  <c r="AF401" i="1"/>
  <c r="AG401" i="1"/>
  <c r="AH401" i="1"/>
  <c r="AJ401" i="1"/>
  <c r="AK401" i="1"/>
  <c r="AO401" i="1"/>
  <c r="AP401" i="1"/>
  <c r="AX401" i="1"/>
  <c r="BD401" i="1"/>
  <c r="BF401" i="1"/>
  <c r="BH401" i="1"/>
  <c r="AB401" i="1" s="1"/>
  <c r="BI401" i="1"/>
  <c r="BJ401" i="1"/>
  <c r="I402" i="1"/>
  <c r="J402" i="1"/>
  <c r="K402" i="1"/>
  <c r="Z402" i="1"/>
  <c r="AB402" i="1"/>
  <c r="AC402" i="1"/>
  <c r="AD402" i="1"/>
  <c r="AE402" i="1"/>
  <c r="AF402" i="1"/>
  <c r="AG402" i="1"/>
  <c r="AH402" i="1"/>
  <c r="AJ402" i="1"/>
  <c r="AK402" i="1"/>
  <c r="AL402" i="1"/>
  <c r="AO402" i="1"/>
  <c r="AP402" i="1"/>
  <c r="AX402" i="1" s="1"/>
  <c r="AW402" i="1"/>
  <c r="BD402" i="1"/>
  <c r="BF402" i="1"/>
  <c r="BH402" i="1"/>
  <c r="BI402" i="1"/>
  <c r="BJ402" i="1"/>
  <c r="I403" i="1"/>
  <c r="K403" i="1"/>
  <c r="AL403" i="1" s="1"/>
  <c r="Z403" i="1"/>
  <c r="AB403" i="1"/>
  <c r="AD403" i="1"/>
  <c r="AE403" i="1"/>
  <c r="AF403" i="1"/>
  <c r="AG403" i="1"/>
  <c r="AH403" i="1"/>
  <c r="AJ403" i="1"/>
  <c r="AK403" i="1"/>
  <c r="AO403" i="1"/>
  <c r="AW403" i="1" s="1"/>
  <c r="AP403" i="1"/>
  <c r="J403" i="1" s="1"/>
  <c r="BD403" i="1"/>
  <c r="BF403" i="1"/>
  <c r="BH403" i="1"/>
  <c r="BI403" i="1"/>
  <c r="AC403" i="1" s="1"/>
  <c r="BJ403" i="1"/>
  <c r="K404" i="1"/>
  <c r="AL404" i="1" s="1"/>
  <c r="Z404" i="1"/>
  <c r="AD404" i="1"/>
  <c r="AE404" i="1"/>
  <c r="AF404" i="1"/>
  <c r="AG404" i="1"/>
  <c r="AH404" i="1"/>
  <c r="AJ404" i="1"/>
  <c r="AK404" i="1"/>
  <c r="AO404" i="1"/>
  <c r="I404" i="1" s="1"/>
  <c r="AP404" i="1"/>
  <c r="BI404" i="1" s="1"/>
  <c r="AC404" i="1" s="1"/>
  <c r="BD404" i="1"/>
  <c r="BF404" i="1"/>
  <c r="BH404" i="1"/>
  <c r="AB404" i="1" s="1"/>
  <c r="BJ404" i="1"/>
  <c r="J405" i="1"/>
  <c r="K405" i="1"/>
  <c r="AL405" i="1" s="1"/>
  <c r="Z405" i="1"/>
  <c r="AC405" i="1"/>
  <c r="AD405" i="1"/>
  <c r="AE405" i="1"/>
  <c r="AF405" i="1"/>
  <c r="AG405" i="1"/>
  <c r="AH405" i="1"/>
  <c r="AJ405" i="1"/>
  <c r="AK405" i="1"/>
  <c r="AO405" i="1"/>
  <c r="AP405" i="1"/>
  <c r="AX405" i="1"/>
  <c r="BD405" i="1"/>
  <c r="BF405" i="1"/>
  <c r="BH405" i="1"/>
  <c r="AB405" i="1" s="1"/>
  <c r="BI405" i="1"/>
  <c r="BJ405" i="1"/>
  <c r="I406" i="1"/>
  <c r="J406" i="1"/>
  <c r="K406" i="1"/>
  <c r="Z406" i="1"/>
  <c r="AB406" i="1"/>
  <c r="AC406" i="1"/>
  <c r="AD406" i="1"/>
  <c r="AE406" i="1"/>
  <c r="AF406" i="1"/>
  <c r="AG406" i="1"/>
  <c r="AH406" i="1"/>
  <c r="AJ406" i="1"/>
  <c r="AK406" i="1"/>
  <c r="AL406" i="1"/>
  <c r="AO406" i="1"/>
  <c r="AP406" i="1"/>
  <c r="AX406" i="1" s="1"/>
  <c r="AW406" i="1"/>
  <c r="BD406" i="1"/>
  <c r="BF406" i="1"/>
  <c r="BH406" i="1"/>
  <c r="BI406" i="1"/>
  <c r="BJ406" i="1"/>
  <c r="I408" i="1"/>
  <c r="K408" i="1"/>
  <c r="AL408" i="1" s="1"/>
  <c r="Z408" i="1"/>
  <c r="AD408" i="1"/>
  <c r="AE408" i="1"/>
  <c r="AF408" i="1"/>
  <c r="AG408" i="1"/>
  <c r="AH408" i="1"/>
  <c r="AJ408" i="1"/>
  <c r="AK408" i="1"/>
  <c r="AO408" i="1"/>
  <c r="AW408" i="1" s="1"/>
  <c r="AP408" i="1"/>
  <c r="J408" i="1" s="1"/>
  <c r="BD408" i="1"/>
  <c r="BF408" i="1"/>
  <c r="BI408" i="1"/>
  <c r="AC408" i="1" s="1"/>
  <c r="BJ408" i="1"/>
  <c r="K409" i="1"/>
  <c r="AL409" i="1" s="1"/>
  <c r="Z409" i="1"/>
  <c r="AD409" i="1"/>
  <c r="AE409" i="1"/>
  <c r="AF409" i="1"/>
  <c r="AG409" i="1"/>
  <c r="AH409" i="1"/>
  <c r="AJ409" i="1"/>
  <c r="AK409" i="1"/>
  <c r="AO409" i="1"/>
  <c r="I409" i="1" s="1"/>
  <c r="AP409" i="1"/>
  <c r="BD409" i="1"/>
  <c r="BF409" i="1"/>
  <c r="BI409" i="1"/>
  <c r="AC409" i="1" s="1"/>
  <c r="BJ409" i="1"/>
  <c r="J410" i="1"/>
  <c r="K410" i="1"/>
  <c r="AL410" i="1" s="1"/>
  <c r="Z410" i="1"/>
  <c r="AC410" i="1"/>
  <c r="AD410" i="1"/>
  <c r="AE410" i="1"/>
  <c r="AF410" i="1"/>
  <c r="AG410" i="1"/>
  <c r="AH410" i="1"/>
  <c r="AJ410" i="1"/>
  <c r="AK410" i="1"/>
  <c r="AO410" i="1"/>
  <c r="AP410" i="1"/>
  <c r="AX410" i="1"/>
  <c r="BD410" i="1"/>
  <c r="BF410" i="1"/>
  <c r="BH410" i="1"/>
  <c r="AB410" i="1" s="1"/>
  <c r="BI410" i="1"/>
  <c r="BJ410" i="1"/>
  <c r="I411" i="1"/>
  <c r="J411" i="1"/>
  <c r="K411" i="1"/>
  <c r="Z411" i="1"/>
  <c r="AB411" i="1"/>
  <c r="AC411" i="1"/>
  <c r="AD411" i="1"/>
  <c r="AE411" i="1"/>
  <c r="AF411" i="1"/>
  <c r="AG411" i="1"/>
  <c r="AH411" i="1"/>
  <c r="AJ411" i="1"/>
  <c r="AK411" i="1"/>
  <c r="AL411" i="1"/>
  <c r="AO411" i="1"/>
  <c r="AP411" i="1"/>
  <c r="AX411" i="1" s="1"/>
  <c r="AW411" i="1"/>
  <c r="BD411" i="1"/>
  <c r="BF411" i="1"/>
  <c r="BH411" i="1"/>
  <c r="BI411" i="1"/>
  <c r="BJ411" i="1"/>
  <c r="I413" i="1"/>
  <c r="K413" i="1"/>
  <c r="AL413" i="1" s="1"/>
  <c r="Z413" i="1"/>
  <c r="AB413" i="1"/>
  <c r="AD413" i="1"/>
  <c r="AE413" i="1"/>
  <c r="AF413" i="1"/>
  <c r="AG413" i="1"/>
  <c r="AH413" i="1"/>
  <c r="AJ413" i="1"/>
  <c r="AK413" i="1"/>
  <c r="AO413" i="1"/>
  <c r="AW413" i="1" s="1"/>
  <c r="AP413" i="1"/>
  <c r="J413" i="1" s="1"/>
  <c r="BD413" i="1"/>
  <c r="BF413" i="1"/>
  <c r="BH413" i="1"/>
  <c r="BI413" i="1"/>
  <c r="AC413" i="1" s="1"/>
  <c r="BJ413" i="1"/>
  <c r="K415" i="1"/>
  <c r="AL415" i="1" s="1"/>
  <c r="Z415" i="1"/>
  <c r="AD415" i="1"/>
  <c r="AE415" i="1"/>
  <c r="AF415" i="1"/>
  <c r="AG415" i="1"/>
  <c r="AH415" i="1"/>
  <c r="AJ415" i="1"/>
  <c r="AK415" i="1"/>
  <c r="AO415" i="1"/>
  <c r="I415" i="1" s="1"/>
  <c r="AP415" i="1"/>
  <c r="BI415" i="1" s="1"/>
  <c r="AC415" i="1" s="1"/>
  <c r="BD415" i="1"/>
  <c r="BF415" i="1"/>
  <c r="BH415" i="1"/>
  <c r="AB415" i="1" s="1"/>
  <c r="BJ415" i="1"/>
  <c r="J416" i="1"/>
  <c r="K416" i="1"/>
  <c r="AL416" i="1" s="1"/>
  <c r="Z416" i="1"/>
  <c r="AC416" i="1"/>
  <c r="AD416" i="1"/>
  <c r="AE416" i="1"/>
  <c r="AF416" i="1"/>
  <c r="AG416" i="1"/>
  <c r="AH416" i="1"/>
  <c r="AJ416" i="1"/>
  <c r="AK416" i="1"/>
  <c r="AO416" i="1"/>
  <c r="AP416" i="1"/>
  <c r="AX416" i="1"/>
  <c r="BD416" i="1"/>
  <c r="BF416" i="1"/>
  <c r="BH416" i="1"/>
  <c r="AB416" i="1" s="1"/>
  <c r="BI416" i="1"/>
  <c r="BJ416" i="1"/>
  <c r="I418" i="1"/>
  <c r="J418" i="1"/>
  <c r="K418" i="1"/>
  <c r="Z418" i="1"/>
  <c r="AB418" i="1"/>
  <c r="AC418" i="1"/>
  <c r="AD418" i="1"/>
  <c r="AE418" i="1"/>
  <c r="AF418" i="1"/>
  <c r="AG418" i="1"/>
  <c r="AH418" i="1"/>
  <c r="AJ418" i="1"/>
  <c r="AK418" i="1"/>
  <c r="AL418" i="1"/>
  <c r="AO418" i="1"/>
  <c r="AP418" i="1"/>
  <c r="AX418" i="1" s="1"/>
  <c r="AW418" i="1"/>
  <c r="BD418" i="1"/>
  <c r="BF418" i="1"/>
  <c r="BH418" i="1"/>
  <c r="BI418" i="1"/>
  <c r="BJ418" i="1"/>
  <c r="I419" i="1"/>
  <c r="K419" i="1"/>
  <c r="AL419" i="1" s="1"/>
  <c r="Z419" i="1"/>
  <c r="AB419" i="1"/>
  <c r="AD419" i="1"/>
  <c r="AE419" i="1"/>
  <c r="AF419" i="1"/>
  <c r="AG419" i="1"/>
  <c r="AH419" i="1"/>
  <c r="AJ419" i="1"/>
  <c r="AK419" i="1"/>
  <c r="AO419" i="1"/>
  <c r="AW419" i="1" s="1"/>
  <c r="AP419" i="1"/>
  <c r="J419" i="1" s="1"/>
  <c r="BD419" i="1"/>
  <c r="BF419" i="1"/>
  <c r="BH419" i="1"/>
  <c r="BJ419" i="1"/>
  <c r="K420" i="1"/>
  <c r="AL420" i="1" s="1"/>
  <c r="Z420" i="1"/>
  <c r="AD420" i="1"/>
  <c r="AE420" i="1"/>
  <c r="AF420" i="1"/>
  <c r="AG420" i="1"/>
  <c r="AH420" i="1"/>
  <c r="AJ420" i="1"/>
  <c r="AK420" i="1"/>
  <c r="AO420" i="1"/>
  <c r="I420" i="1" s="1"/>
  <c r="AP420" i="1"/>
  <c r="BI420" i="1" s="1"/>
  <c r="AC420" i="1" s="1"/>
  <c r="BD420" i="1"/>
  <c r="BF420" i="1"/>
  <c r="BH420" i="1"/>
  <c r="AB420" i="1" s="1"/>
  <c r="BJ420" i="1"/>
  <c r="K423" i="1"/>
  <c r="Z423" i="1"/>
  <c r="AD423" i="1"/>
  <c r="AE423" i="1"/>
  <c r="AF423" i="1"/>
  <c r="AG423" i="1"/>
  <c r="AH423" i="1"/>
  <c r="AJ423" i="1"/>
  <c r="AK423" i="1"/>
  <c r="AL423" i="1"/>
  <c r="AO423" i="1"/>
  <c r="I423" i="1" s="1"/>
  <c r="AP423" i="1"/>
  <c r="AX423" i="1" s="1"/>
  <c r="AW423" i="1"/>
  <c r="BD423" i="1"/>
  <c r="BF423" i="1"/>
  <c r="BH423" i="1"/>
  <c r="AB423" i="1" s="1"/>
  <c r="BJ423" i="1"/>
  <c r="K425" i="1"/>
  <c r="AL425" i="1" s="1"/>
  <c r="Z425" i="1"/>
  <c r="AD425" i="1"/>
  <c r="AE425" i="1"/>
  <c r="AF425" i="1"/>
  <c r="AG425" i="1"/>
  <c r="AH425" i="1"/>
  <c r="AJ425" i="1"/>
  <c r="AK425" i="1"/>
  <c r="AO425" i="1"/>
  <c r="AW425" i="1" s="1"/>
  <c r="AP425" i="1"/>
  <c r="J425" i="1" s="1"/>
  <c r="BD425" i="1"/>
  <c r="BF425" i="1"/>
  <c r="BH425" i="1"/>
  <c r="AB425" i="1" s="1"/>
  <c r="BJ425" i="1"/>
  <c r="K427" i="1"/>
  <c r="AL427" i="1" s="1"/>
  <c r="Z427" i="1"/>
  <c r="AD427" i="1"/>
  <c r="AE427" i="1"/>
  <c r="AF427" i="1"/>
  <c r="AG427" i="1"/>
  <c r="AH427" i="1"/>
  <c r="AJ427" i="1"/>
  <c r="AK427" i="1"/>
  <c r="AO427" i="1"/>
  <c r="I427" i="1" s="1"/>
  <c r="AP427" i="1"/>
  <c r="BI427" i="1" s="1"/>
  <c r="AC427" i="1" s="1"/>
  <c r="BD427" i="1"/>
  <c r="BF427" i="1"/>
  <c r="BH427" i="1"/>
  <c r="AB427" i="1" s="1"/>
  <c r="BJ427" i="1"/>
  <c r="K429" i="1"/>
  <c r="AL429" i="1" s="1"/>
  <c r="Z429" i="1"/>
  <c r="AD429" i="1"/>
  <c r="AE429" i="1"/>
  <c r="AF429" i="1"/>
  <c r="AG429" i="1"/>
  <c r="AH429" i="1"/>
  <c r="AJ429" i="1"/>
  <c r="AK429" i="1"/>
  <c r="AO429" i="1"/>
  <c r="I429" i="1" s="1"/>
  <c r="AP429" i="1"/>
  <c r="AX429" i="1" s="1"/>
  <c r="BD429" i="1"/>
  <c r="BF429" i="1"/>
  <c r="BJ429" i="1"/>
  <c r="K431" i="1"/>
  <c r="AL431" i="1" s="1"/>
  <c r="Z431" i="1"/>
  <c r="AD431" i="1"/>
  <c r="AE431" i="1"/>
  <c r="AF431" i="1"/>
  <c r="AG431" i="1"/>
  <c r="AH431" i="1"/>
  <c r="AJ431" i="1"/>
  <c r="AK431" i="1"/>
  <c r="AO431" i="1"/>
  <c r="BH431" i="1" s="1"/>
  <c r="AB431" i="1" s="1"/>
  <c r="AP431" i="1"/>
  <c r="AX431" i="1" s="1"/>
  <c r="BD431" i="1"/>
  <c r="BF431" i="1"/>
  <c r="BJ431" i="1"/>
  <c r="K433" i="1"/>
  <c r="AL433" i="1" s="1"/>
  <c r="Z433" i="1"/>
  <c r="AD433" i="1"/>
  <c r="AE433" i="1"/>
  <c r="AF433" i="1"/>
  <c r="AG433" i="1"/>
  <c r="AH433" i="1"/>
  <c r="AJ433" i="1"/>
  <c r="AK433" i="1"/>
  <c r="AO433" i="1"/>
  <c r="AW433" i="1" s="1"/>
  <c r="AP433" i="1"/>
  <c r="BD433" i="1"/>
  <c r="BF433" i="1"/>
  <c r="BH433" i="1"/>
  <c r="AB433" i="1" s="1"/>
  <c r="BI433" i="1"/>
  <c r="AC433" i="1" s="1"/>
  <c r="BJ433" i="1"/>
  <c r="K435" i="1"/>
  <c r="AL435" i="1" s="1"/>
  <c r="Z435" i="1"/>
  <c r="AD435" i="1"/>
  <c r="AE435" i="1"/>
  <c r="AF435" i="1"/>
  <c r="AG435" i="1"/>
  <c r="AH435" i="1"/>
  <c r="AJ435" i="1"/>
  <c r="AK435" i="1"/>
  <c r="AO435" i="1"/>
  <c r="AP435" i="1"/>
  <c r="J435" i="1" s="1"/>
  <c r="BD435" i="1"/>
  <c r="BF435" i="1"/>
  <c r="BJ435" i="1"/>
  <c r="K437" i="1"/>
  <c r="AL437" i="1" s="1"/>
  <c r="Z437" i="1"/>
  <c r="AD437" i="1"/>
  <c r="AE437" i="1"/>
  <c r="AF437" i="1"/>
  <c r="AG437" i="1"/>
  <c r="AH437" i="1"/>
  <c r="AJ437" i="1"/>
  <c r="AK437" i="1"/>
  <c r="AO437" i="1"/>
  <c r="I437" i="1" s="1"/>
  <c r="AP437" i="1"/>
  <c r="AX437" i="1" s="1"/>
  <c r="BD437" i="1"/>
  <c r="BF437" i="1"/>
  <c r="BI437" i="1"/>
  <c r="AC437" i="1" s="1"/>
  <c r="BJ437" i="1"/>
  <c r="K439" i="1"/>
  <c r="AL439" i="1" s="1"/>
  <c r="Z439" i="1"/>
  <c r="AD439" i="1"/>
  <c r="AE439" i="1"/>
  <c r="AF439" i="1"/>
  <c r="AG439" i="1"/>
  <c r="AH439" i="1"/>
  <c r="AJ439" i="1"/>
  <c r="AK439" i="1"/>
  <c r="AO439" i="1"/>
  <c r="BH439" i="1" s="1"/>
  <c r="AB439" i="1" s="1"/>
  <c r="AP439" i="1"/>
  <c r="AX439" i="1" s="1"/>
  <c r="BD439" i="1"/>
  <c r="BF439" i="1"/>
  <c r="BJ439" i="1"/>
  <c r="I441" i="1"/>
  <c r="K441" i="1"/>
  <c r="AL441" i="1" s="1"/>
  <c r="Z441" i="1"/>
  <c r="AD441" i="1"/>
  <c r="AE441" i="1"/>
  <c r="AF441" i="1"/>
  <c r="AG441" i="1"/>
  <c r="AH441" i="1"/>
  <c r="AJ441" i="1"/>
  <c r="AK441" i="1"/>
  <c r="AO441" i="1"/>
  <c r="AW441" i="1" s="1"/>
  <c r="AP441" i="1"/>
  <c r="BI441" i="1" s="1"/>
  <c r="AC441" i="1" s="1"/>
  <c r="BD441" i="1"/>
  <c r="BF441" i="1"/>
  <c r="BH441" i="1"/>
  <c r="AB441" i="1" s="1"/>
  <c r="BJ441" i="1"/>
  <c r="K444" i="1"/>
  <c r="Z444" i="1"/>
  <c r="AD444" i="1"/>
  <c r="AE444" i="1"/>
  <c r="AF444" i="1"/>
  <c r="AG444" i="1"/>
  <c r="AH444" i="1"/>
  <c r="AJ444" i="1"/>
  <c r="AK444" i="1"/>
  <c r="AL444" i="1"/>
  <c r="AO444" i="1"/>
  <c r="BH444" i="1" s="1"/>
  <c r="AB444" i="1" s="1"/>
  <c r="AP444" i="1"/>
  <c r="AX444" i="1" s="1"/>
  <c r="BD444" i="1"/>
  <c r="BF444" i="1"/>
  <c r="BI444" i="1"/>
  <c r="AC444" i="1" s="1"/>
  <c r="BJ444" i="1"/>
  <c r="I446" i="1"/>
  <c r="K446" i="1"/>
  <c r="AL446" i="1" s="1"/>
  <c r="Z446" i="1"/>
  <c r="AB446" i="1"/>
  <c r="AD446" i="1"/>
  <c r="AE446" i="1"/>
  <c r="AF446" i="1"/>
  <c r="AG446" i="1"/>
  <c r="AH446" i="1"/>
  <c r="AJ446" i="1"/>
  <c r="AK446" i="1"/>
  <c r="AO446" i="1"/>
  <c r="AW446" i="1" s="1"/>
  <c r="AP446" i="1"/>
  <c r="BD446" i="1"/>
  <c r="BF446" i="1"/>
  <c r="BH446" i="1"/>
  <c r="BI446" i="1"/>
  <c r="AC446" i="1" s="1"/>
  <c r="BJ446" i="1"/>
  <c r="K447" i="1"/>
  <c r="AL447" i="1" s="1"/>
  <c r="Z447" i="1"/>
  <c r="AD447" i="1"/>
  <c r="AE447" i="1"/>
  <c r="AF447" i="1"/>
  <c r="AG447" i="1"/>
  <c r="AH447" i="1"/>
  <c r="AJ447" i="1"/>
  <c r="AK447" i="1"/>
  <c r="AO447" i="1"/>
  <c r="AP447" i="1"/>
  <c r="J447" i="1" s="1"/>
  <c r="AX447" i="1"/>
  <c r="BD447" i="1"/>
  <c r="BF447" i="1"/>
  <c r="BH447" i="1"/>
  <c r="AB447" i="1" s="1"/>
  <c r="BJ447" i="1"/>
  <c r="J449" i="1"/>
  <c r="K449" i="1"/>
  <c r="Z449" i="1"/>
  <c r="AC449" i="1"/>
  <c r="AD449" i="1"/>
  <c r="AE449" i="1"/>
  <c r="AF449" i="1"/>
  <c r="AG449" i="1"/>
  <c r="AH449" i="1"/>
  <c r="AJ449" i="1"/>
  <c r="AK449" i="1"/>
  <c r="AO449" i="1"/>
  <c r="I449" i="1" s="1"/>
  <c r="AP449" i="1"/>
  <c r="AX449" i="1"/>
  <c r="BD449" i="1"/>
  <c r="BF449" i="1"/>
  <c r="BI449" i="1"/>
  <c r="BJ449" i="1"/>
  <c r="I451" i="1"/>
  <c r="J451" i="1"/>
  <c r="K451" i="1"/>
  <c r="AL451" i="1" s="1"/>
  <c r="Z451" i="1"/>
  <c r="AD451" i="1"/>
  <c r="AE451" i="1"/>
  <c r="AF451" i="1"/>
  <c r="AG451" i="1"/>
  <c r="AH451" i="1"/>
  <c r="AJ451" i="1"/>
  <c r="AK451" i="1"/>
  <c r="AO451" i="1"/>
  <c r="AP451" i="1"/>
  <c r="AX451" i="1" s="1"/>
  <c r="AV451" i="1"/>
  <c r="AW451" i="1"/>
  <c r="BD451" i="1"/>
  <c r="BF451" i="1"/>
  <c r="BH451" i="1"/>
  <c r="AB451" i="1" s="1"/>
  <c r="BI451" i="1"/>
  <c r="AC451" i="1" s="1"/>
  <c r="BJ451" i="1"/>
  <c r="I453" i="1"/>
  <c r="K453" i="1"/>
  <c r="AL453" i="1" s="1"/>
  <c r="Z453" i="1"/>
  <c r="AD453" i="1"/>
  <c r="AE453" i="1"/>
  <c r="AF453" i="1"/>
  <c r="AG453" i="1"/>
  <c r="AH453" i="1"/>
  <c r="AJ453" i="1"/>
  <c r="AK453" i="1"/>
  <c r="AO453" i="1"/>
  <c r="AW453" i="1" s="1"/>
  <c r="AP453" i="1"/>
  <c r="BD453" i="1"/>
  <c r="BF453" i="1"/>
  <c r="BH453" i="1"/>
  <c r="AB453" i="1" s="1"/>
  <c r="BJ453" i="1"/>
  <c r="K455" i="1"/>
  <c r="AL455" i="1" s="1"/>
  <c r="Z455" i="1"/>
  <c r="AD455" i="1"/>
  <c r="AE455" i="1"/>
  <c r="AF455" i="1"/>
  <c r="AG455" i="1"/>
  <c r="AH455" i="1"/>
  <c r="AJ455" i="1"/>
  <c r="AK455" i="1"/>
  <c r="AO455" i="1"/>
  <c r="BH455" i="1" s="1"/>
  <c r="AB455" i="1" s="1"/>
  <c r="AP455" i="1"/>
  <c r="J455" i="1" s="1"/>
  <c r="BD455" i="1"/>
  <c r="BF455" i="1"/>
  <c r="BI455" i="1"/>
  <c r="AC455" i="1" s="1"/>
  <c r="BJ455" i="1"/>
  <c r="J457" i="1"/>
  <c r="K457" i="1"/>
  <c r="Z457" i="1"/>
  <c r="AC457" i="1"/>
  <c r="AD457" i="1"/>
  <c r="AE457" i="1"/>
  <c r="AF457" i="1"/>
  <c r="AG457" i="1"/>
  <c r="AH457" i="1"/>
  <c r="AJ457" i="1"/>
  <c r="AK457" i="1"/>
  <c r="AL457" i="1"/>
  <c r="AO457" i="1"/>
  <c r="I457" i="1" s="1"/>
  <c r="AP457" i="1"/>
  <c r="AW457" i="1"/>
  <c r="AX457" i="1"/>
  <c r="BD457" i="1"/>
  <c r="BF457" i="1"/>
  <c r="BH457" i="1"/>
  <c r="AB457" i="1" s="1"/>
  <c r="BI457" i="1"/>
  <c r="BJ457" i="1"/>
  <c r="I459" i="1"/>
  <c r="J459" i="1"/>
  <c r="K459" i="1"/>
  <c r="Z459" i="1"/>
  <c r="AB459" i="1"/>
  <c r="AC459" i="1"/>
  <c r="AD459" i="1"/>
  <c r="AE459" i="1"/>
  <c r="AF459" i="1"/>
  <c r="AG459" i="1"/>
  <c r="AH459" i="1"/>
  <c r="AJ459" i="1"/>
  <c r="AK459" i="1"/>
  <c r="AL459" i="1"/>
  <c r="AO459" i="1"/>
  <c r="AP459" i="1"/>
  <c r="AX459" i="1" s="1"/>
  <c r="AW459" i="1"/>
  <c r="BC459" i="1" s="1"/>
  <c r="BD459" i="1"/>
  <c r="BF459" i="1"/>
  <c r="BH459" i="1"/>
  <c r="BI459" i="1"/>
  <c r="BJ459" i="1"/>
  <c r="I461" i="1"/>
  <c r="K461" i="1"/>
  <c r="AL461" i="1" s="1"/>
  <c r="Z461" i="1"/>
  <c r="AD461" i="1"/>
  <c r="AE461" i="1"/>
  <c r="AF461" i="1"/>
  <c r="AG461" i="1"/>
  <c r="AH461" i="1"/>
  <c r="AJ461" i="1"/>
  <c r="AK461" i="1"/>
  <c r="AO461" i="1"/>
  <c r="AW461" i="1" s="1"/>
  <c r="AP461" i="1"/>
  <c r="BD461" i="1"/>
  <c r="BF461" i="1"/>
  <c r="BH461" i="1"/>
  <c r="AB461" i="1" s="1"/>
  <c r="BI461" i="1"/>
  <c r="AC461" i="1" s="1"/>
  <c r="BJ461" i="1"/>
  <c r="B2" i="2"/>
  <c r="E2" i="2"/>
  <c r="B4" i="2"/>
  <c r="E4" i="2"/>
  <c r="B6" i="2"/>
  <c r="E6" i="2"/>
  <c r="B8" i="2"/>
  <c r="I11" i="2"/>
  <c r="E12" i="2"/>
  <c r="G17" i="2"/>
  <c r="I17" i="2" s="1"/>
  <c r="E20" i="2"/>
  <c r="G20" i="2"/>
  <c r="I20" i="2" s="1"/>
  <c r="G22" i="2"/>
  <c r="I22" i="2" s="1"/>
  <c r="I36" i="2"/>
  <c r="C2" i="3"/>
  <c r="F2" i="3"/>
  <c r="C4" i="3"/>
  <c r="F4" i="3"/>
  <c r="C6" i="3"/>
  <c r="F6" i="3"/>
  <c r="C8" i="3"/>
  <c r="BI24" i="1" l="1"/>
  <c r="AC24" i="1" s="1"/>
  <c r="AX24" i="1"/>
  <c r="AT21" i="1"/>
  <c r="AS21" i="1"/>
  <c r="BI22" i="1"/>
  <c r="AC22" i="1" s="1"/>
  <c r="AX22" i="1"/>
  <c r="BI17" i="1"/>
  <c r="AC17" i="1" s="1"/>
  <c r="AL17" i="1"/>
  <c r="AU16" i="1" s="1"/>
  <c r="AS443" i="1"/>
  <c r="K443" i="1"/>
  <c r="G38" i="2" s="1"/>
  <c r="I38" i="2" s="1"/>
  <c r="AL14" i="1"/>
  <c r="AU13" i="1" s="1"/>
  <c r="AW38" i="1"/>
  <c r="BH38" i="1"/>
  <c r="AB38" i="1" s="1"/>
  <c r="AW58" i="1"/>
  <c r="BH58" i="1"/>
  <c r="AB58" i="1" s="1"/>
  <c r="AW80" i="1"/>
  <c r="BH80" i="1"/>
  <c r="AB80" i="1" s="1"/>
  <c r="AU86" i="1"/>
  <c r="AU200" i="1"/>
  <c r="AX281" i="1"/>
  <c r="BH281" i="1"/>
  <c r="AD281" i="1" s="1"/>
  <c r="AW281" i="1"/>
  <c r="AT292" i="1"/>
  <c r="AX348" i="1"/>
  <c r="BI431" i="1"/>
  <c r="AC431" i="1" s="1"/>
  <c r="BI439" i="1"/>
  <c r="AC439" i="1" s="1"/>
  <c r="J439" i="1"/>
  <c r="AW439" i="1"/>
  <c r="AV439" i="1" s="1"/>
  <c r="I439" i="1"/>
  <c r="I444" i="1"/>
  <c r="AW444" i="1"/>
  <c r="BC444" i="1" s="1"/>
  <c r="J444" i="1"/>
  <c r="J437" i="1"/>
  <c r="I433" i="1"/>
  <c r="J431" i="1"/>
  <c r="AW431" i="1"/>
  <c r="BC431" i="1" s="1"/>
  <c r="I431" i="1"/>
  <c r="J429" i="1"/>
  <c r="BI429" i="1"/>
  <c r="AC429" i="1" s="1"/>
  <c r="BH429" i="1"/>
  <c r="AB429" i="1" s="1"/>
  <c r="AW429" i="1"/>
  <c r="BC429" i="1" s="1"/>
  <c r="I425" i="1"/>
  <c r="AS422" i="1"/>
  <c r="J423" i="1"/>
  <c r="BI423" i="1"/>
  <c r="AC423" i="1" s="1"/>
  <c r="AX323" i="1"/>
  <c r="AT322" i="1"/>
  <c r="AS312" i="1"/>
  <c r="BI313" i="1"/>
  <c r="AE313" i="1" s="1"/>
  <c r="BI293" i="1"/>
  <c r="AE293" i="1" s="1"/>
  <c r="AX293" i="1"/>
  <c r="AT280" i="1"/>
  <c r="AX241" i="1"/>
  <c r="J201" i="1"/>
  <c r="BI201" i="1"/>
  <c r="AE201" i="1" s="1"/>
  <c r="BI87" i="1"/>
  <c r="AX87" i="1"/>
  <c r="BC87" i="1" s="1"/>
  <c r="AU79" i="1"/>
  <c r="J58" i="1"/>
  <c r="I56" i="1"/>
  <c r="I55" i="1" s="1"/>
  <c r="E21" i="2" s="1"/>
  <c r="BI56" i="1"/>
  <c r="AC56" i="1" s="1"/>
  <c r="AL56" i="1"/>
  <c r="AU55" i="1" s="1"/>
  <c r="BI38" i="1"/>
  <c r="AC38" i="1" s="1"/>
  <c r="AW17" i="1"/>
  <c r="I17" i="1"/>
  <c r="I16" i="1" s="1"/>
  <c r="E13" i="2" s="1"/>
  <c r="J27" i="1"/>
  <c r="BI27" i="1"/>
  <c r="AC27" i="1" s="1"/>
  <c r="K18" i="1"/>
  <c r="G14" i="2" s="1"/>
  <c r="I14" i="2" s="1"/>
  <c r="BH19" i="1"/>
  <c r="AB19" i="1" s="1"/>
  <c r="AW19" i="1"/>
  <c r="BC457" i="1"/>
  <c r="AV457" i="1"/>
  <c r="J453" i="1"/>
  <c r="AX453" i="1"/>
  <c r="I435" i="1"/>
  <c r="AW435" i="1"/>
  <c r="AU422" i="1"/>
  <c r="BC418" i="1"/>
  <c r="AV418" i="1"/>
  <c r="I416" i="1"/>
  <c r="AW416" i="1"/>
  <c r="BC406" i="1"/>
  <c r="AV406" i="1"/>
  <c r="I405" i="1"/>
  <c r="AW405" i="1"/>
  <c r="J396" i="1"/>
  <c r="AX396" i="1"/>
  <c r="BC390" i="1"/>
  <c r="AV390" i="1"/>
  <c r="I389" i="1"/>
  <c r="AW389" i="1"/>
  <c r="AX380" i="1"/>
  <c r="J380" i="1"/>
  <c r="I373" i="1"/>
  <c r="AW373" i="1"/>
  <c r="BH373" i="1"/>
  <c r="AB373" i="1" s="1"/>
  <c r="J372" i="1"/>
  <c r="AX372" i="1"/>
  <c r="BI372" i="1"/>
  <c r="AC372" i="1" s="1"/>
  <c r="I360" i="1"/>
  <c r="AW360" i="1"/>
  <c r="BH360" i="1"/>
  <c r="AB360" i="1" s="1"/>
  <c r="BC349" i="1"/>
  <c r="AV349" i="1"/>
  <c r="BC274" i="1"/>
  <c r="AV274" i="1"/>
  <c r="AW259" i="1"/>
  <c r="I259" i="1"/>
  <c r="BH259" i="1"/>
  <c r="AD259" i="1" s="1"/>
  <c r="J247" i="1"/>
  <c r="AX247" i="1"/>
  <c r="AV459" i="1"/>
  <c r="AX455" i="1"/>
  <c r="AL449" i="1"/>
  <c r="AU443" i="1" s="1"/>
  <c r="I447" i="1"/>
  <c r="AW447" i="1"/>
  <c r="AV444" i="1"/>
  <c r="AT443" i="1"/>
  <c r="BH437" i="1"/>
  <c r="AB437" i="1" s="1"/>
  <c r="AW437" i="1"/>
  <c r="BI435" i="1"/>
  <c r="AC435" i="1" s="1"/>
  <c r="J433" i="1"/>
  <c r="AX433" i="1"/>
  <c r="BC423" i="1"/>
  <c r="AV423" i="1"/>
  <c r="AT422" i="1"/>
  <c r="BC411" i="1"/>
  <c r="AV411" i="1"/>
  <c r="I410" i="1"/>
  <c r="AW410" i="1"/>
  <c r="BC402" i="1"/>
  <c r="AV402" i="1"/>
  <c r="I401" i="1"/>
  <c r="AW401" i="1"/>
  <c r="J392" i="1"/>
  <c r="AX392" i="1"/>
  <c r="BC386" i="1"/>
  <c r="AV386" i="1"/>
  <c r="I385" i="1"/>
  <c r="AW385" i="1"/>
  <c r="BC383" i="1"/>
  <c r="J376" i="1"/>
  <c r="AX376" i="1"/>
  <c r="J351" i="1"/>
  <c r="J347" i="1" s="1"/>
  <c r="F35" i="2" s="1"/>
  <c r="AX351" i="1"/>
  <c r="BI351" i="1"/>
  <c r="AC351" i="1" s="1"/>
  <c r="BC350" i="1"/>
  <c r="AV350" i="1"/>
  <c r="AT347" i="1"/>
  <c r="AU292" i="1"/>
  <c r="BC289" i="1"/>
  <c r="AV289" i="1"/>
  <c r="AV268" i="1"/>
  <c r="BC268" i="1"/>
  <c r="BC262" i="1"/>
  <c r="AV262" i="1"/>
  <c r="BI247" i="1"/>
  <c r="AE247" i="1" s="1"/>
  <c r="J461" i="1"/>
  <c r="AX461" i="1"/>
  <c r="AV461" i="1" s="1"/>
  <c r="BI453" i="1"/>
  <c r="AC453" i="1" s="1"/>
  <c r="BC451" i="1"/>
  <c r="BH449" i="1"/>
  <c r="AB449" i="1" s="1"/>
  <c r="AW449" i="1"/>
  <c r="BI447" i="1"/>
  <c r="AC447" i="1" s="1"/>
  <c r="J446" i="1"/>
  <c r="J443" i="1" s="1"/>
  <c r="F38" i="2" s="1"/>
  <c r="AX446" i="1"/>
  <c r="AV446" i="1" s="1"/>
  <c r="BH435" i="1"/>
  <c r="AB435" i="1" s="1"/>
  <c r="AX435" i="1"/>
  <c r="J420" i="1"/>
  <c r="AX420" i="1"/>
  <c r="AX415" i="1"/>
  <c r="J415" i="1"/>
  <c r="J409" i="1"/>
  <c r="AX409" i="1"/>
  <c r="J404" i="1"/>
  <c r="AX404" i="1"/>
  <c r="BC398" i="1"/>
  <c r="AV398" i="1"/>
  <c r="I397" i="1"/>
  <c r="AW397" i="1"/>
  <c r="J388" i="1"/>
  <c r="AX388" i="1"/>
  <c r="BC382" i="1"/>
  <c r="AV382" i="1"/>
  <c r="I381" i="1"/>
  <c r="AW381" i="1"/>
  <c r="BC365" i="1"/>
  <c r="AV365" i="1"/>
  <c r="I357" i="1"/>
  <c r="AW357" i="1"/>
  <c r="BH357" i="1"/>
  <c r="AB357" i="1" s="1"/>
  <c r="J356" i="1"/>
  <c r="AX356" i="1"/>
  <c r="BI356" i="1"/>
  <c r="AC356" i="1" s="1"/>
  <c r="J334" i="1"/>
  <c r="AX334" i="1"/>
  <c r="BI334" i="1"/>
  <c r="AE334" i="1" s="1"/>
  <c r="BC333" i="1"/>
  <c r="AV333" i="1"/>
  <c r="J331" i="1"/>
  <c r="AX331" i="1"/>
  <c r="BI331" i="1"/>
  <c r="AE331" i="1" s="1"/>
  <c r="BC324" i="1"/>
  <c r="AV324" i="1"/>
  <c r="AT312" i="1"/>
  <c r="AS292" i="1"/>
  <c r="AL256" i="1"/>
  <c r="AU240" i="1" s="1"/>
  <c r="K240" i="1"/>
  <c r="G29" i="2" s="1"/>
  <c r="I29" i="2" s="1"/>
  <c r="AV252" i="1"/>
  <c r="BC252" i="1"/>
  <c r="I455" i="1"/>
  <c r="I443" i="1" s="1"/>
  <c r="E38" i="2" s="1"/>
  <c r="AW455" i="1"/>
  <c r="J441" i="1"/>
  <c r="AX441" i="1"/>
  <c r="AV441" i="1" s="1"/>
  <c r="J427" i="1"/>
  <c r="AX427" i="1"/>
  <c r="BC419" i="1"/>
  <c r="J400" i="1"/>
  <c r="AX400" i="1"/>
  <c r="BC394" i="1"/>
  <c r="AV394" i="1"/>
  <c r="AW393" i="1"/>
  <c r="I393" i="1"/>
  <c r="BC391" i="1"/>
  <c r="J384" i="1"/>
  <c r="AX384" i="1"/>
  <c r="BC378" i="1"/>
  <c r="AV378" i="1"/>
  <c r="I377" i="1"/>
  <c r="AW377" i="1"/>
  <c r="J367" i="1"/>
  <c r="AX367" i="1"/>
  <c r="BI367" i="1"/>
  <c r="AC367" i="1" s="1"/>
  <c r="BC366" i="1"/>
  <c r="AV366" i="1"/>
  <c r="K347" i="1"/>
  <c r="G35" i="2" s="1"/>
  <c r="I35" i="2" s="1"/>
  <c r="AL348" i="1"/>
  <c r="AU347" i="1" s="1"/>
  <c r="I335" i="1"/>
  <c r="AW335" i="1"/>
  <c r="BH335" i="1"/>
  <c r="AD335" i="1" s="1"/>
  <c r="I332" i="1"/>
  <c r="AW332" i="1"/>
  <c r="BH332" i="1"/>
  <c r="AD332" i="1" s="1"/>
  <c r="J320" i="1"/>
  <c r="AX320" i="1"/>
  <c r="BI320" i="1"/>
  <c r="AE320" i="1" s="1"/>
  <c r="BC313" i="1"/>
  <c r="AV313" i="1"/>
  <c r="BC311" i="1"/>
  <c r="AV311" i="1"/>
  <c r="BC301" i="1"/>
  <c r="AV301" i="1"/>
  <c r="BC269" i="1"/>
  <c r="AV269" i="1"/>
  <c r="J264" i="1"/>
  <c r="AX264" i="1"/>
  <c r="BI264" i="1"/>
  <c r="AE264" i="1" s="1"/>
  <c r="I260" i="1"/>
  <c r="AW260" i="1"/>
  <c r="BH260" i="1"/>
  <c r="AD260" i="1" s="1"/>
  <c r="BC253" i="1"/>
  <c r="AV253" i="1"/>
  <c r="AS240" i="1"/>
  <c r="AT240" i="1"/>
  <c r="J237" i="1"/>
  <c r="AX237" i="1"/>
  <c r="BI237" i="1"/>
  <c r="AE237" i="1" s="1"/>
  <c r="AX235" i="1"/>
  <c r="J235" i="1"/>
  <c r="BI235" i="1"/>
  <c r="AE235" i="1" s="1"/>
  <c r="AW234" i="1"/>
  <c r="BH234" i="1"/>
  <c r="AD234" i="1" s="1"/>
  <c r="I234" i="1"/>
  <c r="BI229" i="1"/>
  <c r="AE229" i="1" s="1"/>
  <c r="AX229" i="1"/>
  <c r="AV229" i="1" s="1"/>
  <c r="J229" i="1"/>
  <c r="AW189" i="1"/>
  <c r="I189" i="1"/>
  <c r="BH189" i="1"/>
  <c r="AD189" i="1" s="1"/>
  <c r="AV186" i="1"/>
  <c r="BC186" i="1"/>
  <c r="BI182" i="1"/>
  <c r="AE182" i="1" s="1"/>
  <c r="AX182" i="1"/>
  <c r="J182" i="1"/>
  <c r="J181" i="1"/>
  <c r="AX181" i="1"/>
  <c r="BI181" i="1"/>
  <c r="AE181" i="1" s="1"/>
  <c r="AU149" i="1"/>
  <c r="BI128" i="1"/>
  <c r="AE128" i="1" s="1"/>
  <c r="AX128" i="1"/>
  <c r="J128" i="1"/>
  <c r="J127" i="1"/>
  <c r="AX127" i="1"/>
  <c r="BI127" i="1"/>
  <c r="AE127" i="1" s="1"/>
  <c r="J111" i="1"/>
  <c r="AX111" i="1"/>
  <c r="BI111" i="1"/>
  <c r="AE111" i="1" s="1"/>
  <c r="AS100" i="1"/>
  <c r="BH409" i="1"/>
  <c r="AB409" i="1" s="1"/>
  <c r="I372" i="1"/>
  <c r="AW372" i="1"/>
  <c r="K341" i="1"/>
  <c r="G34" i="2" s="1"/>
  <c r="I34" i="2" s="1"/>
  <c r="J330" i="1"/>
  <c r="AX330" i="1"/>
  <c r="BC321" i="1"/>
  <c r="AV321" i="1"/>
  <c r="J319" i="1"/>
  <c r="AX319" i="1"/>
  <c r="K312" i="1"/>
  <c r="G32" i="2" s="1"/>
  <c r="I32" i="2" s="1"/>
  <c r="BC293" i="1"/>
  <c r="AV293" i="1"/>
  <c r="BC281" i="1"/>
  <c r="AV281" i="1"/>
  <c r="I269" i="1"/>
  <c r="AX258" i="1"/>
  <c r="AV258" i="1" s="1"/>
  <c r="J258" i="1"/>
  <c r="BI258" i="1"/>
  <c r="AE258" i="1" s="1"/>
  <c r="I257" i="1"/>
  <c r="AW257" i="1"/>
  <c r="BH257" i="1"/>
  <c r="AD257" i="1" s="1"/>
  <c r="I256" i="1"/>
  <c r="AW256" i="1"/>
  <c r="AW247" i="1"/>
  <c r="BH247" i="1"/>
  <c r="AD247" i="1" s="1"/>
  <c r="J244" i="1"/>
  <c r="AX244" i="1"/>
  <c r="BC242" i="1"/>
  <c r="AV238" i="1"/>
  <c r="AX223" i="1"/>
  <c r="AV223" i="1" s="1"/>
  <c r="J223" i="1"/>
  <c r="BI223" i="1"/>
  <c r="AE223" i="1" s="1"/>
  <c r="BC199" i="1"/>
  <c r="AV199" i="1"/>
  <c r="AX190" i="1"/>
  <c r="J190" i="1"/>
  <c r="BI190" i="1"/>
  <c r="AE190" i="1" s="1"/>
  <c r="BC180" i="1"/>
  <c r="AV180" i="1"/>
  <c r="AX176" i="1"/>
  <c r="BC176" i="1" s="1"/>
  <c r="J176" i="1"/>
  <c r="BI176" i="1"/>
  <c r="AE176" i="1" s="1"/>
  <c r="AX172" i="1"/>
  <c r="J172" i="1"/>
  <c r="BI172" i="1"/>
  <c r="AE172" i="1" s="1"/>
  <c r="AX165" i="1"/>
  <c r="AV165" i="1" s="1"/>
  <c r="J165" i="1"/>
  <c r="BI165" i="1"/>
  <c r="AE165" i="1" s="1"/>
  <c r="I164" i="1"/>
  <c r="AW164" i="1"/>
  <c r="BH164" i="1"/>
  <c r="AD164" i="1" s="1"/>
  <c r="AX161" i="1"/>
  <c r="BI161" i="1"/>
  <c r="AE161" i="1" s="1"/>
  <c r="J161" i="1"/>
  <c r="AV142" i="1"/>
  <c r="BC142" i="1"/>
  <c r="BI425" i="1"/>
  <c r="AC425" i="1" s="1"/>
  <c r="BI419" i="1"/>
  <c r="AC419" i="1" s="1"/>
  <c r="J363" i="1"/>
  <c r="AX363" i="1"/>
  <c r="BC361" i="1"/>
  <c r="AV361" i="1"/>
  <c r="I356" i="1"/>
  <c r="AW356" i="1"/>
  <c r="I320" i="1"/>
  <c r="AW320" i="1"/>
  <c r="AW427" i="1"/>
  <c r="AX425" i="1"/>
  <c r="AV425" i="1" s="1"/>
  <c r="AW415" i="1"/>
  <c r="AX413" i="1"/>
  <c r="AV413" i="1" s="1"/>
  <c r="AW409" i="1"/>
  <c r="AW404" i="1"/>
  <c r="AX403" i="1"/>
  <c r="AV403" i="1" s="1"/>
  <c r="AW400" i="1"/>
  <c r="AX399" i="1"/>
  <c r="AV399" i="1" s="1"/>
  <c r="AX395" i="1"/>
  <c r="AV395" i="1" s="1"/>
  <c r="AW392" i="1"/>
  <c r="AX391" i="1"/>
  <c r="AV391" i="1" s="1"/>
  <c r="AW388" i="1"/>
  <c r="AX387" i="1"/>
  <c r="AV387" i="1" s="1"/>
  <c r="AW384" i="1"/>
  <c r="AX383" i="1"/>
  <c r="AV383" i="1" s="1"/>
  <c r="AW380" i="1"/>
  <c r="AX379" i="1"/>
  <c r="BC379" i="1" s="1"/>
  <c r="AW376" i="1"/>
  <c r="J375" i="1"/>
  <c r="AX375" i="1"/>
  <c r="BC375" i="1" s="1"/>
  <c r="I368" i="1"/>
  <c r="AW368" i="1"/>
  <c r="BI363" i="1"/>
  <c r="AC363" i="1" s="1"/>
  <c r="AV362" i="1"/>
  <c r="J359" i="1"/>
  <c r="AX359" i="1"/>
  <c r="I352" i="1"/>
  <c r="AW352" i="1"/>
  <c r="I344" i="1"/>
  <c r="AW344" i="1"/>
  <c r="J342" i="1"/>
  <c r="J341" i="1" s="1"/>
  <c r="F34" i="2" s="1"/>
  <c r="AX342" i="1"/>
  <c r="AS341" i="1"/>
  <c r="BI330" i="1"/>
  <c r="AE330" i="1" s="1"/>
  <c r="AV329" i="1"/>
  <c r="I327" i="1"/>
  <c r="AW327" i="1"/>
  <c r="J326" i="1"/>
  <c r="J322" i="1" s="1"/>
  <c r="F33" i="2" s="1"/>
  <c r="AX326" i="1"/>
  <c r="K322" i="1"/>
  <c r="G33" i="2" s="1"/>
  <c r="I33" i="2" s="1"/>
  <c r="AL323" i="1"/>
  <c r="AU322" i="1" s="1"/>
  <c r="BI319" i="1"/>
  <c r="AE319" i="1" s="1"/>
  <c r="AV318" i="1"/>
  <c r="I316" i="1"/>
  <c r="I312" i="1" s="1"/>
  <c r="E32" i="2" s="1"/>
  <c r="AW316" i="1"/>
  <c r="J315" i="1"/>
  <c r="AX315" i="1"/>
  <c r="J312" i="1"/>
  <c r="F32" i="2" s="1"/>
  <c r="I307" i="1"/>
  <c r="AW307" i="1"/>
  <c r="J305" i="1"/>
  <c r="AX305" i="1"/>
  <c r="K292" i="1"/>
  <c r="G31" i="2" s="1"/>
  <c r="I31" i="2" s="1"/>
  <c r="AV291" i="1"/>
  <c r="K280" i="1"/>
  <c r="G30" i="2" s="1"/>
  <c r="I30" i="2" s="1"/>
  <c r="AV279" i="1"/>
  <c r="I277" i="1"/>
  <c r="AW277" i="1"/>
  <c r="J276" i="1"/>
  <c r="AX276" i="1"/>
  <c r="AV271" i="1"/>
  <c r="J263" i="1"/>
  <c r="AX263" i="1"/>
  <c r="J251" i="1"/>
  <c r="AX251" i="1"/>
  <c r="BI251" i="1"/>
  <c r="AE251" i="1" s="1"/>
  <c r="J248" i="1"/>
  <c r="AX248" i="1"/>
  <c r="AV248" i="1" s="1"/>
  <c r="BI248" i="1"/>
  <c r="AE248" i="1" s="1"/>
  <c r="I244" i="1"/>
  <c r="AW244" i="1"/>
  <c r="BH244" i="1"/>
  <c r="AD244" i="1" s="1"/>
  <c r="AV243" i="1"/>
  <c r="J236" i="1"/>
  <c r="AX236" i="1"/>
  <c r="AV232" i="1"/>
  <c r="J228" i="1"/>
  <c r="AX228" i="1"/>
  <c r="AW220" i="1"/>
  <c r="BH220" i="1"/>
  <c r="AD220" i="1" s="1"/>
  <c r="AW202" i="1"/>
  <c r="BH202" i="1"/>
  <c r="AD202" i="1" s="1"/>
  <c r="I202" i="1"/>
  <c r="I200" i="1" s="1"/>
  <c r="E28" i="2" s="1"/>
  <c r="BI198" i="1"/>
  <c r="AE198" i="1" s="1"/>
  <c r="AX198" i="1"/>
  <c r="J198" i="1"/>
  <c r="J197" i="1"/>
  <c r="AX197" i="1"/>
  <c r="BI197" i="1"/>
  <c r="AE197" i="1" s="1"/>
  <c r="AW173" i="1"/>
  <c r="I173" i="1"/>
  <c r="BH173" i="1"/>
  <c r="AD173" i="1" s="1"/>
  <c r="AV168" i="1"/>
  <c r="BC168" i="1"/>
  <c r="BC153" i="1"/>
  <c r="AV153" i="1"/>
  <c r="AW135" i="1"/>
  <c r="BH135" i="1"/>
  <c r="AD135" i="1" s="1"/>
  <c r="I135" i="1"/>
  <c r="J116" i="1"/>
  <c r="BI116" i="1"/>
  <c r="AE116" i="1" s="1"/>
  <c r="AX116" i="1"/>
  <c r="K422" i="1"/>
  <c r="AS347" i="1"/>
  <c r="BC337" i="1"/>
  <c r="AV337" i="1"/>
  <c r="I331" i="1"/>
  <c r="AW331" i="1"/>
  <c r="AS322" i="1"/>
  <c r="AW420" i="1"/>
  <c r="AX419" i="1"/>
  <c r="AV419" i="1" s="1"/>
  <c r="BH408" i="1"/>
  <c r="AB408" i="1" s="1"/>
  <c r="AX408" i="1"/>
  <c r="BC408" i="1" s="1"/>
  <c r="AW396" i="1"/>
  <c r="BI375" i="1"/>
  <c r="AC375" i="1" s="1"/>
  <c r="AV374" i="1"/>
  <c r="BH372" i="1"/>
  <c r="AB372" i="1" s="1"/>
  <c r="J371" i="1"/>
  <c r="AX371" i="1"/>
  <c r="BH369" i="1"/>
  <c r="AB369" i="1" s="1"/>
  <c r="AW369" i="1"/>
  <c r="BI368" i="1"/>
  <c r="AC368" i="1" s="1"/>
  <c r="I364" i="1"/>
  <c r="AW364" i="1"/>
  <c r="BI359" i="1"/>
  <c r="AC359" i="1" s="1"/>
  <c r="AV358" i="1"/>
  <c r="BH356" i="1"/>
  <c r="AB356" i="1" s="1"/>
  <c r="J355" i="1"/>
  <c r="AX355" i="1"/>
  <c r="BH353" i="1"/>
  <c r="AB353" i="1" s="1"/>
  <c r="AW353" i="1"/>
  <c r="BI352" i="1"/>
  <c r="AC352" i="1" s="1"/>
  <c r="I348" i="1"/>
  <c r="AW348" i="1"/>
  <c r="BH345" i="1"/>
  <c r="AD345" i="1" s="1"/>
  <c r="AW345" i="1"/>
  <c r="BI344" i="1"/>
  <c r="AE344" i="1" s="1"/>
  <c r="BI342" i="1"/>
  <c r="AE342" i="1" s="1"/>
  <c r="I341" i="1"/>
  <c r="E34" i="2" s="1"/>
  <c r="I340" i="1"/>
  <c r="AW340" i="1"/>
  <c r="J339" i="1"/>
  <c r="AX339" i="1"/>
  <c r="BH331" i="1"/>
  <c r="AD331" i="1" s="1"/>
  <c r="BH328" i="1"/>
  <c r="AD328" i="1" s="1"/>
  <c r="AW328" i="1"/>
  <c r="BI327" i="1"/>
  <c r="AE327" i="1" s="1"/>
  <c r="BI326" i="1"/>
  <c r="AE326" i="1" s="1"/>
  <c r="AV325" i="1"/>
  <c r="I323" i="1"/>
  <c r="I322" i="1" s="1"/>
  <c r="E33" i="2" s="1"/>
  <c r="AW323" i="1"/>
  <c r="BH320" i="1"/>
  <c r="AD320" i="1" s="1"/>
  <c r="BH317" i="1"/>
  <c r="AD317" i="1" s="1"/>
  <c r="AW317" i="1"/>
  <c r="BI316" i="1"/>
  <c r="AE316" i="1" s="1"/>
  <c r="BI315" i="1"/>
  <c r="AE315" i="1" s="1"/>
  <c r="AV314" i="1"/>
  <c r="AL313" i="1"/>
  <c r="AU312" i="1" s="1"/>
  <c r="BH309" i="1"/>
  <c r="AD309" i="1" s="1"/>
  <c r="AW309" i="1"/>
  <c r="BI307" i="1"/>
  <c r="AE307" i="1" s="1"/>
  <c r="BI305" i="1"/>
  <c r="AE305" i="1" s="1"/>
  <c r="AV303" i="1"/>
  <c r="I299" i="1"/>
  <c r="I292" i="1" s="1"/>
  <c r="E31" i="2" s="1"/>
  <c r="AW299" i="1"/>
  <c r="J297" i="1"/>
  <c r="J292" i="1" s="1"/>
  <c r="F31" i="2" s="1"/>
  <c r="AX297" i="1"/>
  <c r="I287" i="1"/>
  <c r="I280" i="1" s="1"/>
  <c r="E30" i="2" s="1"/>
  <c r="AW287" i="1"/>
  <c r="J285" i="1"/>
  <c r="AX285" i="1"/>
  <c r="J280" i="1"/>
  <c r="F30" i="2" s="1"/>
  <c r="BH278" i="1"/>
  <c r="AD278" i="1" s="1"/>
  <c r="AW278" i="1"/>
  <c r="BI277" i="1"/>
  <c r="AE277" i="1" s="1"/>
  <c r="BI276" i="1"/>
  <c r="AE276" i="1" s="1"/>
  <c r="AV275" i="1"/>
  <c r="I273" i="1"/>
  <c r="AW273" i="1"/>
  <c r="I272" i="1"/>
  <c r="AW272" i="1"/>
  <c r="J270" i="1"/>
  <c r="BH269" i="1"/>
  <c r="AD269" i="1" s="1"/>
  <c r="J267" i="1"/>
  <c r="AX267" i="1"/>
  <c r="BI267" i="1"/>
  <c r="AE267" i="1" s="1"/>
  <c r="AV264" i="1"/>
  <c r="BC264" i="1"/>
  <c r="AW263" i="1"/>
  <c r="BH263" i="1"/>
  <c r="AD263" i="1" s="1"/>
  <c r="J260" i="1"/>
  <c r="AX260" i="1"/>
  <c r="BC258" i="1"/>
  <c r="BH256" i="1"/>
  <c r="AD256" i="1" s="1"/>
  <c r="AV255" i="1"/>
  <c r="AV249" i="1"/>
  <c r="AV246" i="1"/>
  <c r="BC243" i="1"/>
  <c r="AX242" i="1"/>
  <c r="AV242" i="1" s="1"/>
  <c r="J242" i="1"/>
  <c r="J240" i="1" s="1"/>
  <c r="F29" i="2" s="1"/>
  <c r="BI242" i="1"/>
  <c r="AE242" i="1" s="1"/>
  <c r="I241" i="1"/>
  <c r="AW241" i="1"/>
  <c r="BH241" i="1"/>
  <c r="AD241" i="1" s="1"/>
  <c r="AV237" i="1"/>
  <c r="BC237" i="1"/>
  <c r="AW236" i="1"/>
  <c r="BH236" i="1"/>
  <c r="AD236" i="1" s="1"/>
  <c r="AV233" i="1"/>
  <c r="BC233" i="1"/>
  <c r="BC229" i="1"/>
  <c r="AV225" i="1"/>
  <c r="J221" i="1"/>
  <c r="BI221" i="1"/>
  <c r="AE221" i="1" s="1"/>
  <c r="AX219" i="1"/>
  <c r="J219" i="1"/>
  <c r="BI219" i="1"/>
  <c r="AE219" i="1" s="1"/>
  <c r="AW218" i="1"/>
  <c r="BH218" i="1"/>
  <c r="AD218" i="1" s="1"/>
  <c r="I218" i="1"/>
  <c r="BC216" i="1"/>
  <c r="AV216" i="1"/>
  <c r="AS200" i="1"/>
  <c r="BC196" i="1"/>
  <c r="AV196" i="1"/>
  <c r="BC194" i="1"/>
  <c r="AX192" i="1"/>
  <c r="BC192" i="1" s="1"/>
  <c r="J192" i="1"/>
  <c r="BI192" i="1"/>
  <c r="AE192" i="1" s="1"/>
  <c r="AX188" i="1"/>
  <c r="J188" i="1"/>
  <c r="BI188" i="1"/>
  <c r="AE188" i="1" s="1"/>
  <c r="AV184" i="1"/>
  <c r="BC184" i="1"/>
  <c r="BC183" i="1"/>
  <c r="AV183" i="1"/>
  <c r="AX174" i="1"/>
  <c r="J174" i="1"/>
  <c r="BI174" i="1"/>
  <c r="AE174" i="1" s="1"/>
  <c r="J136" i="1"/>
  <c r="BI136" i="1"/>
  <c r="AE136" i="1" s="1"/>
  <c r="AX136" i="1"/>
  <c r="AV217" i="1"/>
  <c r="J212" i="1"/>
  <c r="AX212" i="1"/>
  <c r="AX207" i="1"/>
  <c r="AV207" i="1" s="1"/>
  <c r="J207" i="1"/>
  <c r="BI207" i="1"/>
  <c r="AE207" i="1" s="1"/>
  <c r="AV201" i="1"/>
  <c r="I199" i="1"/>
  <c r="AW197" i="1"/>
  <c r="BH197" i="1"/>
  <c r="AD197" i="1" s="1"/>
  <c r="I197" i="1"/>
  <c r="J194" i="1"/>
  <c r="AX194" i="1"/>
  <c r="AV194" i="1" s="1"/>
  <c r="I191" i="1"/>
  <c r="AW191" i="1"/>
  <c r="BH191" i="1"/>
  <c r="AD191" i="1" s="1"/>
  <c r="I190" i="1"/>
  <c r="AW190" i="1"/>
  <c r="BC187" i="1"/>
  <c r="AV187" i="1"/>
  <c r="J185" i="1"/>
  <c r="BI185" i="1"/>
  <c r="AE185" i="1" s="1"/>
  <c r="I183" i="1"/>
  <c r="AW181" i="1"/>
  <c r="BH181" i="1"/>
  <c r="AD181" i="1" s="1"/>
  <c r="I181" i="1"/>
  <c r="J178" i="1"/>
  <c r="AX178" i="1"/>
  <c r="AV178" i="1" s="1"/>
  <c r="I175" i="1"/>
  <c r="AW175" i="1"/>
  <c r="BH175" i="1"/>
  <c r="AD175" i="1" s="1"/>
  <c r="I174" i="1"/>
  <c r="AW174" i="1"/>
  <c r="BC171" i="1"/>
  <c r="AV171" i="1"/>
  <c r="J169" i="1"/>
  <c r="AX169" i="1"/>
  <c r="BI169" i="1"/>
  <c r="AE169" i="1" s="1"/>
  <c r="AV166" i="1"/>
  <c r="BC166" i="1"/>
  <c r="BC160" i="1"/>
  <c r="AV160" i="1"/>
  <c r="J158" i="1"/>
  <c r="BI158" i="1"/>
  <c r="AE158" i="1" s="1"/>
  <c r="AX158" i="1"/>
  <c r="BI155" i="1"/>
  <c r="AE155" i="1" s="1"/>
  <c r="AX155" i="1"/>
  <c r="AV148" i="1"/>
  <c r="BC148" i="1"/>
  <c r="AX138" i="1"/>
  <c r="AV138" i="1" s="1"/>
  <c r="J138" i="1"/>
  <c r="BI138" i="1"/>
  <c r="AE138" i="1" s="1"/>
  <c r="AV126" i="1"/>
  <c r="BC126" i="1"/>
  <c r="I120" i="1"/>
  <c r="AW120" i="1"/>
  <c r="BH120" i="1"/>
  <c r="AD120" i="1" s="1"/>
  <c r="I267" i="1"/>
  <c r="I251" i="1"/>
  <c r="J232" i="1"/>
  <c r="BI232" i="1"/>
  <c r="AE232" i="1" s="1"/>
  <c r="I230" i="1"/>
  <c r="AW228" i="1"/>
  <c r="BH228" i="1"/>
  <c r="AD228" i="1" s="1"/>
  <c r="I228" i="1"/>
  <c r="J225" i="1"/>
  <c r="AX225" i="1"/>
  <c r="BC225" i="1" s="1"/>
  <c r="I224" i="1"/>
  <c r="I222" i="1"/>
  <c r="AW222" i="1"/>
  <c r="BH222" i="1"/>
  <c r="AD222" i="1" s="1"/>
  <c r="I221" i="1"/>
  <c r="AW221" i="1"/>
  <c r="J216" i="1"/>
  <c r="BI216" i="1"/>
  <c r="AE216" i="1" s="1"/>
  <c r="J213" i="1"/>
  <c r="AW212" i="1"/>
  <c r="BH212" i="1"/>
  <c r="AD212" i="1" s="1"/>
  <c r="I212" i="1"/>
  <c r="J209" i="1"/>
  <c r="AX209" i="1"/>
  <c r="BC209" i="1" s="1"/>
  <c r="I208" i="1"/>
  <c r="I206" i="1"/>
  <c r="AW206" i="1"/>
  <c r="BH206" i="1"/>
  <c r="AD206" i="1" s="1"/>
  <c r="I205" i="1"/>
  <c r="AW205" i="1"/>
  <c r="BH204" i="1"/>
  <c r="AD204" i="1" s="1"/>
  <c r="BI203" i="1"/>
  <c r="AE203" i="1" s="1"/>
  <c r="J203" i="1"/>
  <c r="AT200" i="1"/>
  <c r="K200" i="1"/>
  <c r="G28" i="2" s="1"/>
  <c r="I28" i="2" s="1"/>
  <c r="BH199" i="1"/>
  <c r="AD199" i="1" s="1"/>
  <c r="I194" i="1"/>
  <c r="BH194" i="1"/>
  <c r="AD194" i="1" s="1"/>
  <c r="AV193" i="1"/>
  <c r="J184" i="1"/>
  <c r="BH183" i="1"/>
  <c r="AD183" i="1" s="1"/>
  <c r="I178" i="1"/>
  <c r="BH178" i="1"/>
  <c r="AD178" i="1" s="1"/>
  <c r="AV177" i="1"/>
  <c r="AV170" i="1"/>
  <c r="BC170" i="1"/>
  <c r="AV167" i="1"/>
  <c r="J166" i="1"/>
  <c r="AX166" i="1"/>
  <c r="BI166" i="1"/>
  <c r="AE166" i="1" s="1"/>
  <c r="AX163" i="1"/>
  <c r="J163" i="1"/>
  <c r="BI163" i="1"/>
  <c r="AE163" i="1" s="1"/>
  <c r="AV159" i="1"/>
  <c r="BC159" i="1"/>
  <c r="J155" i="1"/>
  <c r="J154" i="1"/>
  <c r="AX154" i="1"/>
  <c r="BI154" i="1"/>
  <c r="AE154" i="1" s="1"/>
  <c r="J151" i="1"/>
  <c r="AX151" i="1"/>
  <c r="BC151" i="1" s="1"/>
  <c r="BI151" i="1"/>
  <c r="AE151" i="1" s="1"/>
  <c r="J150" i="1"/>
  <c r="BI150" i="1"/>
  <c r="AE150" i="1" s="1"/>
  <c r="AX150" i="1"/>
  <c r="BC150" i="1" s="1"/>
  <c r="AV146" i="1"/>
  <c r="BC146" i="1"/>
  <c r="AV132" i="1"/>
  <c r="BC132" i="1"/>
  <c r="AX122" i="1"/>
  <c r="AV122" i="1" s="1"/>
  <c r="BI122" i="1"/>
  <c r="AE122" i="1" s="1"/>
  <c r="J122" i="1"/>
  <c r="BC121" i="1"/>
  <c r="AV121" i="1"/>
  <c r="I271" i="1"/>
  <c r="BI255" i="1"/>
  <c r="AE255" i="1" s="1"/>
  <c r="I255" i="1"/>
  <c r="BH251" i="1"/>
  <c r="AD251" i="1" s="1"/>
  <c r="BH248" i="1"/>
  <c r="AD248" i="1" s="1"/>
  <c r="J246" i="1"/>
  <c r="BH245" i="1"/>
  <c r="AD245" i="1" s="1"/>
  <c r="AW245" i="1"/>
  <c r="BH237" i="1"/>
  <c r="AD237" i="1" s="1"/>
  <c r="J231" i="1"/>
  <c r="I225" i="1"/>
  <c r="BH225" i="1"/>
  <c r="AD225" i="1" s="1"/>
  <c r="AV224" i="1"/>
  <c r="BC223" i="1"/>
  <c r="BC217" i="1"/>
  <c r="J215" i="1"/>
  <c r="AX213" i="1"/>
  <c r="AV213" i="1" s="1"/>
  <c r="I209" i="1"/>
  <c r="BH209" i="1"/>
  <c r="AD209" i="1" s="1"/>
  <c r="AV208" i="1"/>
  <c r="BC207" i="1"/>
  <c r="BI205" i="1"/>
  <c r="AE205" i="1" s="1"/>
  <c r="BC201" i="1"/>
  <c r="AV198" i="1"/>
  <c r="BC198" i="1"/>
  <c r="AV195" i="1"/>
  <c r="BI193" i="1"/>
  <c r="AE193" i="1" s="1"/>
  <c r="BC193" i="1"/>
  <c r="AV192" i="1"/>
  <c r="BH190" i="1"/>
  <c r="AD190" i="1" s="1"/>
  <c r="AX185" i="1"/>
  <c r="BI184" i="1"/>
  <c r="AE184" i="1" s="1"/>
  <c r="AV182" i="1"/>
  <c r="BC182" i="1"/>
  <c r="AV179" i="1"/>
  <c r="BI177" i="1"/>
  <c r="AE177" i="1" s="1"/>
  <c r="AV176" i="1"/>
  <c r="BH174" i="1"/>
  <c r="AD174" i="1" s="1"/>
  <c r="I163" i="1"/>
  <c r="AW163" i="1"/>
  <c r="BH163" i="1"/>
  <c r="AD163" i="1" s="1"/>
  <c r="AW162" i="1"/>
  <c r="I162" i="1"/>
  <c r="AX157" i="1"/>
  <c r="AV157" i="1" s="1"/>
  <c r="BI157" i="1"/>
  <c r="AE157" i="1" s="1"/>
  <c r="J157" i="1"/>
  <c r="AW156" i="1"/>
  <c r="BH156" i="1"/>
  <c r="AD156" i="1" s="1"/>
  <c r="I156" i="1"/>
  <c r="AW154" i="1"/>
  <c r="BH154" i="1"/>
  <c r="AD154" i="1" s="1"/>
  <c r="BI144" i="1"/>
  <c r="AE144" i="1" s="1"/>
  <c r="AX144" i="1"/>
  <c r="AV144" i="1" s="1"/>
  <c r="J144" i="1"/>
  <c r="J143" i="1"/>
  <c r="AX143" i="1"/>
  <c r="BI143" i="1"/>
  <c r="AE143" i="1" s="1"/>
  <c r="AX134" i="1"/>
  <c r="J134" i="1"/>
  <c r="BI134" i="1"/>
  <c r="AE134" i="1" s="1"/>
  <c r="BC133" i="1"/>
  <c r="AV133" i="1"/>
  <c r="AV130" i="1"/>
  <c r="BC130" i="1"/>
  <c r="AV151" i="1"/>
  <c r="AV128" i="1"/>
  <c r="BC128" i="1"/>
  <c r="J120" i="1"/>
  <c r="AX120" i="1"/>
  <c r="BC117" i="1"/>
  <c r="AV117" i="1"/>
  <c r="I112" i="1"/>
  <c r="AW112" i="1"/>
  <c r="BH112" i="1"/>
  <c r="AD112" i="1" s="1"/>
  <c r="AU100" i="1"/>
  <c r="AW102" i="1"/>
  <c r="I102" i="1"/>
  <c r="BH102" i="1"/>
  <c r="AD102" i="1" s="1"/>
  <c r="AX101" i="1"/>
  <c r="AV101" i="1" s="1"/>
  <c r="J101" i="1"/>
  <c r="BI101" i="1"/>
  <c r="AE101" i="1" s="1"/>
  <c r="I97" i="1"/>
  <c r="AW97" i="1"/>
  <c r="BH97" i="1"/>
  <c r="I89" i="1"/>
  <c r="AW89" i="1"/>
  <c r="BH89" i="1"/>
  <c r="C20" i="4"/>
  <c r="J21" i="1"/>
  <c r="F15" i="2" s="1"/>
  <c r="I232" i="1"/>
  <c r="I216" i="1"/>
  <c r="I185" i="1"/>
  <c r="I169" i="1"/>
  <c r="BC165" i="1"/>
  <c r="I151" i="1"/>
  <c r="I149" i="1" s="1"/>
  <c r="E27" i="2" s="1"/>
  <c r="BH151" i="1"/>
  <c r="AD151" i="1" s="1"/>
  <c r="J147" i="1"/>
  <c r="BI147" i="1"/>
  <c r="AE147" i="1" s="1"/>
  <c r="AW143" i="1"/>
  <c r="BH143" i="1"/>
  <c r="AD143" i="1" s="1"/>
  <c r="I143" i="1"/>
  <c r="J140" i="1"/>
  <c r="AX140" i="1"/>
  <c r="AV140" i="1" s="1"/>
  <c r="I139" i="1"/>
  <c r="I137" i="1"/>
  <c r="AW137" i="1"/>
  <c r="BH137" i="1"/>
  <c r="AD137" i="1" s="1"/>
  <c r="I136" i="1"/>
  <c r="AW136" i="1"/>
  <c r="BH133" i="1"/>
  <c r="AD133" i="1" s="1"/>
  <c r="J131" i="1"/>
  <c r="BI131" i="1"/>
  <c r="AE131" i="1" s="1"/>
  <c r="AW127" i="1"/>
  <c r="BH127" i="1"/>
  <c r="AD127" i="1" s="1"/>
  <c r="I127" i="1"/>
  <c r="I100" i="1" s="1"/>
  <c r="E26" i="2" s="1"/>
  <c r="J124" i="1"/>
  <c r="AX124" i="1"/>
  <c r="AV124" i="1" s="1"/>
  <c r="I123" i="1"/>
  <c r="J119" i="1"/>
  <c r="AX119" i="1"/>
  <c r="BC119" i="1" s="1"/>
  <c r="AV110" i="1"/>
  <c r="I103" i="1"/>
  <c r="AW103" i="1"/>
  <c r="BH103" i="1"/>
  <c r="AD103" i="1" s="1"/>
  <c r="I88" i="1"/>
  <c r="AW88" i="1"/>
  <c r="BH88" i="1"/>
  <c r="J77" i="1"/>
  <c r="AX77" i="1"/>
  <c r="I51" i="1"/>
  <c r="I48" i="1" s="1"/>
  <c r="E19" i="2" s="1"/>
  <c r="AW51" i="1"/>
  <c r="BH51" i="1"/>
  <c r="AB51" i="1" s="1"/>
  <c r="I47" i="1"/>
  <c r="AW47" i="1"/>
  <c r="BH47" i="1"/>
  <c r="AB47" i="1" s="1"/>
  <c r="AV155" i="1"/>
  <c r="BC155" i="1"/>
  <c r="AT149" i="1"/>
  <c r="K149" i="1"/>
  <c r="G27" i="2" s="1"/>
  <c r="I27" i="2" s="1"/>
  <c r="I140" i="1"/>
  <c r="BH140" i="1"/>
  <c r="AD140" i="1" s="1"/>
  <c r="AV139" i="1"/>
  <c r="I124" i="1"/>
  <c r="BH124" i="1"/>
  <c r="AD124" i="1" s="1"/>
  <c r="AV123" i="1"/>
  <c r="BC122" i="1"/>
  <c r="AV119" i="1"/>
  <c r="BC118" i="1"/>
  <c r="AV118" i="1"/>
  <c r="BC113" i="1"/>
  <c r="AV113" i="1"/>
  <c r="AW109" i="1"/>
  <c r="BH109" i="1"/>
  <c r="AD109" i="1" s="1"/>
  <c r="I109" i="1"/>
  <c r="J107" i="1"/>
  <c r="AX107" i="1"/>
  <c r="AV107" i="1" s="1"/>
  <c r="BI107" i="1"/>
  <c r="AE107" i="1" s="1"/>
  <c r="AT100" i="1"/>
  <c r="AL99" i="1"/>
  <c r="AU98" i="1" s="1"/>
  <c r="K98" i="1"/>
  <c r="G25" i="2" s="1"/>
  <c r="I25" i="2" s="1"/>
  <c r="AX90" i="1"/>
  <c r="J90" i="1"/>
  <c r="BI90" i="1"/>
  <c r="AX80" i="1"/>
  <c r="J80" i="1"/>
  <c r="J79" i="1" s="1"/>
  <c r="F23" i="2" s="1"/>
  <c r="BI80" i="1"/>
  <c r="AC80" i="1" s="1"/>
  <c r="J106" i="1"/>
  <c r="AX106" i="1"/>
  <c r="J99" i="1"/>
  <c r="J98" i="1" s="1"/>
  <c r="F25" i="2" s="1"/>
  <c r="AX99" i="1"/>
  <c r="AX94" i="1"/>
  <c r="J94" i="1"/>
  <c r="J86" i="1"/>
  <c r="F24" i="2" s="1"/>
  <c r="AW82" i="1"/>
  <c r="I82" i="1"/>
  <c r="I79" i="1" s="1"/>
  <c r="E23" i="2" s="1"/>
  <c r="AW77" i="1"/>
  <c r="BH77" i="1"/>
  <c r="AB77" i="1" s="1"/>
  <c r="I73" i="1"/>
  <c r="AW73" i="1"/>
  <c r="BH73" i="1"/>
  <c r="AB73" i="1" s="1"/>
  <c r="J71" i="1"/>
  <c r="AX71" i="1"/>
  <c r="BI71" i="1"/>
  <c r="AC71" i="1" s="1"/>
  <c r="I158" i="1"/>
  <c r="AS149" i="1"/>
  <c r="I147" i="1"/>
  <c r="I131" i="1"/>
  <c r="I116" i="1"/>
  <c r="AW116" i="1"/>
  <c r="J115" i="1"/>
  <c r="AX115" i="1"/>
  <c r="AW106" i="1"/>
  <c r="BH106" i="1"/>
  <c r="AD106" i="1" s="1"/>
  <c r="J103" i="1"/>
  <c r="AX103" i="1"/>
  <c r="AW99" i="1"/>
  <c r="BH99" i="1"/>
  <c r="I93" i="1"/>
  <c r="AW93" i="1"/>
  <c r="BH93" i="1"/>
  <c r="I92" i="1"/>
  <c r="AW92" i="1"/>
  <c r="AV91" i="1"/>
  <c r="AX84" i="1"/>
  <c r="AV84" i="1" s="1"/>
  <c r="J84" i="1"/>
  <c r="BI84" i="1"/>
  <c r="AC84" i="1" s="1"/>
  <c r="I71" i="1"/>
  <c r="I57" i="1" s="1"/>
  <c r="E22" i="2" s="1"/>
  <c r="AW71" i="1"/>
  <c r="BH71" i="1"/>
  <c r="AB71" i="1" s="1"/>
  <c r="AS37" i="1"/>
  <c r="J35" i="1"/>
  <c r="J34" i="1" s="1"/>
  <c r="F17" i="2" s="1"/>
  <c r="AX35" i="1"/>
  <c r="J32" i="1"/>
  <c r="J26" i="1" s="1"/>
  <c r="F16" i="2" s="1"/>
  <c r="AX32" i="1"/>
  <c r="BI32" i="1"/>
  <c r="AC32" i="1" s="1"/>
  <c r="K26" i="1"/>
  <c r="G16" i="2" s="1"/>
  <c r="I16" i="2" s="1"/>
  <c r="AL27" i="1"/>
  <c r="AU26" i="1" s="1"/>
  <c r="K100" i="1"/>
  <c r="G26" i="2" s="1"/>
  <c r="I26" i="2" s="1"/>
  <c r="K86" i="1"/>
  <c r="G24" i="2" s="1"/>
  <c r="I24" i="2" s="1"/>
  <c r="K79" i="1"/>
  <c r="G23" i="2" s="1"/>
  <c r="I23" i="2" s="1"/>
  <c r="BC75" i="1"/>
  <c r="AS57" i="1"/>
  <c r="J49" i="1"/>
  <c r="J48" i="1" s="1"/>
  <c r="F19" i="2" s="1"/>
  <c r="AX49" i="1"/>
  <c r="BI49" i="1"/>
  <c r="AC49" i="1" s="1"/>
  <c r="I42" i="1"/>
  <c r="AW42" i="1"/>
  <c r="BH42" i="1"/>
  <c r="AB42" i="1" s="1"/>
  <c r="AU37" i="1"/>
  <c r="I37" i="1"/>
  <c r="E18" i="2" s="1"/>
  <c r="I95" i="1"/>
  <c r="I91" i="1"/>
  <c r="I87" i="1"/>
  <c r="AT79" i="1"/>
  <c r="BC66" i="1"/>
  <c r="AV66" i="1"/>
  <c r="BC58" i="1"/>
  <c r="AV58" i="1"/>
  <c r="AT57" i="1"/>
  <c r="BC43" i="1"/>
  <c r="AV43" i="1"/>
  <c r="K21" i="1"/>
  <c r="AL22" i="1"/>
  <c r="AU21" i="1" s="1"/>
  <c r="C19" i="4"/>
  <c r="C21" i="4"/>
  <c r="I64" i="1"/>
  <c r="AW64" i="1"/>
  <c r="AV62" i="1"/>
  <c r="BC60" i="1"/>
  <c r="K48" i="1"/>
  <c r="G19" i="2" s="1"/>
  <c r="I19" i="2" s="1"/>
  <c r="J46" i="1"/>
  <c r="AX46" i="1"/>
  <c r="J40" i="1"/>
  <c r="J37" i="1" s="1"/>
  <c r="F18" i="2" s="1"/>
  <c r="AX40" i="1"/>
  <c r="K37" i="1"/>
  <c r="G18" i="2" s="1"/>
  <c r="I18" i="2" s="1"/>
  <c r="I33" i="1"/>
  <c r="AW33" i="1"/>
  <c r="BC29" i="1"/>
  <c r="AV29" i="1"/>
  <c r="I27" i="1"/>
  <c r="I26" i="1" s="1"/>
  <c r="E16" i="2" s="1"/>
  <c r="AW27" i="1"/>
  <c r="BC24" i="1"/>
  <c r="AV24" i="1"/>
  <c r="I22" i="1"/>
  <c r="I21" i="1" s="1"/>
  <c r="E15" i="2" s="1"/>
  <c r="AW22" i="1"/>
  <c r="C28" i="4"/>
  <c r="F28" i="4" s="1"/>
  <c r="C18" i="4"/>
  <c r="J69" i="1"/>
  <c r="J57" i="1" s="1"/>
  <c r="F22" i="2" s="1"/>
  <c r="AX69" i="1"/>
  <c r="BC69" i="1" s="1"/>
  <c r="J62" i="1"/>
  <c r="AX62" i="1"/>
  <c r="BC62" i="1" s="1"/>
  <c r="AU57" i="1"/>
  <c r="J54" i="1"/>
  <c r="J53" i="1" s="1"/>
  <c r="F20" i="2" s="1"/>
  <c r="AX54" i="1"/>
  <c r="AT37" i="1"/>
  <c r="BC19" i="1"/>
  <c r="AV19" i="1"/>
  <c r="J14" i="1"/>
  <c r="J13" i="1" s="1"/>
  <c r="AX14" i="1"/>
  <c r="C27" i="4"/>
  <c r="AS13" i="1"/>
  <c r="AT13" i="1"/>
  <c r="AX60" i="1"/>
  <c r="AV60" i="1" s="1"/>
  <c r="AX56" i="1"/>
  <c r="AV56" i="1" s="1"/>
  <c r="AW54" i="1"/>
  <c r="AW49" i="1"/>
  <c r="AL49" i="1"/>
  <c r="AU48" i="1" s="1"/>
  <c r="AW46" i="1"/>
  <c r="AX45" i="1"/>
  <c r="AW40" i="1"/>
  <c r="AX38" i="1"/>
  <c r="AW35" i="1"/>
  <c r="AL35" i="1"/>
  <c r="AU34" i="1" s="1"/>
  <c r="AW32" i="1"/>
  <c r="AX31" i="1"/>
  <c r="AX17" i="1"/>
  <c r="AW14" i="1"/>
  <c r="BC439" i="1" l="1"/>
  <c r="C14" i="4"/>
  <c r="BC56" i="1"/>
  <c r="AV87" i="1"/>
  <c r="C17" i="4"/>
  <c r="J200" i="1"/>
  <c r="F28" i="2" s="1"/>
  <c r="C16" i="4"/>
  <c r="AV431" i="1"/>
  <c r="I422" i="1"/>
  <c r="J422" i="1"/>
  <c r="J421" i="1" s="1"/>
  <c r="F36" i="2" s="1"/>
  <c r="AV429" i="1"/>
  <c r="C15" i="4"/>
  <c r="K12" i="1"/>
  <c r="G11" i="2" s="1"/>
  <c r="F37" i="2"/>
  <c r="AV32" i="1"/>
  <c r="BC32" i="1"/>
  <c r="AV49" i="1"/>
  <c r="BC49" i="1"/>
  <c r="AV69" i="1"/>
  <c r="AV71" i="1"/>
  <c r="BC71" i="1"/>
  <c r="AV14" i="1"/>
  <c r="BC14" i="1"/>
  <c r="AV54" i="1"/>
  <c r="BC54" i="1"/>
  <c r="C29" i="4"/>
  <c r="F29" i="4" s="1"/>
  <c r="BC93" i="1"/>
  <c r="AV93" i="1"/>
  <c r="BC101" i="1"/>
  <c r="AV106" i="1"/>
  <c r="BC106" i="1"/>
  <c r="AV82" i="1"/>
  <c r="BC82" i="1"/>
  <c r="AV80" i="1"/>
  <c r="BC80" i="1"/>
  <c r="BC109" i="1"/>
  <c r="AV109" i="1"/>
  <c r="BC47" i="1"/>
  <c r="AV47" i="1"/>
  <c r="AV88" i="1"/>
  <c r="BC88" i="1"/>
  <c r="BC137" i="1"/>
  <c r="AV137" i="1"/>
  <c r="BC89" i="1"/>
  <c r="AV89" i="1"/>
  <c r="AV163" i="1"/>
  <c r="BC163" i="1"/>
  <c r="BC245" i="1"/>
  <c r="AV245" i="1"/>
  <c r="BC212" i="1"/>
  <c r="AV212" i="1"/>
  <c r="AV221" i="1"/>
  <c r="BC221" i="1"/>
  <c r="BC140" i="1"/>
  <c r="BC191" i="1"/>
  <c r="AV191" i="1"/>
  <c r="AV209" i="1"/>
  <c r="AV188" i="1"/>
  <c r="BC188" i="1"/>
  <c r="BC219" i="1"/>
  <c r="AV219" i="1"/>
  <c r="AV299" i="1"/>
  <c r="BC299" i="1"/>
  <c r="AV340" i="1"/>
  <c r="BC340" i="1"/>
  <c r="I347" i="1"/>
  <c r="E35" i="2" s="1"/>
  <c r="AV355" i="1"/>
  <c r="BC355" i="1"/>
  <c r="BC369" i="1"/>
  <c r="AV369" i="1"/>
  <c r="AV135" i="1"/>
  <c r="BC135" i="1"/>
  <c r="AV244" i="1"/>
  <c r="BC244" i="1"/>
  <c r="BC315" i="1"/>
  <c r="AV315" i="1"/>
  <c r="BC326" i="1"/>
  <c r="AV326" i="1"/>
  <c r="AV400" i="1"/>
  <c r="BC400" i="1"/>
  <c r="AV320" i="1"/>
  <c r="BC320" i="1"/>
  <c r="AV172" i="1"/>
  <c r="BC172" i="1"/>
  <c r="BC178" i="1"/>
  <c r="BC248" i="1"/>
  <c r="BC319" i="1"/>
  <c r="AV319" i="1"/>
  <c r="BC330" i="1"/>
  <c r="AV330" i="1"/>
  <c r="AV111" i="1"/>
  <c r="BC111" i="1"/>
  <c r="BC213" i="1"/>
  <c r="AV335" i="1"/>
  <c r="BC335" i="1"/>
  <c r="BC395" i="1"/>
  <c r="BC385" i="1"/>
  <c r="AV385" i="1"/>
  <c r="BC403" i="1"/>
  <c r="BC425" i="1"/>
  <c r="AV379" i="1"/>
  <c r="AV408" i="1"/>
  <c r="F12" i="2"/>
  <c r="BC17" i="1"/>
  <c r="AV17" i="1"/>
  <c r="AV35" i="1"/>
  <c r="BC35" i="1"/>
  <c r="AV46" i="1"/>
  <c r="BC46" i="1"/>
  <c r="BC22" i="1"/>
  <c r="AV22" i="1"/>
  <c r="BC27" i="1"/>
  <c r="AV27" i="1"/>
  <c r="BC33" i="1"/>
  <c r="AV33" i="1"/>
  <c r="BC64" i="1"/>
  <c r="AV64" i="1"/>
  <c r="AV92" i="1"/>
  <c r="BC92" i="1"/>
  <c r="BC107" i="1"/>
  <c r="AV116" i="1"/>
  <c r="BC116" i="1"/>
  <c r="BC84" i="1"/>
  <c r="AV94" i="1"/>
  <c r="BC94" i="1"/>
  <c r="BC127" i="1"/>
  <c r="AV127" i="1"/>
  <c r="AV136" i="1"/>
  <c r="BC136" i="1"/>
  <c r="AV112" i="1"/>
  <c r="BC112" i="1"/>
  <c r="BC144" i="1"/>
  <c r="BC156" i="1"/>
  <c r="AV156" i="1"/>
  <c r="BC185" i="1"/>
  <c r="AV185" i="1"/>
  <c r="BC124" i="1"/>
  <c r="J149" i="1"/>
  <c r="F27" i="2" s="1"/>
  <c r="BC157" i="1"/>
  <c r="BC206" i="1"/>
  <c r="AV206" i="1"/>
  <c r="AV120" i="1"/>
  <c r="BC120" i="1"/>
  <c r="BC175" i="1"/>
  <c r="AV175" i="1"/>
  <c r="AV190" i="1"/>
  <c r="BC190" i="1"/>
  <c r="BC218" i="1"/>
  <c r="AV218" i="1"/>
  <c r="AV236" i="1"/>
  <c r="BC236" i="1"/>
  <c r="BC241" i="1"/>
  <c r="AV241" i="1"/>
  <c r="AV273" i="1"/>
  <c r="BC273" i="1"/>
  <c r="AV285" i="1"/>
  <c r="BC285" i="1"/>
  <c r="BC309" i="1"/>
  <c r="AV309" i="1"/>
  <c r="BC345" i="1"/>
  <c r="AV345" i="1"/>
  <c r="AV364" i="1"/>
  <c r="BC364" i="1"/>
  <c r="AV331" i="1"/>
  <c r="BC331" i="1"/>
  <c r="BC202" i="1"/>
  <c r="AV202" i="1"/>
  <c r="AV277" i="1"/>
  <c r="BC277" i="1"/>
  <c r="AV307" i="1"/>
  <c r="BC307" i="1"/>
  <c r="AV344" i="1"/>
  <c r="BC344" i="1"/>
  <c r="BC359" i="1"/>
  <c r="AV359" i="1"/>
  <c r="AV368" i="1"/>
  <c r="BC368" i="1"/>
  <c r="AV376" i="1"/>
  <c r="BC376" i="1"/>
  <c r="AV384" i="1"/>
  <c r="BC384" i="1"/>
  <c r="AV392" i="1"/>
  <c r="BC392" i="1"/>
  <c r="AV415" i="1"/>
  <c r="BC415" i="1"/>
  <c r="BC164" i="1"/>
  <c r="AV164" i="1"/>
  <c r="BC257" i="1"/>
  <c r="AV257" i="1"/>
  <c r="BC332" i="1"/>
  <c r="AV332" i="1"/>
  <c r="BC377" i="1"/>
  <c r="AV377" i="1"/>
  <c r="BC393" i="1"/>
  <c r="AV393" i="1"/>
  <c r="BC357" i="1"/>
  <c r="AV357" i="1"/>
  <c r="BC397" i="1"/>
  <c r="AV397" i="1"/>
  <c r="BC441" i="1"/>
  <c r="AV447" i="1"/>
  <c r="BC447" i="1"/>
  <c r="AV360" i="1"/>
  <c r="BC360" i="1"/>
  <c r="AV375" i="1"/>
  <c r="BC387" i="1"/>
  <c r="BC405" i="1"/>
  <c r="AV405" i="1"/>
  <c r="BC413" i="1"/>
  <c r="BC45" i="1"/>
  <c r="AV45" i="1"/>
  <c r="BC31" i="1"/>
  <c r="AV31" i="1"/>
  <c r="BC38" i="1"/>
  <c r="AV38" i="1"/>
  <c r="I86" i="1"/>
  <c r="E24" i="2" s="1"/>
  <c r="BC42" i="1"/>
  <c r="AV42" i="1"/>
  <c r="AV77" i="1"/>
  <c r="BC77" i="1"/>
  <c r="BC138" i="1"/>
  <c r="AV150" i="1"/>
  <c r="J100" i="1"/>
  <c r="F26" i="2" s="1"/>
  <c r="AV102" i="1"/>
  <c r="BC102" i="1"/>
  <c r="BC134" i="1"/>
  <c r="AV134" i="1"/>
  <c r="AV154" i="1"/>
  <c r="BC154" i="1"/>
  <c r="AV162" i="1"/>
  <c r="BC162" i="1"/>
  <c r="AV205" i="1"/>
  <c r="BC205" i="1"/>
  <c r="BC228" i="1"/>
  <c r="AV228" i="1"/>
  <c r="BC158" i="1"/>
  <c r="AV158" i="1"/>
  <c r="BC169" i="1"/>
  <c r="AV169" i="1"/>
  <c r="AV174" i="1"/>
  <c r="BC174" i="1"/>
  <c r="AV197" i="1"/>
  <c r="BC197" i="1"/>
  <c r="I240" i="1"/>
  <c r="E29" i="2" s="1"/>
  <c r="BC278" i="1"/>
  <c r="AV278" i="1"/>
  <c r="AV297" i="1"/>
  <c r="BC297" i="1"/>
  <c r="AV323" i="1"/>
  <c r="BC323" i="1"/>
  <c r="AV339" i="1"/>
  <c r="BC339" i="1"/>
  <c r="BC353" i="1"/>
  <c r="AV353" i="1"/>
  <c r="AV371" i="1"/>
  <c r="BC371" i="1"/>
  <c r="K421" i="1"/>
  <c r="G36" i="2" s="1"/>
  <c r="G37" i="2"/>
  <c r="I37" i="2" s="1"/>
  <c r="BC251" i="1"/>
  <c r="AV251" i="1"/>
  <c r="AV316" i="1"/>
  <c r="BC316" i="1"/>
  <c r="AV327" i="1"/>
  <c r="BC327" i="1"/>
  <c r="AV404" i="1"/>
  <c r="BC404" i="1"/>
  <c r="AV356" i="1"/>
  <c r="BC356" i="1"/>
  <c r="BC363" i="1"/>
  <c r="AV363" i="1"/>
  <c r="AV256" i="1"/>
  <c r="BC256" i="1"/>
  <c r="BC235" i="1"/>
  <c r="AV235" i="1"/>
  <c r="AV455" i="1"/>
  <c r="BC455" i="1"/>
  <c r="BC381" i="1"/>
  <c r="AV381" i="1"/>
  <c r="BC449" i="1"/>
  <c r="AV449" i="1"/>
  <c r="BC399" i="1"/>
  <c r="BC437" i="1"/>
  <c r="AV437" i="1"/>
  <c r="AV259" i="1"/>
  <c r="BC259" i="1"/>
  <c r="BC389" i="1"/>
  <c r="AV389" i="1"/>
  <c r="BC416" i="1"/>
  <c r="AV416" i="1"/>
  <c r="AV435" i="1"/>
  <c r="BC435" i="1"/>
  <c r="BC446" i="1"/>
  <c r="AV40" i="1"/>
  <c r="BC40" i="1"/>
  <c r="K463" i="1"/>
  <c r="G15" i="2"/>
  <c r="I15" i="2" s="1"/>
  <c r="AV99" i="1"/>
  <c r="BC99" i="1"/>
  <c r="BC115" i="1"/>
  <c r="AV115" i="1"/>
  <c r="BC73" i="1"/>
  <c r="AV73" i="1"/>
  <c r="AV90" i="1"/>
  <c r="BC90" i="1"/>
  <c r="BC51" i="1"/>
  <c r="AV51" i="1"/>
  <c r="AV103" i="1"/>
  <c r="BC103" i="1"/>
  <c r="BC143" i="1"/>
  <c r="AV143" i="1"/>
  <c r="AV97" i="1"/>
  <c r="BC97" i="1"/>
  <c r="BC222" i="1"/>
  <c r="AV222" i="1"/>
  <c r="AV181" i="1"/>
  <c r="BC181" i="1"/>
  <c r="AV263" i="1"/>
  <c r="BC263" i="1"/>
  <c r="BC267" i="1"/>
  <c r="AV267" i="1"/>
  <c r="AV272" i="1"/>
  <c r="BC272" i="1"/>
  <c r="AV287" i="1"/>
  <c r="BC287" i="1"/>
  <c r="BC317" i="1"/>
  <c r="AV317" i="1"/>
  <c r="BC328" i="1"/>
  <c r="AV328" i="1"/>
  <c r="AV348" i="1"/>
  <c r="BC348" i="1"/>
  <c r="AV396" i="1"/>
  <c r="BC396" i="1"/>
  <c r="AV420" i="1"/>
  <c r="BC420" i="1"/>
  <c r="AV173" i="1"/>
  <c r="BC173" i="1"/>
  <c r="AV220" i="1"/>
  <c r="BC220" i="1"/>
  <c r="BC276" i="1"/>
  <c r="AV276" i="1"/>
  <c r="BC305" i="1"/>
  <c r="AV305" i="1"/>
  <c r="BC342" i="1"/>
  <c r="AV342" i="1"/>
  <c r="AV352" i="1"/>
  <c r="BC352" i="1"/>
  <c r="AV380" i="1"/>
  <c r="BC380" i="1"/>
  <c r="AV388" i="1"/>
  <c r="BC388" i="1"/>
  <c r="AV409" i="1"/>
  <c r="BC409" i="1"/>
  <c r="AV427" i="1"/>
  <c r="BC427" i="1"/>
  <c r="AV161" i="1"/>
  <c r="BC161" i="1"/>
  <c r="AV247" i="1"/>
  <c r="BC247" i="1"/>
  <c r="AV372" i="1"/>
  <c r="BC372" i="1"/>
  <c r="AV189" i="1"/>
  <c r="BC189" i="1"/>
  <c r="BC234" i="1"/>
  <c r="AV234" i="1"/>
  <c r="AV260" i="1"/>
  <c r="BC260" i="1"/>
  <c r="AV367" i="1"/>
  <c r="BC367" i="1"/>
  <c r="AV334" i="1"/>
  <c r="BC334" i="1"/>
  <c r="AV351" i="1"/>
  <c r="BC351" i="1"/>
  <c r="BC401" i="1"/>
  <c r="AV401" i="1"/>
  <c r="BC410" i="1"/>
  <c r="AV410" i="1"/>
  <c r="E37" i="2"/>
  <c r="I421" i="1"/>
  <c r="E36" i="2" s="1"/>
  <c r="BC433" i="1"/>
  <c r="AV433" i="1"/>
  <c r="BC373" i="1"/>
  <c r="AV373" i="1"/>
  <c r="AV453" i="1"/>
  <c r="BC453" i="1"/>
  <c r="BC461" i="1"/>
  <c r="C22" i="4" l="1"/>
  <c r="G40" i="2"/>
  <c r="I28" i="4"/>
  <c r="I29" i="4" s="1"/>
  <c r="J12" i="1"/>
  <c r="F11" i="2" s="1"/>
  <c r="I12" i="1"/>
  <c r="E11" i="2" s="1"/>
</calcChain>
</file>

<file path=xl/sharedStrings.xml><?xml version="1.0" encoding="utf-8"?>
<sst xmlns="http://schemas.openxmlformats.org/spreadsheetml/2006/main" count="5954" uniqueCount="1336">
  <si>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</si>
  <si>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</si>
  <si>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</si>
  <si>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</si>
  <si>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</si>
  <si>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</si>
  <si>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</si>
  <si>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</si>
  <si>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</si>
  <si>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</si>
  <si>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</si>
  <si>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</si>
  <si>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</si>
  <si>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</si>
  <si>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</si>
  <si>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</si>
  <si>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</si>
  <si>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</si>
  <si>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</si>
  <si>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</si>
  <si>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</si>
  <si>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</si>
  <si>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</si>
  <si>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</si>
  <si>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</si>
  <si>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</si>
  <si>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</si>
  <si>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</si>
  <si>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</si>
  <si>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</si>
  <si>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</si>
  <si>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</si>
  <si>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</si>
  <si>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</si>
  <si>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</si>
  <si>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</si>
  <si>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</si>
  <si>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</si>
  <si>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</si>
  <si>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</si>
  <si>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</si>
  <si>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</si>
  <si>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</si>
  <si>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</si>
  <si>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</si>
  <si>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</si>
  <si>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</si>
  <si>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</si>
  <si>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</si>
  <si>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</si>
  <si>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</si>
  <si>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</si>
  <si>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</si>
  <si>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</si>
  <si>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</si>
  <si>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</si>
  <si>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</si>
  <si>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</si>
  <si>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</si>
  <si>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</si>
  <si>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</si>
  <si>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</si>
  <si>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</si>
  <si>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</si>
  <si>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</si>
  <si>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</si>
  <si>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</si>
  <si>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</si>
  <si>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</si>
  <si>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</si>
  <si>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</si>
  <si>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</si>
  <si>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</si>
  <si>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</si>
  <si>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</si>
  <si>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</si>
  <si>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</si>
  <si>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</si>
  <si>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</si>
  <si>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</si>
  <si>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</si>
  <si>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</si>
  <si>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</si>
  <si>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</si>
  <si>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</si>
  <si>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</si>
  <si>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</si>
  <si>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</si>
  <si>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</si>
  <si>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</si>
  <si>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</si>
  <si>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</si>
  <si>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</si>
  <si>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</si>
  <si>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</si>
  <si>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</si>
  <si>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</si>
  <si>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</si>
  <si>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</si>
  <si>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</si>
  <si>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</si>
  <si>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</si>
  <si>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</si>
  <si>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</si>
  <si>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</si>
  <si>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</si>
  <si>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</si>
  <si>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</si>
  <si>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</si>
  <si>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</si>
  <si>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</si>
  <si>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</si>
  <si>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</si>
  <si>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</si>
  <si>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</si>
  <si>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</si>
  <si>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</si>
  <si>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</si>
  <si>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</si>
  <si>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</si>
  <si>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</si>
  <si>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</si>
  <si>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</si>
  <si>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</si>
  <si>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</si>
  <si>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</si>
  <si>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</si>
  <si>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</si>
  <si>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</si>
  <si>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</si>
  <si>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</si>
  <si>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</si>
  <si>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</si>
  <si>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</si>
  <si>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</si>
  <si>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</si>
  <si>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</si>
  <si>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</si>
  <si>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</si>
  <si>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</si>
  <si>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</si>
  <si>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</si>
  <si>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</si>
  <si>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</si>
  <si>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</si>
  <si>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</si>
  <si>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</si>
  <si>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</si>
  <si>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</si>
  <si>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</si>
  <si>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</si>
  <si>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</si>
  <si>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</si>
  <si>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</si>
  <si>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</si>
  <si>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</si>
  <si>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</si>
  <si>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</si>
  <si>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</si>
  <si>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</si>
  <si>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</si>
  <si>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</si>
  <si>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</si>
  <si>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</si>
  <si>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</si>
  <si>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</si>
  <si>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</si>
  <si>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</si>
  <si>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</si>
  <si>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</si>
  <si>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</si>
  <si>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</si>
  <si>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</si>
  <si>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</si>
  <si>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</si>
  <si>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</si>
  <si>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</si>
  <si>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</si>
  <si>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</si>
  <si>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</si>
  <si>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</si>
  <si>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</si>
  <si>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</si>
  <si>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</si>
  <si>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</si>
  <si>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</si>
  <si>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</si>
  <si>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</si>
  <si>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</si>
  <si>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</si>
  <si>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</si>
  <si>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</si>
  <si>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</si>
  <si>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</si>
  <si>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</si>
  <si>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</si>
  <si>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</si>
  <si>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</si>
  <si>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</si>
  <si>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</si>
  <si>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</si>
  <si>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</si>
  <si>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</si>
  <si>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</si>
  <si>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</si>
  <si>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</si>
  <si>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</si>
  <si>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</si>
  <si>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</si>
  <si>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</si>
  <si>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</si>
  <si>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</si>
  <si>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</si>
  <si>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</si>
  <si>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</si>
  <si>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</si>
  <si>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</si>
  <si>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</si>
  <si>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</si>
  <si>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</si>
  <si>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</si>
  <si>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</si>
  <si>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</si>
  <si>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</si>
  <si>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</si>
  <si>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</si>
  <si>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</si>
  <si>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</si>
  <si>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</si>
  <si>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</si>
  <si>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</si>
  <si>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</si>
  <si>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</si>
  <si>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</si>
  <si>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</si>
  <si>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</si>
  <si>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</si>
  <si>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</si>
  <si>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</si>
  <si>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</si>
  <si>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</si>
  <si>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</si>
  <si>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</si>
  <si>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</si>
  <si>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</si>
  <si>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</si>
  <si>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</si>
  <si>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</si>
  <si>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</si>
  <si>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</si>
  <si>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</si>
  <si>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</si>
  <si>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</si>
  <si>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</si>
  <si>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</si>
  <si>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</si>
  <si>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</si>
  <si>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</si>
  <si>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</si>
  <si>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</si>
  <si>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</si>
  <si>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</si>
  <si>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</si>
  <si>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</si>
  <si>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</si>
  <si>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</si>
  <si>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</si>
  <si>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</si>
  <si>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</si>
  <si>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</si>
  <si>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</si>
  <si>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</si>
  <si>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</si>
  <si>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</si>
  <si>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</si>
  <si>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</si>
  <si>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</si>
  <si>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</si>
  <si>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</si>
  <si>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</si>
  <si>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</si>
  <si>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</si>
  <si>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</si>
  <si>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</si>
  <si>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</si>
  <si>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</si>
  <si>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</si>
  <si>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</si>
  <si>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</si>
  <si>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</si>
  <si>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</si>
  <si>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</si>
  <si>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</si>
  <si>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</si>
  <si>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</si>
  <si>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</si>
  <si>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</si>
  <si>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</si>
  <si>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</si>
  <si>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</si>
  <si>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</si>
  <si>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</si>
  <si>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</si>
  <si>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</si>
  <si>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</si>
  <si>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</si>
  <si>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</si>
  <si>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</si>
  <si>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</si>
  <si>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</si>
  <si>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</si>
  <si>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</si>
  <si>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</si>
  <si>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</si>
  <si>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</si>
  <si>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</si>
  <si>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</si>
  <si>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</si>
  <si>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</si>
  <si>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</si>
  <si>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</si>
  <si>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</si>
  <si>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</si>
  <si>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</si>
  <si>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</si>
  <si>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</si>
  <si>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</si>
  <si>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</si>
  <si>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</si>
  <si>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</si>
  <si>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</si>
  <si>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</si>
  <si>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</si>
  <si>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</si>
  <si>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</si>
  <si>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</si>
  <si>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</si>
  <si>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</si>
  <si>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</si>
  <si>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</si>
  <si>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</si>
  <si>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</si>
  <si>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</si>
  <si>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</si>
  <si>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</si>
  <si>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</si>
  <si>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</si>
  <si>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</si>
  <si>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</si>
  <si>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</si>
  <si>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</si>
  <si>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</si>
  <si>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</si>
  <si>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</si>
  <si>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</si>
  <si>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</si>
  <si>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</si>
  <si>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</si>
  <si>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</si>
  <si>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</si>
  <si>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</si>
  <si>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</si>
  <si>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</si>
  <si>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</si>
  <si>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Poznámka:</t>
  </si>
  <si>
    <t>Kód</t>
  </si>
  <si>
    <t>139711101RT3</t>
  </si>
  <si>
    <t>166101101R00</t>
  </si>
  <si>
    <t>174101102R00</t>
  </si>
  <si>
    <t>317121047RT4</t>
  </si>
  <si>
    <t>317121049RT2</t>
  </si>
  <si>
    <t>342255024RT1</t>
  </si>
  <si>
    <t>342255028RT1</t>
  </si>
  <si>
    <t>342941115R00</t>
  </si>
  <si>
    <t>342948111R00</t>
  </si>
  <si>
    <t>346275115R00</t>
  </si>
  <si>
    <t>416061110RT1</t>
  </si>
  <si>
    <t>611421431RT7</t>
  </si>
  <si>
    <t>612421431RT7</t>
  </si>
  <si>
    <t>612421615RT1</t>
  </si>
  <si>
    <t>612421739RT7</t>
  </si>
  <si>
    <t>612456217RT2</t>
  </si>
  <si>
    <t>612471473R00</t>
  </si>
  <si>
    <t>612473186R00</t>
  </si>
  <si>
    <t>631315621RU1</t>
  </si>
  <si>
    <t>919735122R00</t>
  </si>
  <si>
    <t>941955002R00</t>
  </si>
  <si>
    <t>952901111R00</t>
  </si>
  <si>
    <t>962031183R00</t>
  </si>
  <si>
    <t>962086106R00</t>
  </si>
  <si>
    <t>965042121RT2</t>
  </si>
  <si>
    <t>965042141RT2</t>
  </si>
  <si>
    <t>965049111RT2</t>
  </si>
  <si>
    <t>965081713R00</t>
  </si>
  <si>
    <t>967031732RT1</t>
  </si>
  <si>
    <t>968061125R00</t>
  </si>
  <si>
    <t>968072455R00</t>
  </si>
  <si>
    <t>968072641RT1</t>
  </si>
  <si>
    <t>968072641RT2</t>
  </si>
  <si>
    <t>978011161RT1</t>
  </si>
  <si>
    <t>978013161RT1</t>
  </si>
  <si>
    <t>978056391RT1</t>
  </si>
  <si>
    <t>S</t>
  </si>
  <si>
    <t>979011111R00</t>
  </si>
  <si>
    <t>979081111R00</t>
  </si>
  <si>
    <t>979081121R00</t>
  </si>
  <si>
    <t>979082111R00</t>
  </si>
  <si>
    <t>979082121R00</t>
  </si>
  <si>
    <t>979087212R00</t>
  </si>
  <si>
    <t>979087311R00</t>
  </si>
  <si>
    <t>979093111R00</t>
  </si>
  <si>
    <t>979990101R00</t>
  </si>
  <si>
    <t>979990111R00</t>
  </si>
  <si>
    <t>H01</t>
  </si>
  <si>
    <t>998011001R00</t>
  </si>
  <si>
    <t>721</t>
  </si>
  <si>
    <t>72111</t>
  </si>
  <si>
    <t>72112</t>
  </si>
  <si>
    <t>72113</t>
  </si>
  <si>
    <t>72114</t>
  </si>
  <si>
    <t>72115</t>
  </si>
  <si>
    <t>72116</t>
  </si>
  <si>
    <t>72117</t>
  </si>
  <si>
    <t>72121</t>
  </si>
  <si>
    <t>72122</t>
  </si>
  <si>
    <t>72131</t>
  </si>
  <si>
    <t>72132</t>
  </si>
  <si>
    <t>72133</t>
  </si>
  <si>
    <t>72134</t>
  </si>
  <si>
    <t>72135</t>
  </si>
  <si>
    <t>72141</t>
  </si>
  <si>
    <t>72142</t>
  </si>
  <si>
    <t>72143</t>
  </si>
  <si>
    <t>72144</t>
  </si>
  <si>
    <t>72151</t>
  </si>
  <si>
    <t>72152</t>
  </si>
  <si>
    <t>72153</t>
  </si>
  <si>
    <t>72154</t>
  </si>
  <si>
    <t>72155</t>
  </si>
  <si>
    <t>72156</t>
  </si>
  <si>
    <t>72157</t>
  </si>
  <si>
    <t>72158</t>
  </si>
  <si>
    <t>72159</t>
  </si>
  <si>
    <t>721510</t>
  </si>
  <si>
    <t>721511</t>
  </si>
  <si>
    <t>721512</t>
  </si>
  <si>
    <t>721513</t>
  </si>
  <si>
    <t>721514</t>
  </si>
  <si>
    <t>721515</t>
  </si>
  <si>
    <t>721516</t>
  </si>
  <si>
    <t>721517</t>
  </si>
  <si>
    <t>721518</t>
  </si>
  <si>
    <t>72171</t>
  </si>
  <si>
    <t>72172</t>
  </si>
  <si>
    <t>72173</t>
  </si>
  <si>
    <t>72174</t>
  </si>
  <si>
    <t>72181</t>
  </si>
  <si>
    <t>72182</t>
  </si>
  <si>
    <t>72183</t>
  </si>
  <si>
    <t>72184</t>
  </si>
  <si>
    <t>72185</t>
  </si>
  <si>
    <t>72186</t>
  </si>
  <si>
    <t>72187</t>
  </si>
  <si>
    <t>72188</t>
  </si>
  <si>
    <t>722</t>
  </si>
  <si>
    <t>72211</t>
  </si>
  <si>
    <t>72212</t>
  </si>
  <si>
    <t>72213</t>
  </si>
  <si>
    <t>72214</t>
  </si>
  <si>
    <t>72215</t>
  </si>
  <si>
    <t>72216</t>
  </si>
  <si>
    <t>72221</t>
  </si>
  <si>
    <t>72222</t>
  </si>
  <si>
    <t>72223</t>
  </si>
  <si>
    <t>72224</t>
  </si>
  <si>
    <t>72231</t>
  </si>
  <si>
    <t>72232</t>
  </si>
  <si>
    <t>72233</t>
  </si>
  <si>
    <t>72234</t>
  </si>
  <si>
    <t>72241</t>
  </si>
  <si>
    <t>72242</t>
  </si>
  <si>
    <t>72243</t>
  </si>
  <si>
    <t>72244</t>
  </si>
  <si>
    <t>72245</t>
  </si>
  <si>
    <t>72246</t>
  </si>
  <si>
    <t>72247</t>
  </si>
  <si>
    <t>72248</t>
  </si>
  <si>
    <t>72249</t>
  </si>
  <si>
    <t>722410</t>
  </si>
  <si>
    <t>722411</t>
  </si>
  <si>
    <t>722412</t>
  </si>
  <si>
    <t>722413</t>
  </si>
  <si>
    <t>722414</t>
  </si>
  <si>
    <t>722415</t>
  </si>
  <si>
    <t>72251</t>
  </si>
  <si>
    <t>72252</t>
  </si>
  <si>
    <t>72253</t>
  </si>
  <si>
    <t>72254</t>
  </si>
  <si>
    <t>72255</t>
  </si>
  <si>
    <t>72256</t>
  </si>
  <si>
    <t>72261</t>
  </si>
  <si>
    <t>72262</t>
  </si>
  <si>
    <t>72263</t>
  </si>
  <si>
    <t>72264</t>
  </si>
  <si>
    <t>72265</t>
  </si>
  <si>
    <t>72271</t>
  </si>
  <si>
    <t>72272</t>
  </si>
  <si>
    <t>72273</t>
  </si>
  <si>
    <t>72274</t>
  </si>
  <si>
    <t>72275</t>
  </si>
  <si>
    <t>72276</t>
  </si>
  <si>
    <t>72277</t>
  </si>
  <si>
    <t>72278</t>
  </si>
  <si>
    <t>72279</t>
  </si>
  <si>
    <t>722710</t>
  </si>
  <si>
    <t>728</t>
  </si>
  <si>
    <t>101a</t>
  </si>
  <si>
    <t>101b</t>
  </si>
  <si>
    <t>101c</t>
  </si>
  <si>
    <t>730</t>
  </si>
  <si>
    <t>73111</t>
  </si>
  <si>
    <t>73112</t>
  </si>
  <si>
    <t>73121</t>
  </si>
  <si>
    <t>73122</t>
  </si>
  <si>
    <t>73123</t>
  </si>
  <si>
    <t>73124</t>
  </si>
  <si>
    <t>73131</t>
  </si>
  <si>
    <t>73141</t>
  </si>
  <si>
    <t>73142</t>
  </si>
  <si>
    <t>73143</t>
  </si>
  <si>
    <t>73151</t>
  </si>
  <si>
    <t>73152</t>
  </si>
  <si>
    <t>73153</t>
  </si>
  <si>
    <t>73154</t>
  </si>
  <si>
    <t>73155</t>
  </si>
  <si>
    <t>73156</t>
  </si>
  <si>
    <t>73157</t>
  </si>
  <si>
    <t>73158</t>
  </si>
  <si>
    <t>73159</t>
  </si>
  <si>
    <t>731510</t>
  </si>
  <si>
    <t>731511</t>
  </si>
  <si>
    <t>73161</t>
  </si>
  <si>
    <t>73162</t>
  </si>
  <si>
    <t>73163</t>
  </si>
  <si>
    <t>73171</t>
  </si>
  <si>
    <t>73172</t>
  </si>
  <si>
    <t>73173</t>
  </si>
  <si>
    <t>73174</t>
  </si>
  <si>
    <t>73181</t>
  </si>
  <si>
    <t>73182</t>
  </si>
  <si>
    <t>73183</t>
  </si>
  <si>
    <t>73184</t>
  </si>
  <si>
    <t>73185</t>
  </si>
  <si>
    <t>73186</t>
  </si>
  <si>
    <t>73187</t>
  </si>
  <si>
    <t>73188</t>
  </si>
  <si>
    <t>73189</t>
  </si>
  <si>
    <t>731810</t>
  </si>
  <si>
    <t>731811</t>
  </si>
  <si>
    <t>766</t>
  </si>
  <si>
    <t>766121210RT3</t>
  </si>
  <si>
    <t>766121210RT4</t>
  </si>
  <si>
    <t>766661112RU1</t>
  </si>
  <si>
    <t>766661422RU1</t>
  </si>
  <si>
    <t>766661422RU2</t>
  </si>
  <si>
    <t>998766101R00</t>
  </si>
  <si>
    <t>767</t>
  </si>
  <si>
    <t>767995201RU1</t>
  </si>
  <si>
    <t>767995201RU2</t>
  </si>
  <si>
    <t>767995201RU3</t>
  </si>
  <si>
    <t>767995201RU4</t>
  </si>
  <si>
    <t>767995201RU5</t>
  </si>
  <si>
    <t>767995201RU6</t>
  </si>
  <si>
    <t>767995201RU7</t>
  </si>
  <si>
    <t>767995201RU8</t>
  </si>
  <si>
    <t>998767101R00</t>
  </si>
  <si>
    <t>771</t>
  </si>
  <si>
    <t>771101142R00</t>
  </si>
  <si>
    <t>771101147R00</t>
  </si>
  <si>
    <t>771101210R00</t>
  </si>
  <si>
    <t>771575109R00</t>
  </si>
  <si>
    <t>597642031</t>
  </si>
  <si>
    <t>771578011RT4</t>
  </si>
  <si>
    <t>771579791R00</t>
  </si>
  <si>
    <t>771579795R00</t>
  </si>
  <si>
    <t>998771101R00</t>
  </si>
  <si>
    <t>781</t>
  </si>
  <si>
    <t>781101142R00</t>
  </si>
  <si>
    <t>781101210R00</t>
  </si>
  <si>
    <t>781111111R00</t>
  </si>
  <si>
    <t>781111115R00</t>
  </si>
  <si>
    <t>781111116R00</t>
  </si>
  <si>
    <t>781310121R00</t>
  </si>
  <si>
    <t>597813748</t>
  </si>
  <si>
    <t>781320121R00</t>
  </si>
  <si>
    <t>781419706R00</t>
  </si>
  <si>
    <t>781475120R00</t>
  </si>
  <si>
    <t>781491001RT1</t>
  </si>
  <si>
    <t>59760210.A</t>
  </si>
  <si>
    <t>59760210.B</t>
  </si>
  <si>
    <t>59760210.C</t>
  </si>
  <si>
    <t>998781101R00</t>
  </si>
  <si>
    <t>784</t>
  </si>
  <si>
    <t>784111101R00</t>
  </si>
  <si>
    <t>784111201RT1</t>
  </si>
  <si>
    <t>784115312R00</t>
  </si>
  <si>
    <t>M21</t>
  </si>
  <si>
    <t>971033141</t>
  </si>
  <si>
    <t>971033148</t>
  </si>
  <si>
    <t>973031324</t>
  </si>
  <si>
    <t>974082212</t>
  </si>
  <si>
    <t>974082214</t>
  </si>
  <si>
    <t>740991200</t>
  </si>
  <si>
    <t>742231100</t>
  </si>
  <si>
    <t>357118715R</t>
  </si>
  <si>
    <t>35711289R</t>
  </si>
  <si>
    <t>74281111R</t>
  </si>
  <si>
    <t>743112115</t>
  </si>
  <si>
    <t>345710510</t>
  </si>
  <si>
    <t>743112117</t>
  </si>
  <si>
    <t>345710940</t>
  </si>
  <si>
    <t>743411111</t>
  </si>
  <si>
    <t>345715210</t>
  </si>
  <si>
    <t>345715110</t>
  </si>
  <si>
    <t>345715240</t>
  </si>
  <si>
    <t>345715841</t>
  </si>
  <si>
    <t>743411121</t>
  </si>
  <si>
    <t>10033023</t>
  </si>
  <si>
    <t>743681100D</t>
  </si>
  <si>
    <t>744211111</t>
  </si>
  <si>
    <t>341408256</t>
  </si>
  <si>
    <t>341408258</t>
  </si>
  <si>
    <t>744411220</t>
  </si>
  <si>
    <t>341110300</t>
  </si>
  <si>
    <t>341110050</t>
  </si>
  <si>
    <t>341581780R</t>
  </si>
  <si>
    <t>744411230</t>
  </si>
  <si>
    <t>341110380</t>
  </si>
  <si>
    <t>341110360</t>
  </si>
  <si>
    <t>746211110</t>
  </si>
  <si>
    <t>21060624</t>
  </si>
  <si>
    <t>68500231</t>
  </si>
  <si>
    <t>68500240</t>
  </si>
  <si>
    <t>345723090</t>
  </si>
  <si>
    <t>746211142</t>
  </si>
  <si>
    <t>746591510</t>
  </si>
  <si>
    <t>10939562</t>
  </si>
  <si>
    <t>747111111</t>
  </si>
  <si>
    <t>345357691</t>
  </si>
  <si>
    <t>747111115</t>
  </si>
  <si>
    <t>345357695</t>
  </si>
  <si>
    <t>747111128</t>
  </si>
  <si>
    <t>345357130</t>
  </si>
  <si>
    <t>747161340</t>
  </si>
  <si>
    <t>10038861R</t>
  </si>
  <si>
    <t>10038862R</t>
  </si>
  <si>
    <t>345357130R</t>
  </si>
  <si>
    <t>7471621R</t>
  </si>
  <si>
    <t>748121142</t>
  </si>
  <si>
    <t>34814435R1</t>
  </si>
  <si>
    <t>34814435R2</t>
  </si>
  <si>
    <t>34814435R3</t>
  </si>
  <si>
    <t>748121211</t>
  </si>
  <si>
    <t>348381000R</t>
  </si>
  <si>
    <t>74899220R</t>
  </si>
  <si>
    <t>748992300</t>
  </si>
  <si>
    <t>74991111R</t>
  </si>
  <si>
    <t>340550847R</t>
  </si>
  <si>
    <t>013254000</t>
  </si>
  <si>
    <t>013254000R</t>
  </si>
  <si>
    <t>071103000</t>
  </si>
  <si>
    <t>092103001</t>
  </si>
  <si>
    <t>092100008</t>
  </si>
  <si>
    <t>340520545R</t>
  </si>
  <si>
    <t>092203041</t>
  </si>
  <si>
    <t>000</t>
  </si>
  <si>
    <t>005 10-1010.R</t>
  </si>
  <si>
    <t>005 10-1020.R</t>
  </si>
  <si>
    <t>005 10-1030.R</t>
  </si>
  <si>
    <t>005 12-1020.R</t>
  </si>
  <si>
    <t>005 12-2010.R</t>
  </si>
  <si>
    <t>005 12-4010.R</t>
  </si>
  <si>
    <t>005 23-1010.R</t>
  </si>
  <si>
    <t>005 24-1020.R</t>
  </si>
  <si>
    <t>005-24-1010.R</t>
  </si>
  <si>
    <t>005 26-1010.R</t>
  </si>
  <si>
    <t>001</t>
  </si>
  <si>
    <t>342091031R00</t>
  </si>
  <si>
    <t>55330439</t>
  </si>
  <si>
    <t>342261111R00</t>
  </si>
  <si>
    <t>962036112RU1</t>
  </si>
  <si>
    <t>962036112R00</t>
  </si>
  <si>
    <t>766661122RT1</t>
  </si>
  <si>
    <t>766661122RU1</t>
  </si>
  <si>
    <t>Zkrácený popis / Varianta</t>
  </si>
  <si>
    <t>Rozměry</t>
  </si>
  <si>
    <t>1.Etapa – SO01L</t>
  </si>
  <si>
    <t>Hloubené vykopávky</t>
  </si>
  <si>
    <t>Vykopávka v uzavřených prostorách v hor.1-4 dle pozn.15</t>
  </si>
  <si>
    <t>hornina 3</t>
  </si>
  <si>
    <t>Přemístění výkopku</t>
  </si>
  <si>
    <t>Přehození výkopku z hor.1-4</t>
  </si>
  <si>
    <t>Konstrukce ze zemin</t>
  </si>
  <si>
    <t>Zásyp ruční se zhutněním</t>
  </si>
  <si>
    <t>provedení dle popisu v PD</t>
  </si>
  <si>
    <t>Zdi podpěrné a volné</t>
  </si>
  <si>
    <t>Překlad nenosný porobeton, světlost otv. do 105 cm</t>
  </si>
  <si>
    <t>překlad nenosný 125 x 24,9 x 15 cm ozn.P2</t>
  </si>
  <si>
    <t>Překlad nenosný porobeton, světlost otv. do 375 cm</t>
  </si>
  <si>
    <t>překlad nenosný 250 x 24,9 x 7 cm  ozn.P1</t>
  </si>
  <si>
    <t>Stěny a příčky</t>
  </si>
  <si>
    <t>Příčky z desek plynosilikátových tl. 10 cm</t>
  </si>
  <si>
    <t>desky P 2 - 500, 599 x 249 x 100 mm</t>
  </si>
  <si>
    <t>Příčky z desek plynosilikátových tl. 15 cm</t>
  </si>
  <si>
    <t>desky P 2 - 500, 599 x 249 x 150 mm</t>
  </si>
  <si>
    <t>Připojení příček ke stropní konstrukci montážní pěnou</t>
  </si>
  <si>
    <t>Ukotvení příček k cihel.konstr. kotvami na hmožd.</t>
  </si>
  <si>
    <t>Přizdívky z desek plynosilikátových tl. 150 mm -dle pozn.04</t>
  </si>
  <si>
    <t>Stropy a stropní konstrukce (pro pozemní stavby)</t>
  </si>
  <si>
    <t>Kazeta 600x600mm, pozink.závěs.rošt, vč.izol.50mm -dle pozn.06</t>
  </si>
  <si>
    <t>minerální kazetový podhled na systémovém roštu, tl.desky 15mm, tl.izolace 50mm, kazety omyvatelné, se zvýšenou odolností proti vlhkosti</t>
  </si>
  <si>
    <t>Úprava povrchů vnitřní</t>
  </si>
  <si>
    <t>Oprava váp.omítek stropů do 50% plochy - štukových -dle pozn.03</t>
  </si>
  <si>
    <t>penetrace povrchu+přeštukování původních stropů</t>
  </si>
  <si>
    <t>Oprava vápen.omítek stěn do 50 % pl. - štukových -dle pozn.03</t>
  </si>
  <si>
    <t>penetrace povrchu+přeštukování původních stěn</t>
  </si>
  <si>
    <t>Omítka stěrková s adhezním můstkem -pod obklady</t>
  </si>
  <si>
    <t>Omítka vnitřní zdiva, MVC, na pletivu, štuková -dle pozn.05</t>
  </si>
  <si>
    <t>mové zdivo- jádrová omítka se sklotext.síťovinou+přeštukování povrchu</t>
  </si>
  <si>
    <t>Zednické vyspravení parapetu a ostění</t>
  </si>
  <si>
    <t>Úprava stěn pórobetonových, stěrkování a vyhlazení</t>
  </si>
  <si>
    <t>Příplatek za zabudované rohovníky</t>
  </si>
  <si>
    <t>Doplňující konstrukce a práce na pozemních komunikacích a zpevněných plochách</t>
  </si>
  <si>
    <t>Oprava stávající podlahy po výkopech-provedení a skladba dle TZ</t>
  </si>
  <si>
    <t>geotextilie+podkl.beton C20/25-XC1 tl.150mm se.sítí KARI 100/100/5mm a přísadou tekuté krystal.izolace -5 l/m3, ručně kletovaný+hydroizol.souvrství vč.napojení na stávající+EPS 150S tl.40mm+PE folie+potěr C20/25 v tl.min.40mm</t>
  </si>
  <si>
    <t>Řezání stávajícího betonového krytu tl. 5 - 10 cm</t>
  </si>
  <si>
    <t>dle pozn.15</t>
  </si>
  <si>
    <t>Lešení a stavební výtahy</t>
  </si>
  <si>
    <t>Lešení lehké pomocné, výška podlahy do 1,9 m</t>
  </si>
  <si>
    <t>Různé dokončovací konstrukce a práce na pozemních stavbách</t>
  </si>
  <si>
    <t>Vyčištění budov o výšce podlaží do 4 m</t>
  </si>
  <si>
    <t>Bourání konstrukcí</t>
  </si>
  <si>
    <t>Bourání příček z tvárnic bet. dutinových tl.100 mm -dle pozn.11</t>
  </si>
  <si>
    <t>tl.75mm</t>
  </si>
  <si>
    <t>Bourání příček z plynosilik. a pórobetonu tl.10 cm -dle pozn.08</t>
  </si>
  <si>
    <t>plynosilikátová přizdívka tl.100mm</t>
  </si>
  <si>
    <t>Bourání mazanin betonových tl. 10 cm, pl. 1 m2 -dle pozn.15</t>
  </si>
  <si>
    <t>ručně tl. mazaniny 8 - 10 cm</t>
  </si>
  <si>
    <t>Bourání mazanin betonových tl. 10 cm, nad 4 m2 dle pozn.15</t>
  </si>
  <si>
    <t>Příplatek, bourání mazanin se svař. síťí tl. 10 cm</t>
  </si>
  <si>
    <t>oboustranná výztuž svařovanou sítí</t>
  </si>
  <si>
    <t>Bourání dlažeb keramických tl.10 mm, nad 1 m2 -dle pozn.05 a 15</t>
  </si>
  <si>
    <t>Začištění stěn a stropů po vybourání příček tl.10cm</t>
  </si>
  <si>
    <t>stěny+stropy</t>
  </si>
  <si>
    <t>Vyvěšení dřevěných dveřních křídel pl. do 2 m2 -dle pozn.09, 10</t>
  </si>
  <si>
    <t>vč.likvidace na skládce</t>
  </si>
  <si>
    <t>Vybourání kovových dveřních zárubní pl. do 2 m2 -dle pozn.09</t>
  </si>
  <si>
    <t>Vybourání kovových stěn, kromě výkladních, vč.dveří</t>
  </si>
  <si>
    <t>sanitární příčky -vybourání dle pozn.13, vč.ekolog.likvidace na skládce</t>
  </si>
  <si>
    <t>Vybourání kovových stěn, kromě výkladních</t>
  </si>
  <si>
    <t>plech.opláštění -vybourání dle pozn.12, vč.ekolog.likvidace na skládce</t>
  </si>
  <si>
    <t>Prorážení otvorů a ostatní bourací práce</t>
  </si>
  <si>
    <t>Otlučení omítek vnitřních vápenných stropů do 50 %</t>
  </si>
  <si>
    <t>oškrábání stávajících nesoudržných štuků stropů+ mechanické očištění, provedení dle pozn.07</t>
  </si>
  <si>
    <t>Otlučení omítek vnitřních stěn v rozsahu do 50 %</t>
  </si>
  <si>
    <t>oškrábání stávajících nesoudržných štuků stěn+ mechanické očištění, provedení dle pozn.07</t>
  </si>
  <si>
    <t>Oškrábání olej.nátěru stěn</t>
  </si>
  <si>
    <t>oškrábání stávaj.omyvatelného nátěru stěn, provedení dle pozn.06</t>
  </si>
  <si>
    <t>Přesuny sutí</t>
  </si>
  <si>
    <t>Svislá doprava suti a vybour. hmot za 2.NP a 1.PP</t>
  </si>
  <si>
    <t>Odvoz suti a vybour. hmot na skládku do 1 km</t>
  </si>
  <si>
    <t>Příplatek k odvozu za každý další 1 km</t>
  </si>
  <si>
    <t>Vnitrostaveništní doprava suti do 10 m</t>
  </si>
  <si>
    <t>Příplatek k vnitrost. dopravě suti za dalších 5 m</t>
  </si>
  <si>
    <t>Nakládání suti na dopravní prostředky</t>
  </si>
  <si>
    <t>Vodorovné přemístění suti nošením do 10 m</t>
  </si>
  <si>
    <t>Uložení suti na skládku bez zhutnění</t>
  </si>
  <si>
    <t>Poplatek za skládku suti - směs betonu, omítek a cihel</t>
  </si>
  <si>
    <t>omítky: 5,469 t _x000D_
beton:  3,058 t_x000D_
cihly:  39,042 t</t>
  </si>
  <si>
    <t>Poplatek za skládku suti - stavební keramika</t>
  </si>
  <si>
    <t>Budovy občanské výstavby</t>
  </si>
  <si>
    <t>Přesun hmot pro budovy zděné výšky do 6 m</t>
  </si>
  <si>
    <t>ZTI-Vnitřní kanalizace</t>
  </si>
  <si>
    <t>Demontáž - Svodné potrubí kameninové / plastové do DN 250 vč. tvarovek, včetně výkopů, oprav podlah a uvedení do původního stavu</t>
  </si>
  <si>
    <t>Demontáž - Odpadní a připojovací potrubí litinové/plastové do DN 200 vč. tvarovek</t>
  </si>
  <si>
    <t>Demontáž - U - Umyvadlo keramické, vč. armatur a potrubí.</t>
  </si>
  <si>
    <t>Demontáž - WC - Klozet keramický (normální), vč. armatur a potrubí.</t>
  </si>
  <si>
    <t>Demontáž - PV - Podlahová vpusť, vč. armatur a potrubí.</t>
  </si>
  <si>
    <t>Demontáž - Ur - Urinál (pisoár) keramický, vč. armatur a potrubí.</t>
  </si>
  <si>
    <t>Demontáž - VL - Výlevka keramická nebo smaltovaná volně stojící, vč. armatur a potrubí.</t>
  </si>
  <si>
    <t>D+M - Odpadní a připojovací potrubí (HT systém) DN 32</t>
  </si>
  <si>
    <t>D+M - Odpadní a připojovací potrubí (HT systém) DN 50</t>
  </si>
  <si>
    <t>D+M - Odpadní a připojovací potrubí (HT systém) DN 75</t>
  </si>
  <si>
    <t>D+M - Odpadní a připojovací potrubí (HT systém) DN 110</t>
  </si>
  <si>
    <t>D+M - Odpadní a připojovací potrubí (HT systém) DN 125</t>
  </si>
  <si>
    <t>Vyvedení a upevnění odpadních výpustek</t>
  </si>
  <si>
    <t>D+M - Čistící kus DN 75</t>
  </si>
  <si>
    <t>D+M - Čistící kus DN 110</t>
  </si>
  <si>
    <t>D+M - Krycí Dvířka 300x150 mm pro zazdění bez tvorů</t>
  </si>
  <si>
    <t>D+M - U - Keramické umyvadlo 55 cm, s otvorem pro baterii, s přepadem.</t>
  </si>
  <si>
    <t>D+M - Ud - Keramické umyvadlo 55 cm, s otvorem pro baterii. Snížené umístění pro děti.</t>
  </si>
  <si>
    <t>D+M - Ui - Zdravotní umyvadlo keramické, závěsné pro imobilní s otvorem pro baterii uprostřed.</t>
  </si>
  <si>
    <t>D+M - WC - Závěsný klozet keramický, hluboké splachování, duroplastové sedátko s poklopem.</t>
  </si>
  <si>
    <t>D+M - WCd - Dětský závěsný klozet keramický 535x330x335 mm.</t>
  </si>
  <si>
    <t>D+M - WCi - Závěsný klozet keramický pro imobilní s prodlouženou délkou.</t>
  </si>
  <si>
    <t>D+M - Ur - Keramický urinál s otvorem pro oplachovací růžici.</t>
  </si>
  <si>
    <t>D+M - Urd - Keramický urinál s otvorem pro oplachovací růžici.</t>
  </si>
  <si>
    <t>D+M - Vl - Výlevka keramická závěsná s plastovou sklopnou mřížkou.</t>
  </si>
  <si>
    <t>D+M - Pv - Podlahová vpust DN 50/75 s otočným kloubem na odtoku.</t>
  </si>
  <si>
    <t>D+M - HP - Kanalizační přivzdušňovací ventil DN 75, s dvojitou izolační stěnou.</t>
  </si>
  <si>
    <t>D+M - Zu - Vodní zápachová uzávěrka DN32 pro odvod kondenzátu s hygienickým adaptérem.</t>
  </si>
  <si>
    <t>Regulovatelný větrací komínek (hlavice) DN 110 s tepelnou izolací, výšky  500 mm.</t>
  </si>
  <si>
    <t>D+M - Madlo univerzální 550 mm, pevné, nerez</t>
  </si>
  <si>
    <t>D+M - Madlo toaletní, 800 mm sklopné, nerez</t>
  </si>
  <si>
    <t>D+M - Madlo toaletní, 834 mm sklopné, s držákem toaletního papíru, nerez</t>
  </si>
  <si>
    <t>D+M - Sklopné zrcadlo nad umyvadlo s možností naklopení o 10°, s páčkou, nerez</t>
  </si>
  <si>
    <t>D+M - Madlo univerzální 600 mm, pevné, nerez</t>
  </si>
  <si>
    <t>Drážky pro potrubí DN 32 až 50 - 120x120 mm ve stěně + oprava a začištění omítky</t>
  </si>
  <si>
    <t>Prostup stropní konstrukcí pro potrubí + oprava a začištění stropu a střechy + utěsnění</t>
  </si>
  <si>
    <t>Prostup základem (velikost prostupu dle PD) + oprava</t>
  </si>
  <si>
    <t>Ostatní bourací, přípomocné a zednické práce</t>
  </si>
  <si>
    <t>Tlaková zkouška potrubí do DN 250</t>
  </si>
  <si>
    <t>Pročištění potrubí do DN 250</t>
  </si>
  <si>
    <t>Zkouška těsnosti kanalizačního potrubí do DN 250</t>
  </si>
  <si>
    <t>Napojení na stávající potrubí vč. utěsnění</t>
  </si>
  <si>
    <t>Pojízdné lešení, pomocné konstrukce, montážní plošina v rámci výšky jednoho podlaží</t>
  </si>
  <si>
    <t>Přesun hmot</t>
  </si>
  <si>
    <t>Dokumentace skutečného provedení (3 paré) - není součástí položky ve VRN</t>
  </si>
  <si>
    <t>Koordinace - není součástí položky ve VRN</t>
  </si>
  <si>
    <t>ZTI-Vnitřní vodovod</t>
  </si>
  <si>
    <t>Demontáž ocelového nebo plastového potrubí do DN 65 - vč. armatur</t>
  </si>
  <si>
    <t>Demontáž - U - Stávající nástěnná umyvadlová baterie, vč. armatur a potrubí.</t>
  </si>
  <si>
    <t>Demontáž - WC - Stávající rohový nástěnný ventil pro WC + splachovací nádržka, vč. armatur a potrubí.</t>
  </si>
  <si>
    <t>Demontáž - Ur - Stávající nástěnný ventil pro urinál, vč. armatur a potrubí.</t>
  </si>
  <si>
    <t>Demontáž - VL - Stávající nástěnná baterie, vč. armatur a potrubí.</t>
  </si>
  <si>
    <t>Demontáž - Ez 1 - Stávající nástěnný zásobník TV (Tatramat EOV 151), vč. armatur a potrubí.</t>
  </si>
  <si>
    <t>D+M - potrubí PP-RCT - d 20x2,8 mm</t>
  </si>
  <si>
    <t>D+M - potrubí PP-RCT - d 25x3,5 mm</t>
  </si>
  <si>
    <t>D+M - potrubí PP-RCT - d 35x4,4 mm</t>
  </si>
  <si>
    <t>D+M - potrubí PP-RCT - d 40x5,5 mm</t>
  </si>
  <si>
    <t>D+M - Návleková tepelná izolace PE tl. 20 mm + polep AL fólií na potrubí d 20x2,8 mm</t>
  </si>
  <si>
    <t>D+M - Návleková tepelná izolace PE tl. 25 mm + polep AL fólií na potrubí d 25x3,5 mm</t>
  </si>
  <si>
    <t>D+M - Návleková tepelná izolace PE tl. 25 mm + polep AL fólií na potrubí d 35x4,4 mm</t>
  </si>
  <si>
    <t>D+M - Návleková tepelná izolace PE tl. 25 mm + polep AL fólií na potrubí d 40x5,5 mm</t>
  </si>
  <si>
    <t>D+M - U - Automatická umyvadlová baterie s elektronikou ALS s termostatickým ventilem.</t>
  </si>
  <si>
    <t>D+M - Ui - Automatická umyvadlová baterie s elektronikou ALS s termostatickým ventilem.</t>
  </si>
  <si>
    <t>D+M - Ud - Automatická umyvadlová baterie s elektronikou ALS s termostatickým ventilem, 24 V DC.</t>
  </si>
  <si>
    <t>D+M - WC - Podomítkový montážní prvek pro závěsné WC, se splachovací nádržkou pod omítku.</t>
  </si>
  <si>
    <t>D+M - WCi - Podomítkový montážní prvek pro závěsné WC, se splachovací nádržkou pod omítku.</t>
  </si>
  <si>
    <t>D+M - WCd - Podomítkový montážní prvek pro závěsné WC, se splachovací nádržkou pod omítku.</t>
  </si>
  <si>
    <t>D+M - Ur - Ventil pro oplach pisoáru + Infračervený splachovač pisoáru s elektronikou ALS, 24V DC.</t>
  </si>
  <si>
    <t>D+M - Urd - Ventil pro oplach pisoáru + Infračervený splachovač pisoáru s elektronikou ALS, 24V DC.</t>
  </si>
  <si>
    <t>D+M - Vl - Podomítkový montážní prvek pro výlevku + nástěnná páková baterie s prodlouženým ramínkem.</t>
  </si>
  <si>
    <t>D+M - Nz1 - Napájecí zdroj 230V AC/24V D.</t>
  </si>
  <si>
    <t>D+M - Zo1 - Elektrický akumulační ohřívač teplé vody, pro svislou montáž o objemu 80 l.</t>
  </si>
  <si>
    <t>D+M - Odvzdušňovací ventil DN 15</t>
  </si>
  <si>
    <t>D+M - Přivzdušňovací ventil DN 15</t>
  </si>
  <si>
    <t>D+M - Připojovací ventil 1/2"</t>
  </si>
  <si>
    <t>D+M - Propojovací nerezové opletené hadice osazených maticemi 3/8" x 1/2" k výtokovým armaturám</t>
  </si>
  <si>
    <t>D+M - Kulový kohout, chromovaný, DN 20</t>
  </si>
  <si>
    <t>D+M - Kulový kohout, chromovaný, DN 32</t>
  </si>
  <si>
    <t>D+M - Zpětná klapka s gumovým těsněním, mosazná, DN 20</t>
  </si>
  <si>
    <t>D+M - Pojistný ventil se zpětnou klapkou pro ohřívač TV (do 6 bar), chromovaný, DN 20</t>
  </si>
  <si>
    <t>D+M - Zkušební ventil DN 20</t>
  </si>
  <si>
    <t>Drážky pro potrubí 100x250 mm ve stěně, včetně transportu suti a uložení na skládku + oprava, začištění omítky, utěsnění prostupu a malba</t>
  </si>
  <si>
    <t>Výkop pro potrubí (nové/odstraněné) v zemi, šířky 400 mm, hloubky do 500 mm, včetně transportu suti a uložení na skládku + oprava podlahy a utěsnění p</t>
  </si>
  <si>
    <t>Bourání prostupu nosnou stěnou a stropem dvojci pro potrubí do DN 50, včetně transportu suti a uložení na skládku + oprava, začištění omítky, utěsnění</t>
  </si>
  <si>
    <t>Bourání prostupu příčkou dvojci pro potrubí do DN 50, včetně transportu suti a uložení na skládku + oprava, začištění omítky, utěsnění prostupu a malb</t>
  </si>
  <si>
    <t>Vypuštění soustavy</t>
  </si>
  <si>
    <t>Napuštění soustavy</t>
  </si>
  <si>
    <t>Napojení na stávající potrubí</t>
  </si>
  <si>
    <t>Tlaková zkouška vnitřní potrubí do DN 80</t>
  </si>
  <si>
    <t>Proplach a dezinfekce vodovodního potrubí do DN 80</t>
  </si>
  <si>
    <t>Zkouška těsnosti vodovodního potrubí do DN 80</t>
  </si>
  <si>
    <t>Vzduchotechnika</t>
  </si>
  <si>
    <t>D+M - Úsporný střešní ventilátor s EC motorem 315</t>
  </si>
  <si>
    <t>D+M - Regulátor je určen pro EC ventilátory, včetně kabeláže</t>
  </si>
  <si>
    <t>D+M - Regulátor otáček</t>
  </si>
  <si>
    <t>D+M - Měření a regulace</t>
  </si>
  <si>
    <t>D+M - Plastový talířový ventil univerzální pro odvod vzduchu O 100 mm</t>
  </si>
  <si>
    <t>D+M - Zpětná klapka „motýlová“  pro kruhové potrubí O 125 mm, vyrobená z galvanizované oceli</t>
  </si>
  <si>
    <t>D+M - Zpětná klapka „motýlová“  pro kruhové potrubí O 160 mm, vyrobená z galvanizované oceli</t>
  </si>
  <si>
    <t>D+M - Zpětná klapka samotížná pro kruhové potrubí O 250 mm, vyrobena z ocelového pozinkovaného plechu</t>
  </si>
  <si>
    <t>D+M - Tlumič hluku soklový pro připevnění na plochou střechu 420x420x750 mm</t>
  </si>
  <si>
    <t>D+M - Pružná spojka pro kruhové potrubí O 250 mm</t>
  </si>
  <si>
    <t>D+M - Adaptér pro kruhové potrubí O 250 mm</t>
  </si>
  <si>
    <t>D+M - Volná příruba pro kruhové potrubí O 250 mm</t>
  </si>
  <si>
    <t>D+M - Záslepka vnitřní na potrubí O 160 mm s gumovým těsněním</t>
  </si>
  <si>
    <t>D+M - Komfortní výústka jednořadá 300x75 mm pro kruhové potrubí + regulace</t>
  </si>
  <si>
    <t>D+M - Tepelná izolace na potrubí, tloušťka izolace 30 mm.</t>
  </si>
  <si>
    <t>Montážní a závěsový materiál</t>
  </si>
  <si>
    <t>Spojovací a těsnící materiál</t>
  </si>
  <si>
    <t>Demontáž střešního ventilační jednotky - odstranit včetně potrubí, závěsů, zařízení, elektro, MaR a příslušenství</t>
  </si>
  <si>
    <t>Demontáž vzduchotechnického potrubí - odstranit včetně závěsů, armatur a příslušenství</t>
  </si>
  <si>
    <t>Bourání prostupu nosnou stěnou, stropem nebo střechou pro potrubí do DN 50, včetně transportu suti a uložení na skládku + oprava, začištění omítky, ut</t>
  </si>
  <si>
    <t>Bourání prostupu příčkou, včetně transportu suti a uložení na skládku + oprava, začištění omítky, utěsnění prostupu a malba</t>
  </si>
  <si>
    <t>Závěsný systém jednoho výrobce - objímky, závěsy, kotvy, příčníky, závitové tyče, konzoly, hmoždínky; vrtání do betonových a jiných konstrukcí; static</t>
  </si>
  <si>
    <t>Manuály</t>
  </si>
  <si>
    <t>Zaškolení</t>
  </si>
  <si>
    <t>Zkušební provoz</t>
  </si>
  <si>
    <t>Energie a jiná media</t>
  </si>
  <si>
    <t>Montáž VZT zařízení</t>
  </si>
  <si>
    <t>Seřízení a zaregulování  celé soustavy, VZT rozvodů a koncových prvků</t>
  </si>
  <si>
    <t>Protokoly, revize, zkoušky, testy</t>
  </si>
  <si>
    <t>Vytápění</t>
  </si>
  <si>
    <t>Stávající ocelové potrubí do DN 50, včetně konzol, tepelných izolací a připojovacích armatur</t>
  </si>
  <si>
    <t>Demontáž - Článkové otopné těleso, odstranit armatur a připojovacího potrubí.</t>
  </si>
  <si>
    <t>D+M - Potrubí Oc 15,0x1,2 mm</t>
  </si>
  <si>
    <t>D+M - Potrubí Oc 18,0x1,2 mm</t>
  </si>
  <si>
    <t>D+M - Potrubí Oc 22,0x1,5 mm</t>
  </si>
  <si>
    <t>D+M - Potrubí Oc 35,0x1,5 mm</t>
  </si>
  <si>
    <t>D+M - Potrubí Oc DN 32</t>
  </si>
  <si>
    <t>D+M - Izolace MV tl. 30 mm + polep ALS fólií na potrubí 35</t>
  </si>
  <si>
    <t>D+M - Návleková tepelná izolace PE tl. 20 mm + polep AL fólií na potrubí d 18,0x1,2 mm</t>
  </si>
  <si>
    <t>D+M - Návleková tepelná izolace PE tl. 25 mm + polep AL fólií na potrubí d 22,0x1,5 mm</t>
  </si>
  <si>
    <t>D+M - Otopné těleso deskové 21 - 5060 - E (Bílá RAL 9010)</t>
  </si>
  <si>
    <t>D+M - Otopné těleso deskové 21 - 5080 - E (Bílá RAL 9010)</t>
  </si>
  <si>
    <t>D+M - Otopné těleso deskové 22 - 5080 - E (Bílá RAL 9010)</t>
  </si>
  <si>
    <t>D+M - Sada navrtávacích konzol 15/120 (6 ks), včetně vrutů a hmoždinek</t>
  </si>
  <si>
    <t>D+M - Připojovací armatura, pro tělesa s integrovanými ventily.</t>
  </si>
  <si>
    <t>D+M - Upevňovací sada O24/35 (4 ks), včetně vrutů a hmoždinek</t>
  </si>
  <si>
    <t>D+M - Integrovaná armatura pro trubková otopná tělesa.</t>
  </si>
  <si>
    <t>D+M - Termostatická hlavice s vestavěným kapalinou plněným čidlem.</t>
  </si>
  <si>
    <t>D+M - Odvzdušňovací radiátorový ventil niklovaný DN 15 (1/2"), ruční ovládání klíčkem, vč. ovládacího klíčku.</t>
  </si>
  <si>
    <t>Vyregulování ventilů s termostatickým ovládáním</t>
  </si>
  <si>
    <t>D+M - Vypouštěcí nástavec k radiátorům</t>
  </si>
  <si>
    <t>Vyregulování otopné soustavy - projekční práce</t>
  </si>
  <si>
    <t>Vyregulování otopné soustavy - montážní práce, včetně tlakových zkoušek a revizí</t>
  </si>
  <si>
    <t>Vyvážení všech seřizovacích armatur, včetně tlakových zkoušek a revizí</t>
  </si>
  <si>
    <t>Topná zkouška celého zařízení 72 hodin</t>
  </si>
  <si>
    <t>Tlaková zkouška celého zařízení</t>
  </si>
  <si>
    <t>Vypuštění otopné soustavy</t>
  </si>
  <si>
    <t>Napuštění otopné soustavy</t>
  </si>
  <si>
    <t>Orientační štítky a značení potrubí barevnými pruhy, orientačními štítky a popisky vč. Montáže</t>
  </si>
  <si>
    <t>Proplach soustavy</t>
  </si>
  <si>
    <t>Konstrukce truhlářské</t>
  </si>
  <si>
    <t>M+D Sanitární příčka s dveřmi 4x1255/2050(2200)+1x 3555/2050(2200) ozn.OS01</t>
  </si>
  <si>
    <t>výměra: 17,579(18,865)m2 -provedení dle popisu v PD</t>
  </si>
  <si>
    <t>M+D Sanitární příčka s dveřmi 2015/2050(2200) ozn.OS02</t>
  </si>
  <si>
    <t>výměra: 4,131(4,433)m2 -provedení dle popisu v PD</t>
  </si>
  <si>
    <t>Montáž dveří do zárubně,otevíravých 1kř.do 0,8 m vč.dodávky ozn.D2</t>
  </si>
  <si>
    <t>provedení dle popisu v PD -dveře 800/1970mm, vč.zárubně a povrch.úpravy, kování</t>
  </si>
  <si>
    <t>Montáž dveří protipožárních 1kříd. nad 80 cm vč.dodávky ozn.D1</t>
  </si>
  <si>
    <t>provedení dle popisu v PD -dveře 900/1970mm EI 30 DP3c, vč.zárubně a povrch.úpravy, zavíračů, kování a piktogramů</t>
  </si>
  <si>
    <t>Montáž dveří protipožárních 1kříd. nad 80 cm vč.dodávky ozn.D3</t>
  </si>
  <si>
    <t>provedení dle popisu v PD -dveře 900/1970mm EI 30 DP3c, vč.povrch.úpravy stávající zárubně, zavíračů, kování a piktogramů</t>
  </si>
  <si>
    <t>Přesun hmot pro truhlářské konstr., výšky do 6 m</t>
  </si>
  <si>
    <t>Konstrukce doplňkové stavební (zámečnické)</t>
  </si>
  <si>
    <t>M+D Dělící stěna mezi pisoáry 620x330mm ozn.OS03</t>
  </si>
  <si>
    <t>M+D WC štětka závěsná dle popisu v PD -ozn.OS04</t>
  </si>
  <si>
    <t>M+D Dávkovač na tekuté mýdlo dle popisu v PD -ozn.OS05</t>
  </si>
  <si>
    <t>M+D Zásobník na papírové ručníky dle popisu v PD -ozn.OS 06</t>
  </si>
  <si>
    <t>M+D Odpadkový koš 50 l kov dle popisu v PD -ozn.OS 07</t>
  </si>
  <si>
    <t>M+D Odpadkový koš 5 l plast dle popisu v PD -ozn.OS 08</t>
  </si>
  <si>
    <t>M+D Zásobník na toaletní papír dle popisu v PD -ozn.OS 09</t>
  </si>
  <si>
    <t>M+D Zrcadlo 2150/600 mm dle popisu v PD -ozn.OS 10</t>
  </si>
  <si>
    <t>M+D Zrcadlo 2200/600 mm dle popisu v PD -ozn.OS 11</t>
  </si>
  <si>
    <t>Přesun hmot pro zámečnické konstr., výšky do 6 m</t>
  </si>
  <si>
    <t>Podlahy z dlaždic</t>
  </si>
  <si>
    <t>Hydroizolační stěrka pod dlažbu -vodorovná</t>
  </si>
  <si>
    <t>Bandáž koutů - provedení</t>
  </si>
  <si>
    <t>Penetrace podkladu pod dlažby</t>
  </si>
  <si>
    <t>Montáž podlah keram.,hladké, tmel, 30x30 cm -dle pozn.01</t>
  </si>
  <si>
    <t>Dlažba protiskluz.R10 300x300x9 mm -dle výběru investora</t>
  </si>
  <si>
    <t>Spára podlaha - stěna, silikonem+separ.provazec</t>
  </si>
  <si>
    <t>Příplatek za plochu podlah keram. do 5 m2 jednotl.</t>
  </si>
  <si>
    <t>Příplatek za spárování vodotěsnou hmotou - plošně</t>
  </si>
  <si>
    <t>Přesun hmot pro podlahy z dlaždic, výšky do 6 m</t>
  </si>
  <si>
    <t>Obklady (keramické)</t>
  </si>
  <si>
    <t>Hydroizolační stěrka pod obklady -svislá</t>
  </si>
  <si>
    <t>Penetrace podkladu pod obklady</t>
  </si>
  <si>
    <t>Řezání obkladaček diamantovým kotoučem</t>
  </si>
  <si>
    <t>Otvor v obkladačce diamant.korunkou prům.do 30 mm</t>
  </si>
  <si>
    <t>Otvor v obkladačce diamant.korunkou prům.do 90 mm</t>
  </si>
  <si>
    <t>Obkládání ostění do tmele šířky do 300 mm ozn.OS12</t>
  </si>
  <si>
    <t>Obkládačka 30x60 cm -dle výběru investora</t>
  </si>
  <si>
    <t>Obkládání parapetů do tmele šířky do 300 mm ozn.OS12</t>
  </si>
  <si>
    <t>Příplatek za spárovací vodotěsnou hmotu - plošně</t>
  </si>
  <si>
    <t>Obklad vnitřní stěn keramický, do tmele, 300x600 mm -dle pozn.02</t>
  </si>
  <si>
    <t>Montáž lišt k obkladům</t>
  </si>
  <si>
    <t>rohových, koutových i horních</t>
  </si>
  <si>
    <t>Profil ukončovací horní -dle výběru investora</t>
  </si>
  <si>
    <t>Profil ukončovací koutový -dle výběru investora</t>
  </si>
  <si>
    <t>Profil ukončovací nárožní -dle výběru investora</t>
  </si>
  <si>
    <t>Přesun hmot pro obklady keramické, výšky do 6 m</t>
  </si>
  <si>
    <t>Malby</t>
  </si>
  <si>
    <t>Penetrace podkladu vápenným mlékem</t>
  </si>
  <si>
    <t>na nové stěny a omítky</t>
  </si>
  <si>
    <t>Protiprašný nátěr stropů -nad podhledy</t>
  </si>
  <si>
    <t>Malba bílá otěruvzdorná, s vys.prodyšností 2x</t>
  </si>
  <si>
    <t>stěny a stropy</t>
  </si>
  <si>
    <t>Elektromontáže</t>
  </si>
  <si>
    <t>Vybourání otvorů ve zdivu cihelném D do 60 mm na MVC nebo MV tl do 300 mm</t>
  </si>
  <si>
    <t>Vybourání otvorů ve zdivu cihelném D do 150 mm na MVC nebo MV tl do 300 mm</t>
  </si>
  <si>
    <t>Vysekání kapes ve zdivu cihelném na MV nebo MVC pl do 0,10 m2 hl do 150 mm</t>
  </si>
  <si>
    <t>Vysekání rýh pro vodiče v omítce MC stěn š do 30 mm</t>
  </si>
  <si>
    <t>Vysekání rýh pro vodiče v omítce MC stěn š do 70 mm</t>
  </si>
  <si>
    <t>Celková prohlídka elektrického rozvodu a zařízení do 0,50 milionu Kč</t>
  </si>
  <si>
    <t>Úpravy v rozvaděči - v bodě napojení</t>
  </si>
  <si>
    <t>Úpravy v rozvaděči ( doplnění 4x jistič s chráničem 1/10A, jistič 1/10A, jistič s chráničem 1/16A, časové relé se stykačem, imulsní relé, jistič 1/6A</t>
  </si>
  <si>
    <t>Přípojnice hlavního pospojení</t>
  </si>
  <si>
    <t>Koordinace s provozovatelem / investorem</t>
  </si>
  <si>
    <t>Montáž trubka plastová ohebná D 23 mm uložená pevně</t>
  </si>
  <si>
    <t>trubka elektroinstalační ohebná D23 mm</t>
  </si>
  <si>
    <t>Montáž trubka plastová ohebná D 36 mm uložená pevně</t>
  </si>
  <si>
    <t>trubka elektroinstalační ohebná D36 mm</t>
  </si>
  <si>
    <t>Montáž krabice zapuštěná plastová kruhová typ KU68/2-1902, KO125</t>
  </si>
  <si>
    <t>krabice univerzální z PH KU 68/2-1903</t>
  </si>
  <si>
    <t>krabice přístrojová instalační KP 68/1</t>
  </si>
  <si>
    <t>krabice přístrojová odbočná s víčkem z PH KO125</t>
  </si>
  <si>
    <t>krabice přístrojová odbočná s víčkem z PH / IP40</t>
  </si>
  <si>
    <t>Montáž krabice zapuštěná plastová čtyřhranná typ KO100, KO125</t>
  </si>
  <si>
    <t>Krabice  IP65</t>
  </si>
  <si>
    <t>Demontáž stávajících rozvodů NN</t>
  </si>
  <si>
    <t>Montáž vodič Cu izolovaný sk.1 do 1 kV žíla 0,35 až 6 mm2 do stěny</t>
  </si>
  <si>
    <t>vodič silový s Cu jádrem CY H07 V-U 2 mm2</t>
  </si>
  <si>
    <t>vodič silový s Cu jádrem CY H07 V-U 4 mm2</t>
  </si>
  <si>
    <t>Montáž kabel Cu sk.2 do 1 kV do 0,20 kg pod omítku stěn</t>
  </si>
  <si>
    <t>kabel silový s Cu jádrem CYKY 3x1,5 mm2</t>
  </si>
  <si>
    <t>kabel silový s Cu jádrem CYKY 2x1,5 mm2</t>
  </si>
  <si>
    <t>Kabelsilový CMFM 2Ax1,5 mm2</t>
  </si>
  <si>
    <t>Montáž kabel Cu sk.2 do 1 kV do 0,40 kg pod omítku stěn</t>
  </si>
  <si>
    <t>kabel silový s Cu jádrem CYKY 5x1,5 mm2</t>
  </si>
  <si>
    <t>kabel silový s Cu jádrem CYKY 3x2,5 mm2</t>
  </si>
  <si>
    <t>Ukončení vodič izolovaný do 2,5mm2 v rozváděči nebo na přístroji</t>
  </si>
  <si>
    <t>SVORKA WAGO 221-415 5x2,5</t>
  </si>
  <si>
    <t>SVORKA ST 5 NA POTRUBI</t>
  </si>
  <si>
    <t>OZNAC.STITEK C.1</t>
  </si>
  <si>
    <t>páska stahovací kabelová VPP 4/280</t>
  </si>
  <si>
    <t>Ukončení vodič izolovaný do 4 mm2 v rozváděči nebo na přístroji</t>
  </si>
  <si>
    <t>Montáž pospojení</t>
  </si>
  <si>
    <t>Sada pro ochranné lokální pospojení</t>
  </si>
  <si>
    <t>Montáž vypínač nástěnný 1-jednopólový prostředí obyčejné nebo vlhké</t>
  </si>
  <si>
    <t>spínač jednopólový č.1 10A bílý, IP20</t>
  </si>
  <si>
    <t>Montáž vypínač nástěnný jednopólový tlačítkový 1/0 prostředí obyčejné nebo vlhké</t>
  </si>
  <si>
    <t>spínač jednopólový č.0/1 10A bílý, IP20</t>
  </si>
  <si>
    <t>IR snímač 360° / 8 m / IP20</t>
  </si>
  <si>
    <t>Montáž rámečku</t>
  </si>
  <si>
    <t>Rámeček jednonásobný bílý</t>
  </si>
  <si>
    <t>Rámeček dvojnásobný bílý</t>
  </si>
  <si>
    <t>SOS systém ( centrální jednotka se zdrojem, tahový spínač na stěnu, spínač tlačítkový na stěnu, akustické a světelné návěští )</t>
  </si>
  <si>
    <t>Podružný montážní materiál</t>
  </si>
  <si>
    <t>Montáž svítidlo LED bytové stropní do dvou zdrojů</t>
  </si>
  <si>
    <t>A - Svítidlo LED 20W kruhové , IP43, 2590 lm</t>
  </si>
  <si>
    <t>B - Svítidlo LED 36W kruhové , IP43, 5070 lm</t>
  </si>
  <si>
    <t>C - Svítidlo LED 58W kruhové , IP43, 8100 lm</t>
  </si>
  <si>
    <t>Montáž svítidlo LED bytové nástěnné přisazené 1 zdroj</t>
  </si>
  <si>
    <t>N - Svítidlo LED nouzové s piktogramy 8W/1 hod</t>
  </si>
  <si>
    <t>zkouška nouzových svítidel</t>
  </si>
  <si>
    <t>není součástí položky ve VRN</t>
  </si>
  <si>
    <t>Měření intenzity osvětlení</t>
  </si>
  <si>
    <t>Podružný, spojovací, připojovací, kotevní a upevňovací materiál, svorky a - veškeré příslušenství, nátěry, …….</t>
  </si>
  <si>
    <t>Dokumentace skutečného provedení stavby</t>
  </si>
  <si>
    <t>Koordinace vypnutí stavby, prozatímní napájení staveništního rozvaděče</t>
  </si>
  <si>
    <t>práce ve výšce nad 3m</t>
  </si>
  <si>
    <t>Náklady na zkušební provoz</t>
  </si>
  <si>
    <t>Stavební přípomoce</t>
  </si>
  <si>
    <t>Materiál pro stavební přípomoce ( hrubá instalace, jádro )</t>
  </si>
  <si>
    <t>Ekologická likvidace odpadů</t>
  </si>
  <si>
    <t>Vedlejší rozpočtové náklady</t>
  </si>
  <si>
    <t>Všeobecné konstrukce a práce</t>
  </si>
  <si>
    <t>Kompletační činnost</t>
  </si>
  <si>
    <t>dle SoD čl. II odst.2.5.4.</t>
  </si>
  <si>
    <t>Provoz dalšího subjektu</t>
  </si>
  <si>
    <t>Fotodokumentace díla</t>
  </si>
  <si>
    <t>dle SoD čl. II odst.2.5.9.</t>
  </si>
  <si>
    <t>Zařízení staveniště</t>
  </si>
  <si>
    <t>dle SoD čl. II odst.2.5.2</t>
  </si>
  <si>
    <t>Provozní a územní vlivy</t>
  </si>
  <si>
    <t>dle SoD čl. II odst.2.5.7.</t>
  </si>
  <si>
    <t>Koordinační činnost</t>
  </si>
  <si>
    <t>dle SoD čl. II odst.2.5.5.</t>
  </si>
  <si>
    <t>Revize a zkoušky</t>
  </si>
  <si>
    <t>dle SoD čl. II odst.2.5.3.</t>
  </si>
  <si>
    <t>Geodetické práce</t>
  </si>
  <si>
    <t>Dokumentace skut.provedení stavby</t>
  </si>
  <si>
    <t>Pojištění stavby</t>
  </si>
  <si>
    <t>Protiprašná a protihluková opatření</t>
  </si>
  <si>
    <t>Osazení systémových zárubní</t>
  </si>
  <si>
    <t>protiprašné a protihlukové opatření -8 etap</t>
  </si>
  <si>
    <t>Zárubeň ocelová S 75    900x1970x75 L,P   -pro sádrokarton</t>
  </si>
  <si>
    <t>protiprašné a protihlukové opatření -celkem 8 etap</t>
  </si>
  <si>
    <t>Příčka sádrokarton. ocel.kce, 1x oplášť. tl. 75 mm</t>
  </si>
  <si>
    <t>protiprašné a protihlukové opatření</t>
  </si>
  <si>
    <t>Příčka sádrokarton. ocel.kce, 1x oplášť. tl. 75 mm -pouze montáž</t>
  </si>
  <si>
    <t>protiprašné a protihlukové opatření - celkem 8 etap</t>
  </si>
  <si>
    <t>DMTZ SDK příčky, 1x kov.kce., 1x opláštěné 12,5 mm -k dalš.použ.</t>
  </si>
  <si>
    <t>protiprašné a protihlukové opatření -celkem 8 etap (vč.zárubní)</t>
  </si>
  <si>
    <t>Vyvěšení dřevěných dveřních křídel pl. do 2 m2</t>
  </si>
  <si>
    <t>DMTZ SDK příčky, 1x kov.kce., 1x opláštěné 12,5 mm</t>
  </si>
  <si>
    <t>protiprašné a protihlukové opatření  (vč.zárubní)</t>
  </si>
  <si>
    <t>M+D Dveře a zárubeň 900/1970mm+kování -standard</t>
  </si>
  <si>
    <t>Montáž dveří do zárubně,otevíravých 1kř.nad 0,8 m</t>
  </si>
  <si>
    <t>Doba výstavby:</t>
  </si>
  <si>
    <t>Začátek výstavby:</t>
  </si>
  <si>
    <t>Konec výstavby:</t>
  </si>
  <si>
    <t>Zpracováno dne:</t>
  </si>
  <si>
    <t>MJ</t>
  </si>
  <si>
    <t>m3</t>
  </si>
  <si>
    <t>kus</t>
  </si>
  <si>
    <t>m2</t>
  </si>
  <si>
    <t>m</t>
  </si>
  <si>
    <t>t</t>
  </si>
  <si>
    <t>ks</t>
  </si>
  <si>
    <t>hod</t>
  </si>
  <si>
    <t>kg</t>
  </si>
  <si>
    <t>sada</t>
  </si>
  <si>
    <t>ka</t>
  </si>
  <si>
    <t>kpl</t>
  </si>
  <si>
    <t>100 kus</t>
  </si>
  <si>
    <t>KS</t>
  </si>
  <si>
    <t>soubor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</si>
  <si>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</si>
  <si>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</si>
  <si>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</si>
  <si>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</si>
  <si>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</si>
  <si>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</si>
  <si>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</si>
  <si>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 </t>
  </si>
  <si>
    <t>Náklady (Kč)</t>
  </si>
  <si>
    <t>Dodávka</t>
  </si>
  <si>
    <t>Celkem:</t>
  </si>
  <si>
    <t>Montáž</t>
  </si>
  <si>
    <t>Celkem</t>
  </si>
  <si>
    <t>Cenová</t>
  </si>
  <si>
    <t>soustava</t>
  </si>
  <si>
    <t>RTS II / 2019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</si>
  <si>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</si>
  <si>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</si>
  <si>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</si>
  <si>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</si>
  <si>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</si>
  <si>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</si>
  <si>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</si>
  <si>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</si>
  <si>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</si>
  <si>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01</t>
  </si>
  <si>
    <t>VRN</t>
  </si>
  <si>
    <t>13_</t>
  </si>
  <si>
    <t>16_</t>
  </si>
  <si>
    <t>17_</t>
  </si>
  <si>
    <t>31_</t>
  </si>
  <si>
    <t>34_</t>
  </si>
  <si>
    <t>41_</t>
  </si>
  <si>
    <t>61_</t>
  </si>
  <si>
    <t>91_</t>
  </si>
  <si>
    <t>94_</t>
  </si>
  <si>
    <t>95_</t>
  </si>
  <si>
    <t>96_</t>
  </si>
  <si>
    <t>97_</t>
  </si>
  <si>
    <t>S_</t>
  </si>
  <si>
    <t>H01_</t>
  </si>
  <si>
    <t>721_</t>
  </si>
  <si>
    <t>722_</t>
  </si>
  <si>
    <t>728_</t>
  </si>
  <si>
    <t>730_</t>
  </si>
  <si>
    <t>766_</t>
  </si>
  <si>
    <t>767_</t>
  </si>
  <si>
    <t>771_</t>
  </si>
  <si>
    <t>781_</t>
  </si>
  <si>
    <t>784_</t>
  </si>
  <si>
    <t>M21_</t>
  </si>
  <si>
    <t>000_</t>
  </si>
  <si>
    <t>001_</t>
  </si>
  <si>
    <t>01_1_</t>
  </si>
  <si>
    <t>01_3_</t>
  </si>
  <si>
    <t>01_4_</t>
  </si>
  <si>
    <t>01_6_</t>
  </si>
  <si>
    <t>01_9_</t>
  </si>
  <si>
    <t>01_72_</t>
  </si>
  <si>
    <t>01_73_</t>
  </si>
  <si>
    <t>01_76_</t>
  </si>
  <si>
    <t>01_77_</t>
  </si>
  <si>
    <t>01_78_</t>
  </si>
  <si>
    <t>VRN_0_</t>
  </si>
  <si>
    <t>01_</t>
  </si>
  <si>
    <t>VRN_</t>
  </si>
  <si>
    <t>MAT</t>
  </si>
  <si>
    <t>WORK</t>
  </si>
  <si>
    <t>CELK</t>
  </si>
  <si>
    <t>Slepý stavební rozpočet - rekapitulace</t>
  </si>
  <si>
    <t>Objekt</t>
  </si>
  <si>
    <t>Zkrácený popis</t>
  </si>
  <si>
    <t>Náklady (Kč) - dodávka</t>
  </si>
  <si>
    <t>Náklady (Kč) - Montáž</t>
  </si>
  <si>
    <t>Náklady (Kč) - celkem</t>
  </si>
  <si>
    <t>F</t>
  </si>
  <si>
    <t>T</t>
  </si>
  <si>
    <t>Výkaz výměr</t>
  </si>
  <si>
    <t>6*7   </t>
  </si>
  <si>
    <t>6*(2,5*3,4)   </t>
  </si>
  <si>
    <t>6*(2,5*3,4)*7   </t>
  </si>
  <si>
    <t>6*8   </t>
  </si>
  <si>
    <t>6   </t>
  </si>
  <si>
    <t>(0,75+0,57+2,095+0,3+6,47+1,53+1,4+0,69+4,385)*0,3*0,4   </t>
  </si>
  <si>
    <t>(3,59+2,04+0,67)*0,6*1,4   </t>
  </si>
  <si>
    <t>(4,24*1,4)   </t>
  </si>
  <si>
    <t>2*2   </t>
  </si>
  <si>
    <t>2*1   </t>
  </si>
  <si>
    <t>2*(2,975+0,68+0,3*2)*3,3   </t>
  </si>
  <si>
    <t>2*(6,125+3,555+0,275+3,565+4,15*2+2,105)*3,3-2*(0,9*2,02)*2   </t>
  </si>
  <si>
    <t>2*(2,975+0,68+0,3*2)+2*(6,125+3,555+0,275+3,565+4,15*2+2,105)   </t>
  </si>
  <si>
    <t>2*(3,3*7)   </t>
  </si>
  <si>
    <t>2*(1,42*1,5)   </t>
  </si>
  <si>
    <t>2*(4,23+4,29)   </t>
  </si>
  <si>
    <t>2*(12,37+11,56+5,08+12,2)   </t>
  </si>
  <si>
    <t>2*(2,065*2+6,125)*1,2-2*(0,6*1,1)   </t>
  </si>
  <si>
    <t>2*(2,975+4,605+1,42+2,975)*1,2-2*(0,6*1,1)*2   </t>
  </si>
  <si>
    <t>2*(4,455+0,325*2+3,775+2,2+0,4*2+5,975+1,78)*1,2-2*(0,6*1,01)*3   </t>
  </si>
  <si>
    <t>2*(5,225+0,3*2+5,125+2,975*2)*2,1+2*(2,765+0,15+2,19+4,15+2,105*2+0,68)*2,1   </t>
  </si>
  <si>
    <t>2*(6,125*2+0,3*2+2,975*2-0,1)*1,2   </t>
  </si>
  <si>
    <t>2*(3,565+0,15+2,99+4,15+3,1+2,105*2+0,68)*1,2   </t>
  </si>
  <si>
    <t>(28,8+7,2)*0,2   </t>
  </si>
  <si>
    <t>2*(1,2*8)+2*(1,1+0,6+1,1)*6   </t>
  </si>
  <si>
    <t>5,88+8,02   </t>
  </si>
  <si>
    <t>(0,57+1,05)*2+(7,475+1,575*4+4,595*2+5,025+3,49+2,29+2,09+1,99+3,785+4,385+1,53+1,83+4,98)   </t>
  </si>
  <si>
    <t>2*52,73   </t>
  </si>
  <si>
    <t>2*(6,125+0,125*3+4,45+1,145*2+1,05)*3,3+2*(1,0*2,2)   </t>
  </si>
  <si>
    <t>2*(6,125+1,42*2+2,895+3,4)*3,3-2*(0,9*2,02)*2-2*(0,8*2,02)-2*(0,7*2,02)   </t>
  </si>
  <si>
    <t>2*(3,4+1,22)*2,25   </t>
  </si>
  <si>
    <t>(0,57*0,3*0,1)+(0,75*0,32*0,1)   </t>
  </si>
  <si>
    <t>(5,469+8,02)*0,1   </t>
  </si>
  <si>
    <t>(5,88+8,02)*0,1   </t>
  </si>
  <si>
    <t>2*55,07   </t>
  </si>
  <si>
    <t>2*(3,3*6+2,02*2+1,0)*0,08   </t>
  </si>
  <si>
    <t>2*(6,125+0,125*3+4,45+1,145*2+1,05+6,125+1,42*2+2,895+3,4)*0,08   </t>
  </si>
  <si>
    <t>2*(5+2)   </t>
  </si>
  <si>
    <t>2*(0,6*1,97)+2*(0,7*1,97)+2*(0,8*1,97)*2+2*(0,9*1,97)   </t>
  </si>
  <si>
    <t>2*(1,4+1,125*3+3,4)*2,2   </t>
  </si>
  <si>
    <t>2*(6,125*2+0,775*4)*3,3-2*(0,9*2,02)*2-2*(0,8*2,02)   </t>
  </si>
  <si>
    <t>2*(4,375+1,05*2+5,115+6,125*2)*2*1,8-2*(1,0*0,52)*4-2*(0,6*1,7)*6   </t>
  </si>
  <si>
    <t>2*(6,125+4,375)*2*1,5-2*(1,0*1,5)*2+2*(6,325+0,4+0,325)*3*1,5-2*(0,6*0,6)*3   </t>
  </si>
  <si>
    <t>2*(6,125+5,115)*2*1,5-2*(1,0*1,15)*2-2*(0,6*0,6)*3   </t>
  </si>
  <si>
    <t>(49,772-3,058)/2   </t>
  </si>
  <si>
    <t>47,569+2,203   </t>
  </si>
  <si>
    <t>49,772*3   </t>
  </si>
  <si>
    <t>49,772*7   </t>
  </si>
  <si>
    <t>3,058+5,469+39,042   </t>
  </si>
  <si>
    <t>2,203   </t>
  </si>
  <si>
    <t>0,2646+19,7797+0,2675+14,0238+9,0906+0,1738+0,0042   </t>
  </si>
  <si>
    <t>2*3   </t>
  </si>
  <si>
    <t>2*4   </t>
  </si>
  <si>
    <t>2*8   </t>
  </si>
  <si>
    <t>2*9   </t>
  </si>
  <si>
    <t>2*7   </t>
  </si>
  <si>
    <t>2*(12,37+4,23+4,29+11,56+8,08+12,2)   </t>
  </si>
  <si>
    <t>2*(14,48+7,49+7,61+17,41+9,96+14,26)   </t>
  </si>
  <si>
    <t>105,46   </t>
  </si>
  <si>
    <t>;ztratné 5%; 5,273   </t>
  </si>
  <si>
    <t>2*(14,48+7,49+7,61+17,41+9,96+14,26)*0,3   </t>
  </si>
  <si>
    <t>2*(14,48+7,49+7,61+17,41+9,96+14,26)*2,1-2*(0,6*1,2)*6+2*(0,9*0,08)*4+2*(1,0*0,08)*4   </t>
  </si>
  <si>
    <t>2*0,6*6+2*1,42   </t>
  </si>
  <si>
    <t>2*(1,2*6)*2   </t>
  </si>
  <si>
    <t>2*29   </t>
  </si>
  <si>
    <t>2*19   </t>
  </si>
  <si>
    <t>2*(1,2*0,2)*6*2   </t>
  </si>
  <si>
    <t>;ztratné 25%; 1,44   </t>
  </si>
  <si>
    <t>2*(0,6*6)+2*1,42   </t>
  </si>
  <si>
    <t>2*(0,6*0,2)*6+2*(1,42*0,15)   </t>
  </si>
  <si>
    <t>;ztratné 25%; 0,4665   </t>
  </si>
  <si>
    <t>291,658   </t>
  </si>
  <si>
    <t>;ztratné 5%; 14,5829   </t>
  </si>
  <si>
    <t>2*(2,1*31)   </t>
  </si>
  <si>
    <t>2*(2,1*8+1,2*12+2,02*14)   </t>
  </si>
  <si>
    <t>142,42   </t>
  </si>
  <si>
    <t>;ztratné 10%; 14,242   </t>
  </si>
  <si>
    <t>130,2   </t>
  </si>
  <si>
    <t>;ztratné 10%; 13,02   </t>
  </si>
  <si>
    <t>118,96   </t>
  </si>
  <si>
    <t>;ztratné 10%; 11,896   </t>
  </si>
  <si>
    <t>Potřebné množství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</si>
  <si>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</si>
  <si>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</si>
  <si>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</si>
  <si>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</si>
  <si>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</si>
  <si>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</si>
  <si>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</si>
  <si>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</si>
  <si>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</si>
  <si>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</si>
  <si>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</si>
  <si>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</si>
  <si>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</si>
  <si>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</si>
  <si>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</si>
  <si>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</si>
  <si>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</si>
  <si>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</si>
  <si>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</si>
  <si>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</si>
  <si>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</si>
  <si>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</si>
  <si>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</si>
  <si>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</si>
  <si>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</si>
  <si>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</si>
  <si>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</si>
  <si>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</si>
  <si>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</si>
  <si>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</si>
  <si>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</si>
  <si>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</si>
  <si>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</si>
  <si>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</si>
  <si>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</si>
  <si>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</si>
  <si>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</si>
  <si>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</si>
  <si>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</si>
  <si>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</si>
  <si>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</si>
  <si>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</si>
  <si>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</si>
  <si>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Stavební úpravy stáv. WC v objektu ZŠ 28.října, Česká Lípa -1.etapa</t>
  </si>
  <si>
    <t>dle SoD čl. II odst.2.5.8._x000D_</t>
  </si>
  <si>
    <t>dle SoD čl. II odst.2.5.6._x000D_</t>
  </si>
  <si>
    <t>protiprašné a protihlukové opatření - 8 etap_x000D_</t>
  </si>
  <si>
    <t>protiprašné a protihlukové opatření - celkem 8 etap_x000D_</t>
  </si>
  <si>
    <t>D+M - Vzduchotechnické potrubí ohebné do O 102 mm</t>
  </si>
  <si>
    <t>trubka elektroinstalační ohebná D 23 mm</t>
  </si>
  <si>
    <t>trubka elektroinstalační ohebná D 36 mm</t>
  </si>
  <si>
    <t>kabel silový CMFM 2Ax1,5 mm2</t>
  </si>
  <si>
    <t>D+M - Vzduchotechnické potrubí z pozink.plechu do O 100 mm - 40% tvarovek</t>
  </si>
  <si>
    <t>D+M - Vzduchotechnické potrubí z pozink.plechu do O 125 mm - 40% tvarovek</t>
  </si>
  <si>
    <t>D+M - Vzduchotechnické potrubí z pozink.plechu do O 160 mm - 40% tvarovek</t>
  </si>
  <si>
    <t>D+M - Vzduchotechnické potrubí z pozink.plechu do O 250 mm - 40% tvarovek</t>
  </si>
  <si>
    <t>D+M - Ležaté potrubí PVC-KG DN 125</t>
  </si>
  <si>
    <t>D+M - Ležaté potrubí PVC-KG DN 110</t>
  </si>
  <si>
    <t>Osazení systémových zárubní - protiprašné a protihlukové opatření celkem pro 8. etap</t>
  </si>
  <si>
    <t>Příčka sádrokarton. ocel.kce, 1x oplášť. tl. 75 mm -pouze montáž, protiprašné a protihlukové opatření celkem pro 8. etap</t>
  </si>
  <si>
    <t>DMTZ SDK příčky, 1x kov.kce., 1x opláštěné 12,5 mm -k dalš.použ., protiprašné a protihlukové opatření celkem pro 8. etap</t>
  </si>
  <si>
    <t>Vyvěšení dřevěných dveřních křídel pl. do 2 m2, protiprašné a protihlukové opatření celkem pro 8. etap</t>
  </si>
  <si>
    <t>Montáž dveří do zárubně,otevíravých 1kř.nad 0,8 m, protiprašné a protihlukové opatření celkem pro 8. etap</t>
  </si>
  <si>
    <t>dle SoD čl. II odst. 2.5.1.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</si>
</sst>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color indexed="8"/>
      <name val="Arial"/>
      <charset val="238"/>
    </font>
    <font>
      <sz val="18"/>
      <color indexed="8"/>
      <name val="Arial"/>
      <charset val="238"/>
    </font>
    <font>
      <b/>
      <sz val="10"/>
      <color indexed="8"/>
      <name val="Arial"/>
      <charset val="238"/>
    </font>
    <font>
      <sz val="10"/>
      <color indexed="54"/>
      <name val="Arial"/>
      <charset val="238"/>
    </font>
    <font>
      <sz val="10"/>
      <color indexed="56"/>
      <name val="Arial"/>
      <charset val="238"/>
    </font>
    <font>
      <sz val="10"/>
      <color indexed="61"/>
      <name val="Arial"/>
      <charset val="238"/>
    </font>
    <font>
      <sz val="10"/>
      <color indexed="62"/>
      <name val="Arial"/>
      <charset val="238"/>
    </font>
    <font>
      <i/>
      <sz val="8"/>
      <color indexed="8"/>
      <name val="Arial"/>
      <charset val="238"/>
    </font>
    <font>
      <b/>
      <sz val="10"/>
      <color indexed="54"/>
      <name val="Arial"/>
      <charset val="238"/>
    </font>
    <font>
      <b/>
      <sz val="10"/>
      <color indexed="56"/>
      <name val="Arial"/>
      <charset val="238"/>
    </font>
    <font>
      <sz val="10"/>
      <color indexed="59"/>
      <name val="Arial"/>
      <charset val="238"/>
    </font>
    <font>
      <i/>
      <sz val="9"/>
      <color indexed="61"/>
      <name val="Arial"/>
      <charset val="238"/>
    </font>
    <font>
      <i/>
      <sz val="9"/>
      <color indexed="62"/>
      <name val="Arial"/>
      <charset val="238"/>
    </font>
    <font>
      <b/>
      <sz val="18"/>
      <color indexed="8"/>
      <name val="Arial"/>
      <charset val="238"/>
    </font>
    <font>
      <b/>
      <sz val="20"/>
      <color indexed="8"/>
      <name val="Arial"/>
      <charset val="238"/>
    </font>
    <font>
      <b/>
      <sz val="12"/>
      <color indexed="8"/>
      <name val="Arial"/>
      <charset val="238"/>
    </font>
    <font>
      <sz val="12"/>
      <color indexed="8"/>
      <name val="Arial"/>
      <charset val="238"/>
    </font>
    <font>
      <b/>
      <sz val="11"/>
      <color indexed="8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9"/>
      </patternFill>
    </fill>
    <fill>
      <patternFill patternType="solid">
        <fgColor indexed="57"/>
        <bgColor indexed="9"/>
      </patternFill>
    </fill>
    <fill>
      <patternFill patternType="solid">
        <fgColor indexed="22"/>
        <bgColor indexed="9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1" fillId="0" borderId="0" xfId="0" applyFont="1" applyAlignment="1">
      <alignment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49" fontId="1" fillId="0" borderId="6" xfId="0" applyNumberFormat="1" applyFont="1" applyFill="1" applyBorder="1" applyAlignment="1" applyProtection="1">
      <alignment horizontal="left" vertical="center"/>
    </xf>
    <xf numFmtId="49" fontId="4" fillId="2" borderId="7" xfId="0" applyNumberFormat="1" applyFont="1" applyFill="1" applyBorder="1" applyAlignment="1" applyProtection="1">
      <alignment horizontal="left" vertical="center"/>
    </xf>
    <xf numFmtId="49" fontId="5" fillId="3" borderId="0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49" fontId="4" fillId="2" borderId="0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8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3" fillId="0" borderId="10" xfId="0" applyNumberFormat="1" applyFont="1" applyFill="1" applyBorder="1" applyAlignment="1" applyProtection="1">
      <alignment horizontal="left" vertical="center"/>
    </xf>
    <xf numFmtId="49" fontId="1" fillId="0" borderId="11" xfId="0" applyNumberFormat="1" applyFont="1" applyFill="1" applyBorder="1" applyAlignment="1" applyProtection="1">
      <alignment horizontal="left" vertical="center"/>
    </xf>
    <xf numFmtId="49" fontId="9" fillId="2" borderId="7" xfId="0" applyNumberFormat="1" applyFont="1" applyFill="1" applyBorder="1" applyAlignment="1" applyProtection="1">
      <alignment horizontal="left" vertical="center"/>
    </xf>
    <xf numFmtId="49" fontId="10" fillId="3" borderId="0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3" fillId="0" borderId="10" xfId="0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7" fillId="0" borderId="0" xfId="0" applyNumberFormat="1" applyFont="1" applyFill="1" applyBorder="1" applyAlignment="1" applyProtection="1">
      <alignment horizontal="right" vertical="center"/>
    </xf>
    <xf numFmtId="49" fontId="3" fillId="0" borderId="15" xfId="0" applyNumberFormat="1" applyFont="1" applyFill="1" applyBorder="1" applyAlignment="1" applyProtection="1">
      <alignment horizontal="center" vertical="center"/>
    </xf>
    <xf numFmtId="49" fontId="3" fillId="0" borderId="16" xfId="0" applyNumberFormat="1" applyFont="1" applyFill="1" applyBorder="1" applyAlignment="1" applyProtection="1">
      <alignment horizontal="center" vertical="center"/>
    </xf>
    <xf numFmtId="49" fontId="3" fillId="0" borderId="18" xfId="0" applyNumberFormat="1" applyFont="1" applyFill="1" applyBorder="1" applyAlignment="1" applyProtection="1">
      <alignment horizontal="center" vertical="center"/>
    </xf>
    <xf numFmtId="49" fontId="3" fillId="0" borderId="20" xfId="0" applyNumberFormat="1" applyFont="1" applyFill="1" applyBorder="1" applyAlignment="1" applyProtection="1">
      <alignment horizontal="center" vertical="center"/>
    </xf>
    <xf numFmtId="49" fontId="3" fillId="0" borderId="22" xfId="0" applyNumberFormat="1" applyFont="1" applyFill="1" applyBorder="1" applyAlignment="1" applyProtection="1">
      <alignment horizontal="center" vertical="center"/>
    </xf>
    <xf numFmtId="49" fontId="3" fillId="0" borderId="25" xfId="0" applyNumberFormat="1" applyFont="1" applyFill="1" applyBorder="1" applyAlignment="1" applyProtection="1">
      <alignment horizontal="center" vertical="center"/>
    </xf>
    <xf numFmtId="49" fontId="3" fillId="0" borderId="26" xfId="0" applyNumberFormat="1" applyFont="1" applyFill="1" applyBorder="1" applyAlignment="1" applyProtection="1">
      <alignment horizontal="center" vertical="center"/>
    </xf>
    <xf numFmtId="49" fontId="9" fillId="2" borderId="7" xfId="0" applyNumberFormat="1" applyFont="1" applyFill="1" applyBorder="1" applyAlignment="1" applyProtection="1">
      <alignment horizontal="right" vertical="center"/>
    </xf>
    <xf numFmtId="49" fontId="10" fillId="3" borderId="0" xfId="0" applyNumberFormat="1" applyFont="1" applyFill="1" applyBorder="1" applyAlignment="1" applyProtection="1">
      <alignment horizontal="right" vertical="center"/>
    </xf>
    <xf numFmtId="49" fontId="6" fillId="0" borderId="0" xfId="0" applyNumberFormat="1" applyFont="1" applyFill="1" applyBorder="1" applyAlignment="1" applyProtection="1">
      <alignment horizontal="right" vertical="center"/>
    </xf>
    <xf numFmtId="49" fontId="7" fillId="0" borderId="0" xfId="0" applyNumberFormat="1" applyFont="1" applyFill="1" applyBorder="1" applyAlignment="1" applyProtection="1">
      <alignment horizontal="right" vertical="center"/>
    </xf>
    <xf numFmtId="49" fontId="9" fillId="2" borderId="0" xfId="0" applyNumberFormat="1" applyFont="1" applyFill="1" applyBorder="1" applyAlignment="1" applyProtection="1">
      <alignment horizontal="right" vertical="center"/>
    </xf>
    <xf numFmtId="0" fontId="1" fillId="0" borderId="3" xfId="0" applyNumberFormat="1" applyFont="1" applyFill="1" applyBorder="1" applyAlignment="1" applyProtection="1">
      <alignment vertical="center"/>
    </xf>
    <xf numFmtId="0" fontId="1" fillId="0" borderId="27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horizontal="right" vertical="center"/>
    </xf>
    <xf numFmtId="4" fontId="9" fillId="2" borderId="7" xfId="0" applyNumberFormat="1" applyFont="1" applyFill="1" applyBorder="1" applyAlignment="1" applyProtection="1">
      <alignment horizontal="right" vertical="center"/>
    </xf>
    <xf numFmtId="4" fontId="10" fillId="3" borderId="0" xfId="0" applyNumberFormat="1" applyFont="1" applyFill="1" applyBorder="1" applyAlignment="1" applyProtection="1">
      <alignment horizontal="right" vertical="center"/>
    </xf>
    <xf numFmtId="4" fontId="9" fillId="2" borderId="0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</xf>
    <xf numFmtId="49" fontId="3" fillId="0" borderId="28" xfId="0" applyNumberFormat="1" applyFont="1" applyFill="1" applyBorder="1" applyAlignment="1" applyProtection="1">
      <alignment horizontal="left" vertical="center"/>
    </xf>
    <xf numFmtId="49" fontId="1" fillId="0" borderId="7" xfId="0" applyNumberFormat="1" applyFont="1" applyFill="1" applyBorder="1" applyAlignment="1" applyProtection="1">
      <alignment horizontal="left" vertical="center"/>
    </xf>
    <xf numFmtId="49" fontId="3" fillId="0" borderId="29" xfId="0" applyNumberFormat="1" applyFont="1" applyFill="1" applyBorder="1" applyAlignment="1" applyProtection="1">
      <alignment horizontal="left" vertical="center"/>
    </xf>
    <xf numFmtId="49" fontId="3" fillId="0" borderId="32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" fontId="1" fillId="0" borderId="7" xfId="0" applyNumberFormat="1" applyFont="1" applyFill="1" applyBorder="1" applyAlignment="1" applyProtection="1">
      <alignment horizontal="right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49" fontId="3" fillId="0" borderId="32" xfId="0" applyNumberFormat="1" applyFont="1" applyFill="1" applyBorder="1" applyAlignment="1" applyProtection="1">
      <alignment horizontal="left" vertical="center"/>
    </xf>
    <xf numFmtId="49" fontId="3" fillId="0" borderId="32" xfId="0" applyNumberFormat="1" applyFont="1" applyFill="1" applyBorder="1" applyAlignment="1" applyProtection="1">
      <alignment horizontal="right" vertical="center"/>
    </xf>
    <xf numFmtId="4" fontId="6" fillId="0" borderId="7" xfId="0" applyNumberFormat="1" applyFont="1" applyFill="1" applyBorder="1" applyAlignment="1" applyProtection="1">
      <alignment horizontal="right" vertical="center"/>
    </xf>
    <xf numFmtId="4" fontId="12" fillId="0" borderId="0" xfId="0" applyNumberFormat="1" applyFont="1" applyFill="1" applyBorder="1" applyAlignment="1" applyProtection="1">
      <alignment horizontal="right" vertical="center"/>
    </xf>
    <xf numFmtId="49" fontId="15" fillId="4" borderId="35" xfId="0" applyNumberFormat="1" applyFont="1" applyFill="1" applyBorder="1" applyAlignment="1" applyProtection="1">
      <alignment horizontal="center" vertical="center"/>
    </xf>
    <xf numFmtId="49" fontId="16" fillId="0" borderId="36" xfId="0" applyNumberFormat="1" applyFont="1" applyFill="1" applyBorder="1" applyAlignment="1" applyProtection="1">
      <alignment horizontal="left" vertical="center"/>
    </xf>
    <xf numFmtId="49" fontId="16" fillId="0" borderId="37" xfId="0" applyNumberFormat="1" applyFont="1" applyFill="1" applyBorder="1" applyAlignment="1" applyProtection="1">
      <alignment horizontal="left" vertical="center"/>
    </xf>
    <xf numFmtId="0" fontId="1" fillId="0" borderId="39" xfId="0" applyNumberFormat="1" applyFont="1" applyFill="1" applyBorder="1" applyAlignment="1" applyProtection="1">
      <alignment vertical="center"/>
    </xf>
    <xf numFmtId="49" fontId="8" fillId="0" borderId="7" xfId="0" applyNumberFormat="1" applyFont="1" applyFill="1" applyBorder="1" applyAlignment="1" applyProtection="1">
      <alignment horizontal="left" vertical="center"/>
    </xf>
    <xf numFmtId="49" fontId="17" fillId="0" borderId="35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vertical="center"/>
    </xf>
    <xf numFmtId="0" fontId="1" fillId="0" borderId="23" xfId="0" applyNumberFormat="1" applyFont="1" applyFill="1" applyBorder="1" applyAlignment="1" applyProtection="1">
      <alignment vertical="center"/>
    </xf>
    <xf numFmtId="0" fontId="1" fillId="0" borderId="33" xfId="0" applyNumberFormat="1" applyFont="1" applyFill="1" applyBorder="1" applyAlignment="1" applyProtection="1">
      <alignment vertical="center"/>
    </xf>
    <xf numFmtId="4" fontId="17" fillId="0" borderId="35" xfId="0" applyNumberFormat="1" applyFont="1" applyFill="1" applyBorder="1" applyAlignment="1" applyProtection="1">
      <alignment horizontal="right" vertical="center"/>
    </xf>
    <xf numFmtId="49" fontId="17" fillId="0" borderId="35" xfId="0" applyNumberFormat="1" applyFont="1" applyFill="1" applyBorder="1" applyAlignment="1" applyProtection="1">
      <alignment horizontal="right" vertical="center"/>
    </xf>
    <xf numFmtId="4" fontId="17" fillId="0" borderId="20" xfId="0" applyNumberFormat="1" applyFont="1" applyFill="1" applyBorder="1" applyAlignment="1" applyProtection="1">
      <alignment horizontal="right" vertical="center"/>
    </xf>
    <xf numFmtId="0" fontId="1" fillId="0" borderId="13" xfId="0" applyNumberFormat="1" applyFont="1" applyFill="1" applyBorder="1" applyAlignment="1" applyProtection="1">
      <alignment vertical="center"/>
    </xf>
    <xf numFmtId="0" fontId="1" fillId="0" borderId="24" xfId="0" applyNumberFormat="1" applyFont="1" applyFill="1" applyBorder="1" applyAlignment="1" applyProtection="1">
      <alignment vertical="center"/>
    </xf>
    <xf numFmtId="0" fontId="1" fillId="0" borderId="38" xfId="0" applyNumberFormat="1" applyFont="1" applyFill="1" applyBorder="1" applyAlignment="1" applyProtection="1">
      <alignment vertical="center"/>
    </xf>
    <xf numFmtId="4" fontId="16" fillId="4" borderId="42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>
      <alignment horizontal="left"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left" vertical="center"/>
    </xf>
    <xf numFmtId="49" fontId="6" fillId="0" borderId="7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Alignment="1">
      <alignment vertical="center"/>
    </xf>
    <xf numFmtId="4" fontId="13" fillId="0" borderId="0" xfId="0" applyNumberFormat="1" applyFont="1" applyFill="1" applyBorder="1" applyAlignment="1" applyProtection="1">
      <alignment horizontal="right" vertical="center"/>
    </xf>
    <xf numFmtId="49" fontId="12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/>
    </xf>
    <xf numFmtId="49" fontId="13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8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left" vertical="center" wrapText="1"/>
    </xf>
    <xf numFmtId="49" fontId="1" fillId="0" borderId="23" xfId="0" applyNumberFormat="1" applyFont="1" applyFill="1" applyBorder="1" applyAlignment="1" applyProtection="1">
      <alignment horizontal="left" vertical="center"/>
    </xf>
    <xf numFmtId="0" fontId="1" fillId="0" borderId="24" xfId="0" applyNumberFormat="1" applyFont="1" applyFill="1" applyBorder="1" applyAlignment="1" applyProtection="1">
      <alignment horizontal="left" vertical="center"/>
    </xf>
    <xf numFmtId="49" fontId="1" fillId="0" borderId="24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1" fillId="0" borderId="46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0" fontId="1" fillId="0" borderId="33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49" fontId="14" fillId="0" borderId="34" xfId="0" applyNumberFormat="1" applyFont="1" applyFill="1" applyBorder="1" applyAlignment="1" applyProtection="1">
      <alignment horizontal="center" vertical="center"/>
    </xf>
    <xf numFmtId="0" fontId="14" fillId="0" borderId="34" xfId="0" applyNumberFormat="1" applyFont="1" applyFill="1" applyBorder="1" applyAlignment="1" applyProtection="1">
      <alignment horizontal="center" vertical="center"/>
    </xf>
    <xf numFmtId="49" fontId="18" fillId="0" borderId="38" xfId="0" applyNumberFormat="1" applyFont="1" applyFill="1" applyBorder="1" applyAlignment="1" applyProtection="1">
      <alignment horizontal="left" vertical="center"/>
    </xf>
    <xf numFmtId="0" fontId="18" fillId="0" borderId="42" xfId="0" applyNumberFormat="1" applyFont="1" applyFill="1" applyBorder="1" applyAlignment="1" applyProtection="1">
      <alignment horizontal="left" vertical="center"/>
    </xf>
    <xf numFmtId="49" fontId="17" fillId="0" borderId="38" xfId="0" applyNumberFormat="1" applyFont="1" applyFill="1" applyBorder="1" applyAlignment="1" applyProtection="1">
      <alignment horizontal="left" vertical="center"/>
    </xf>
    <xf numFmtId="0" fontId="17" fillId="0" borderId="42" xfId="0" applyNumberFormat="1" applyFont="1" applyFill="1" applyBorder="1" applyAlignment="1" applyProtection="1">
      <alignment horizontal="left" vertical="center"/>
    </xf>
    <xf numFmtId="49" fontId="16" fillId="0" borderId="38" xfId="0" applyNumberFormat="1" applyFont="1" applyFill="1" applyBorder="1" applyAlignment="1" applyProtection="1">
      <alignment horizontal="left" vertical="center"/>
    </xf>
    <xf numFmtId="0" fontId="16" fillId="0" borderId="42" xfId="0" applyNumberFormat="1" applyFont="1" applyFill="1" applyBorder="1" applyAlignment="1" applyProtection="1">
      <alignment horizontal="left" vertical="center"/>
    </xf>
    <xf numFmtId="49" fontId="16" fillId="4" borderId="38" xfId="0" applyNumberFormat="1" applyFont="1" applyFill="1" applyBorder="1" applyAlignment="1" applyProtection="1">
      <alignment horizontal="left" vertical="center"/>
    </xf>
    <xf numFmtId="0" fontId="16" fillId="4" borderId="34" xfId="0" applyNumberFormat="1" applyFont="1" applyFill="1" applyBorder="1" applyAlignment="1" applyProtection="1">
      <alignment horizontal="left" vertical="center"/>
    </xf>
    <xf numFmtId="49" fontId="17" fillId="0" borderId="40" xfId="0" applyNumberFormat="1" applyFont="1" applyFill="1" applyBorder="1" applyAlignment="1" applyProtection="1">
      <alignment horizontal="left" vertical="center"/>
    </xf>
    <xf numFmtId="0" fontId="17" fillId="0" borderId="7" xfId="0" applyNumberFormat="1" applyFont="1" applyFill="1" applyBorder="1" applyAlignment="1" applyProtection="1">
      <alignment horizontal="left" vertical="center"/>
    </xf>
    <xf numFmtId="0" fontId="17" fillId="0" borderId="43" xfId="0" applyNumberFormat="1" applyFont="1" applyFill="1" applyBorder="1" applyAlignment="1" applyProtection="1">
      <alignment horizontal="left" vertical="center"/>
    </xf>
    <xf numFmtId="49" fontId="17" fillId="0" borderId="27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7" fillId="0" borderId="44" xfId="0" applyNumberFormat="1" applyFont="1" applyFill="1" applyBorder="1" applyAlignment="1" applyProtection="1">
      <alignment horizontal="left" vertical="center"/>
    </xf>
    <xf numFmtId="49" fontId="17" fillId="0" borderId="41" xfId="0" applyNumberFormat="1" applyFont="1" applyFill="1" applyBorder="1" applyAlignment="1" applyProtection="1">
      <alignment horizontal="left" vertical="center"/>
    </xf>
    <xf numFmtId="0" fontId="17" fillId="0" borderId="9" xfId="0" applyNumberFormat="1" applyFont="1" applyFill="1" applyBorder="1" applyAlignment="1" applyProtection="1">
      <alignment horizontal="left" vertical="center"/>
    </xf>
    <xf numFmtId="0" fontId="17" fillId="0" borderId="45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center"/>
    </xf>
    <xf numFmtId="0" fontId="1" fillId="0" borderId="23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0" borderId="14" xfId="0" applyNumberFormat="1" applyFont="1" applyFill="1" applyBorder="1" applyAlignment="1" applyProtection="1">
      <alignment horizontal="left" vertical="center"/>
    </xf>
    <xf numFmtId="49" fontId="3" fillId="0" borderId="30" xfId="0" applyNumberFormat="1" applyFont="1" applyFill="1" applyBorder="1" applyAlignment="1" applyProtection="1">
      <alignment horizontal="left" vertical="center"/>
    </xf>
    <xf numFmtId="0" fontId="3" fillId="0" borderId="31" xfId="0" applyNumberFormat="1" applyFont="1" applyFill="1" applyBorder="1" applyAlignment="1" applyProtection="1">
      <alignment horizontal="left" vertical="center"/>
    </xf>
    <xf numFmtId="49" fontId="1" fillId="0" borderId="7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left" vertical="center"/>
    </xf>
    <xf numFmtId="49" fontId="1" fillId="0" borderId="8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/>
    </xf>
    <xf numFmtId="49" fontId="10" fillId="3" borderId="0" xfId="0" applyNumberFormat="1" applyFont="1" applyFill="1" applyBorder="1" applyAlignment="1" applyProtection="1">
      <alignment horizontal="left" vertical="center"/>
    </xf>
    <xf numFmtId="0" fontId="10" fillId="3" borderId="0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3" fillId="0" borderId="12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left" vertical="center"/>
    </xf>
    <xf numFmtId="0" fontId="3" fillId="0" borderId="13" xfId="0" applyNumberFormat="1" applyFont="1" applyFill="1" applyBorder="1" applyAlignment="1" applyProtection="1">
      <alignment horizontal="left" vertical="center"/>
    </xf>
    <xf numFmtId="49" fontId="3" fillId="0" borderId="17" xfId="0" applyNumberFormat="1" applyFont="1" applyFill="1" applyBorder="1" applyAlignment="1" applyProtection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/>
    </xf>
    <xf numFmtId="0" fontId="3" fillId="0" borderId="14" xfId="0" applyNumberFormat="1" applyFont="1" applyFill="1" applyBorder="1" applyAlignment="1" applyProtection="1">
      <alignment horizontal="left" vertical="center"/>
    </xf>
    <xf numFmtId="49" fontId="9" fillId="2" borderId="7" xfId="0" applyNumberFormat="1" applyFont="1" applyFill="1" applyBorder="1" applyAlignment="1" applyProtection="1">
      <alignment horizontal="left" vertical="center"/>
    </xf>
    <xf numFmtId="0" fontId="9" fillId="2" borderId="7" xfId="0" applyNumberFormat="1" applyFont="1" applyFill="1" applyBorder="1" applyAlignment="1" applyProtection="1">
      <alignment horizontal="left"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/>
    </xf>
    <xf numFmtId="49" fontId="3" fillId="0" borderId="8" xfId="0" applyNumberFormat="1" applyFont="1" applyFill="1" applyBorder="1" applyAlignment="1" applyProtection="1">
      <alignment horizontal="left" vertical="center"/>
    </xf>
    <xf numFmtId="49" fontId="6" fillId="0" borderId="7" xfId="0" applyNumberFormat="1" applyFont="1" applyFill="1" applyBorder="1" applyAlignment="1" applyProtection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49" fontId="12" fillId="0" borderId="0" xfId="0" applyNumberFormat="1" applyFont="1" applyFill="1" applyBorder="1" applyAlignment="1" applyProtection="1">
      <alignment horizontal="center" vertical="center"/>
    </xf>
    <xf numFmtId="49" fontId="13" fillId="0" borderId="0" xfId="0" applyNumberFormat="1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6775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4875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topLeftCell="A2" zoomScale="90" zoomScaleNormal="90" workbookViewId="0">
      <selection activeCell="C22" sqref="C22"/>
    </sheetView>
  </sheetViews>
  <sheetFormatPr defaultColWidth="11.5703125" defaultRowHeight="12.75" x14ac:dyDescent="0.2"/>
  <cols>
    <col min="1" max="1" width="9.140625" customWidth="1"/>
    <col min="2" max="2" width="12.85546875" customWidth="1"/>
    <col min="3" max="3" width="22.85546875" customWidth="1"/>
    <col min="4" max="4" width="10" customWidth="1"/>
    <col min="5" max="5" width="14" customWidth="1"/>
    <col min="6" max="6" width="22.85546875" customWidth="1"/>
    <col min="7" max="7" width="9.140625" customWidth="1"/>
    <col min="8" max="8" width="12.85546875" customWidth="1"/>
    <col min="9" max="9" width="22.85546875" customWidth="1"/>
  </cols>
  <sheetData>
    <row r="1" spans="1:10" ht="72.95" customHeight="1" x14ac:dyDescent="0.2">
      <c r="A1" s="67"/>
      <c r="B1" s="8"/>
      <c r="C1" s="82" t="s">
        <v>1287</v>
      </c>
      <c r="D1" s="83"/>
      <c r="E1" s="83"/>
      <c r="F1" s="83"/>
      <c r="G1" s="83"/>
      <c r="H1" s="83"/>
      <c r="I1" s="83"/>
    </row>
    <row r="2" spans="1:10" x14ac:dyDescent="0.2">
      <c r="A2" s="84" t="s">
        <v>1</v>
      </c>
      <c r="B2" s="85"/>
      <c r="C2" s="88" t="str">
        <f>'Stavební rozpočet'!C2</f>
        <v>Stavební úpravy stáv. WC v objektu ZŠ 28.října, Česká Lípa -1.etapa</v>
      </c>
      <c r="D2" s="89"/>
      <c r="E2" s="91" t="s">
        <v>1113</v>
      </c>
      <c r="F2" s="91" t="str">
        <f>'Stavební rozpočet'!I2</f>
        <v> </v>
      </c>
      <c r="G2" s="85"/>
      <c r="H2" s="91" t="s">
        <v>1311</v>
      </c>
      <c r="I2" s="92"/>
      <c r="J2" s="32"/>
    </row>
    <row r="3" spans="1:10" x14ac:dyDescent="0.2">
      <c r="A3" s="86"/>
      <c r="B3" s="87"/>
      <c r="C3" s="90"/>
      <c r="D3" s="90"/>
      <c r="E3" s="87"/>
      <c r="F3" s="87"/>
      <c r="G3" s="87"/>
      <c r="H3" s="87"/>
      <c r="I3" s="93"/>
      <c r="J3" s="32"/>
    </row>
    <row r="4" spans="1:10" x14ac:dyDescent="0.2">
      <c r="A4" s="95" t="s">
        <v>2</v>
      </c>
      <c r="B4" s="87"/>
      <c r="C4" s="96" t="str">
        <f>'Stavební rozpočet'!C4</f>
        <v xml:space="preserve"> </v>
      </c>
      <c r="D4" s="87"/>
      <c r="E4" s="96" t="s">
        <v>1114</v>
      </c>
      <c r="F4" s="96" t="str">
        <f>'Stavební rozpočet'!I4</f>
        <v> </v>
      </c>
      <c r="G4" s="87"/>
      <c r="H4" s="96" t="s">
        <v>1311</v>
      </c>
      <c r="I4" s="94"/>
      <c r="J4" s="32"/>
    </row>
    <row r="5" spans="1:10" x14ac:dyDescent="0.2">
      <c r="A5" s="86"/>
      <c r="B5" s="87"/>
      <c r="C5" s="87"/>
      <c r="D5" s="87"/>
      <c r="E5" s="87"/>
      <c r="F5" s="87"/>
      <c r="G5" s="87"/>
      <c r="H5" s="87"/>
      <c r="I5" s="93"/>
      <c r="J5" s="32"/>
    </row>
    <row r="6" spans="1:10" x14ac:dyDescent="0.2">
      <c r="A6" s="95" t="s">
        <v>3</v>
      </c>
      <c r="B6" s="87"/>
      <c r="C6" s="96" t="str">
        <f>'Stavební rozpočet'!C6</f>
        <v xml:space="preserve"> </v>
      </c>
      <c r="D6" s="87"/>
      <c r="E6" s="96" t="s">
        <v>1115</v>
      </c>
      <c r="F6" s="96" t="str">
        <f>'Stavební rozpočet'!I6</f>
        <v> </v>
      </c>
      <c r="G6" s="87"/>
      <c r="H6" s="96" t="s">
        <v>1311</v>
      </c>
      <c r="I6" s="94"/>
      <c r="J6" s="32"/>
    </row>
    <row r="7" spans="1:10" x14ac:dyDescent="0.2">
      <c r="A7" s="86"/>
      <c r="B7" s="87"/>
      <c r="C7" s="87"/>
      <c r="D7" s="87"/>
      <c r="E7" s="87"/>
      <c r="F7" s="87"/>
      <c r="G7" s="87"/>
      <c r="H7" s="87"/>
      <c r="I7" s="93"/>
      <c r="J7" s="32"/>
    </row>
    <row r="8" spans="1:10" x14ac:dyDescent="0.2">
      <c r="A8" s="95" t="s">
        <v>1094</v>
      </c>
      <c r="B8" s="87"/>
      <c r="C8" s="96"/>
      <c r="D8" s="87"/>
      <c r="E8" s="96" t="s">
        <v>1095</v>
      </c>
      <c r="F8" s="96" t="str">
        <f>'Stavební rozpočet'!F6</f>
        <v xml:space="preserve"> </v>
      </c>
      <c r="G8" s="87"/>
      <c r="H8" s="99" t="s">
        <v>1312</v>
      </c>
      <c r="I8" s="94" t="s">
        <v>363</v>
      </c>
      <c r="J8" s="32"/>
    </row>
    <row r="9" spans="1:10" x14ac:dyDescent="0.2">
      <c r="A9" s="86"/>
      <c r="B9" s="87"/>
      <c r="C9" s="87"/>
      <c r="D9" s="87"/>
      <c r="E9" s="87"/>
      <c r="F9" s="87"/>
      <c r="G9" s="87"/>
      <c r="H9" s="87"/>
      <c r="I9" s="93"/>
      <c r="J9" s="32"/>
    </row>
    <row r="10" spans="1:10" x14ac:dyDescent="0.2">
      <c r="A10" s="95" t="s">
        <v>4</v>
      </c>
      <c r="B10" s="87"/>
      <c r="C10" s="96" t="str">
        <f>'Stavební rozpočet'!C8</f>
        <v xml:space="preserve"> </v>
      </c>
      <c r="D10" s="87"/>
      <c r="E10" s="96" t="s">
        <v>1116</v>
      </c>
      <c r="F10" s="96" t="str">
        <f>'Stavební rozpočet'!I8</f>
        <v> </v>
      </c>
      <c r="G10" s="87"/>
      <c r="H10" s="99" t="s">
        <v>1313</v>
      </c>
      <c r="I10" s="97"/>
      <c r="J10" s="32"/>
    </row>
    <row r="11" spans="1:10" x14ac:dyDescent="0.2">
      <c r="A11" s="100"/>
      <c r="B11" s="101"/>
      <c r="C11" s="101"/>
      <c r="D11" s="101"/>
      <c r="E11" s="101"/>
      <c r="F11" s="101"/>
      <c r="G11" s="101"/>
      <c r="H11" s="101"/>
      <c r="I11" s="98"/>
      <c r="J11" s="32"/>
    </row>
    <row r="12" spans="1:10" ht="23.45" customHeight="1" x14ac:dyDescent="0.2">
      <c r="A12" s="102" t="s">
        <v>1272</v>
      </c>
      <c r="B12" s="103"/>
      <c r="C12" s="103"/>
      <c r="D12" s="103"/>
      <c r="E12" s="103"/>
      <c r="F12" s="103"/>
      <c r="G12" s="103"/>
      <c r="H12" s="103"/>
      <c r="I12" s="103"/>
    </row>
    <row r="13" spans="1:10" ht="26.45" customHeight="1" x14ac:dyDescent="0.2">
      <c r="A13" s="51" t="s">
        <v>1273</v>
      </c>
      <c r="B13" s="104" t="s">
        <v>1285</v>
      </c>
      <c r="C13" s="105"/>
      <c r="D13" s="51" t="s">
        <v>1288</v>
      </c>
      <c r="E13" s="104" t="s">
        <v>1297</v>
      </c>
      <c r="F13" s="105"/>
      <c r="G13" s="51" t="s">
        <v>1298</v>
      </c>
      <c r="H13" s="104" t="s">
        <v>1314</v>
      </c>
      <c r="I13" s="105"/>
      <c r="J13" s="32"/>
    </row>
    <row r="14" spans="1:10" ht="15.2" customHeight="1" x14ac:dyDescent="0.2">
      <c r="A14" s="52" t="s">
        <v>1274</v>
      </c>
      <c r="B14" s="56" t="s">
        <v>1286</v>
      </c>
      <c r="C14" s="60">
        <f>SUM('Stavební rozpočet'!AB12:AB462)</f>
        <v>0</v>
      </c>
      <c r="D14" s="106" t="s">
        <v>1289</v>
      </c>
      <c r="E14" s="107"/>
      <c r="F14" s="60">
        <v>0</v>
      </c>
      <c r="G14" s="106" t="s">
        <v>1066</v>
      </c>
      <c r="H14" s="107"/>
      <c r="I14" s="60">
        <v>0</v>
      </c>
      <c r="J14" s="32"/>
    </row>
    <row r="15" spans="1:10" ht="15.2" customHeight="1" x14ac:dyDescent="0.2">
      <c r="A15" s="53"/>
      <c r="B15" s="56" t="s">
        <v>1123</v>
      </c>
      <c r="C15" s="60">
        <f>SUM('Stavební rozpočet'!AC12:AC462)</f>
        <v>0</v>
      </c>
      <c r="D15" s="106" t="s">
        <v>1290</v>
      </c>
      <c r="E15" s="107"/>
      <c r="F15" s="60">
        <v>0</v>
      </c>
      <c r="G15" s="106" t="s">
        <v>1299</v>
      </c>
      <c r="H15" s="107"/>
      <c r="I15" s="60">
        <v>0</v>
      </c>
      <c r="J15" s="32"/>
    </row>
    <row r="16" spans="1:10" ht="15.2" customHeight="1" x14ac:dyDescent="0.2">
      <c r="A16" s="52" t="s">
        <v>1275</v>
      </c>
      <c r="B16" s="56" t="s">
        <v>1286</v>
      </c>
      <c r="C16" s="60">
        <f>SUM('Stavební rozpočet'!AD12:AD462)</f>
        <v>0</v>
      </c>
      <c r="D16" s="106" t="s">
        <v>1291</v>
      </c>
      <c r="E16" s="107"/>
      <c r="F16" s="60">
        <v>0</v>
      </c>
      <c r="G16" s="106" t="s">
        <v>1300</v>
      </c>
      <c r="H16" s="107"/>
      <c r="I16" s="60">
        <v>0</v>
      </c>
      <c r="J16" s="32"/>
    </row>
    <row r="17" spans="1:10" ht="15.2" customHeight="1" x14ac:dyDescent="0.2">
      <c r="A17" s="53"/>
      <c r="B17" s="56" t="s">
        <v>1123</v>
      </c>
      <c r="C17" s="60">
        <f>SUM('Stavební rozpočet'!AE12:AE462)</f>
        <v>0</v>
      </c>
      <c r="D17" s="106"/>
      <c r="E17" s="107"/>
      <c r="F17" s="61"/>
      <c r="G17" s="106" t="s">
        <v>1301</v>
      </c>
      <c r="H17" s="107"/>
      <c r="I17" s="60">
        <v>0</v>
      </c>
      <c r="J17" s="32"/>
    </row>
    <row r="18" spans="1:10" ht="15.2" customHeight="1" x14ac:dyDescent="0.2">
      <c r="A18" s="52" t="s">
        <v>1276</v>
      </c>
      <c r="B18" s="56" t="s">
        <v>1286</v>
      </c>
      <c r="C18" s="60">
        <f>SUM('Stavební rozpočet'!AF12:AF462)</f>
        <v>0</v>
      </c>
      <c r="D18" s="106"/>
      <c r="E18" s="107"/>
      <c r="F18" s="61"/>
      <c r="G18" s="106" t="s">
        <v>1302</v>
      </c>
      <c r="H18" s="107"/>
      <c r="I18" s="60">
        <v>0</v>
      </c>
      <c r="J18" s="32"/>
    </row>
    <row r="19" spans="1:10" ht="15.2" customHeight="1" x14ac:dyDescent="0.2">
      <c r="A19" s="53"/>
      <c r="B19" s="56" t="s">
        <v>1123</v>
      </c>
      <c r="C19" s="60">
        <f>SUM('Stavební rozpočet'!AG12:AG462)</f>
        <v>0</v>
      </c>
      <c r="D19" s="106"/>
      <c r="E19" s="107"/>
      <c r="F19" s="61"/>
      <c r="G19" s="106" t="s">
        <v>1303</v>
      </c>
      <c r="H19" s="107"/>
      <c r="I19" s="60">
        <v>0</v>
      </c>
      <c r="J19" s="32"/>
    </row>
    <row r="20" spans="1:10" ht="15.2" customHeight="1" x14ac:dyDescent="0.2">
      <c r="A20" s="108" t="s">
        <v>1277</v>
      </c>
      <c r="B20" s="109"/>
      <c r="C20" s="60">
        <f>SUM('Stavební rozpočet'!AH12:AH462)</f>
        <v>0</v>
      </c>
      <c r="D20" s="106"/>
      <c r="E20" s="107"/>
      <c r="F20" s="61"/>
      <c r="G20" s="106"/>
      <c r="H20" s="107"/>
      <c r="I20" s="61"/>
      <c r="J20" s="32"/>
    </row>
    <row r="21" spans="1:10" ht="15.2" customHeight="1" x14ac:dyDescent="0.2">
      <c r="A21" s="108" t="s">
        <v>1278</v>
      </c>
      <c r="B21" s="109"/>
      <c r="C21" s="60">
        <f>SUM('Stavební rozpočet'!Z12:Z462)</f>
        <v>0</v>
      </c>
      <c r="D21" s="106"/>
      <c r="E21" s="107"/>
      <c r="F21" s="61"/>
      <c r="G21" s="106"/>
      <c r="H21" s="107"/>
      <c r="I21" s="61"/>
      <c r="J21" s="32"/>
    </row>
    <row r="22" spans="1:10" ht="16.7" customHeight="1" x14ac:dyDescent="0.2">
      <c r="A22" s="108" t="s">
        <v>1279</v>
      </c>
      <c r="B22" s="109"/>
      <c r="C22" s="60">
        <f>SUM(C14:C21)</f>
        <v>0</v>
      </c>
      <c r="D22" s="108" t="s">
        <v>1292</v>
      </c>
      <c r="E22" s="109"/>
      <c r="F22" s="60">
        <f>SUM(F14:F21)</f>
        <v>0</v>
      </c>
      <c r="G22" s="108" t="s">
        <v>1304</v>
      </c>
      <c r="H22" s="109"/>
      <c r="I22" s="60">
        <f>SUM(I14:I21)</f>
        <v>0</v>
      </c>
      <c r="J22" s="32"/>
    </row>
    <row r="23" spans="1:10" ht="15.2" customHeight="1" x14ac:dyDescent="0.2">
      <c r="A23" s="9"/>
      <c r="B23" s="9"/>
      <c r="C23" s="58"/>
      <c r="D23" s="108" t="s">
        <v>1293</v>
      </c>
      <c r="E23" s="109"/>
      <c r="F23" s="62">
        <v>0</v>
      </c>
      <c r="G23" s="108" t="s">
        <v>1305</v>
      </c>
      <c r="H23" s="109"/>
      <c r="I23" s="60">
        <v>0</v>
      </c>
      <c r="J23" s="32"/>
    </row>
    <row r="24" spans="1:10" ht="15.2" customHeight="1" x14ac:dyDescent="0.2">
      <c r="D24" s="9"/>
      <c r="E24" s="9"/>
      <c r="F24" s="63"/>
      <c r="G24" s="108" t="s">
        <v>1306</v>
      </c>
      <c r="H24" s="109"/>
      <c r="I24" s="65"/>
    </row>
    <row r="25" spans="1:10" ht="15.2" customHeight="1" x14ac:dyDescent="0.2">
      <c r="F25" s="64"/>
      <c r="G25" s="108" t="s">
        <v>1307</v>
      </c>
      <c r="H25" s="109"/>
      <c r="I25" s="60">
        <v>0</v>
      </c>
      <c r="J25" s="32"/>
    </row>
    <row r="26" spans="1:10" x14ac:dyDescent="0.2">
      <c r="A26" s="8"/>
      <c r="B26" s="8"/>
      <c r="C26" s="8"/>
      <c r="G26" s="9"/>
      <c r="H26" s="9"/>
      <c r="I26" s="9"/>
    </row>
    <row r="27" spans="1:10" ht="15.2" customHeight="1" x14ac:dyDescent="0.2">
      <c r="A27" s="110" t="s">
        <v>1280</v>
      </c>
      <c r="B27" s="111"/>
      <c r="C27" s="66">
        <f>SUM('Stavební rozpočet'!AJ12:AJ462)</f>
        <v>0</v>
      </c>
      <c r="D27" s="59"/>
      <c r="E27" s="8"/>
      <c r="F27" s="8"/>
      <c r="G27" s="8"/>
      <c r="H27" s="8"/>
      <c r="I27" s="8"/>
    </row>
    <row r="28" spans="1:10" ht="15.2" customHeight="1" x14ac:dyDescent="0.2">
      <c r="A28" s="110" t="s">
        <v>1281</v>
      </c>
      <c r="B28" s="111"/>
      <c r="C28" s="66">
        <f>SUM('Stavební rozpočet'!AK12:AK462)</f>
        <v>0</v>
      </c>
      <c r="D28" s="110" t="s">
        <v>1294</v>
      </c>
      <c r="E28" s="111"/>
      <c r="F28" s="66">
        <f>ROUND(C28*(15/100),2)</f>
        <v>0</v>
      </c>
      <c r="G28" s="110" t="s">
        <v>1308</v>
      </c>
      <c r="H28" s="111"/>
      <c r="I28" s="66">
        <f>SUM(C27:C29)</f>
        <v>0</v>
      </c>
      <c r="J28" s="32"/>
    </row>
    <row r="29" spans="1:10" ht="15.2" customHeight="1" x14ac:dyDescent="0.2">
      <c r="A29" s="110" t="s">
        <v>1282</v>
      </c>
      <c r="B29" s="111"/>
      <c r="C29" s="66">
        <f>SUM('Stavební rozpočet'!AL12:AL462)+(F22+I22+F23+I23+I24+I25)</f>
        <v>0</v>
      </c>
      <c r="D29" s="110" t="s">
        <v>1295</v>
      </c>
      <c r="E29" s="111"/>
      <c r="F29" s="66">
        <f>ROUND(C29*(21/100),2)</f>
        <v>0</v>
      </c>
      <c r="G29" s="110" t="s">
        <v>1309</v>
      </c>
      <c r="H29" s="111"/>
      <c r="I29" s="66">
        <f>SUM(F28:F29)+I28</f>
        <v>0</v>
      </c>
      <c r="J29" s="32"/>
    </row>
    <row r="30" spans="1:10" x14ac:dyDescent="0.2">
      <c r="A30" s="54"/>
      <c r="B30" s="54"/>
      <c r="C30" s="54"/>
      <c r="D30" s="54"/>
      <c r="E30" s="54"/>
      <c r="F30" s="54"/>
      <c r="G30" s="54"/>
      <c r="H30" s="54"/>
      <c r="I30" s="54"/>
    </row>
    <row r="31" spans="1:10" ht="14.45" customHeight="1" x14ac:dyDescent="0.2">
      <c r="A31" s="112" t="s">
        <v>1283</v>
      </c>
      <c r="B31" s="113"/>
      <c r="C31" s="114"/>
      <c r="D31" s="112" t="s">
        <v>1296</v>
      </c>
      <c r="E31" s="113"/>
      <c r="F31" s="114"/>
      <c r="G31" s="112" t="s">
        <v>1310</v>
      </c>
      <c r="H31" s="113"/>
      <c r="I31" s="114"/>
      <c r="J31" s="33"/>
    </row>
    <row r="32" spans="1:10" ht="14.45" customHeight="1" x14ac:dyDescent="0.2">
      <c r="A32" s="115"/>
      <c r="B32" s="116"/>
      <c r="C32" s="117"/>
      <c r="D32" s="115"/>
      <c r="E32" s="116"/>
      <c r="F32" s="117"/>
      <c r="G32" s="115"/>
      <c r="H32" s="116"/>
      <c r="I32" s="117"/>
      <c r="J32" s="33"/>
    </row>
    <row r="33" spans="1:10" ht="14.45" customHeight="1" x14ac:dyDescent="0.2">
      <c r="A33" s="115"/>
      <c r="B33" s="116"/>
      <c r="C33" s="117"/>
      <c r="D33" s="115"/>
      <c r="E33" s="116"/>
      <c r="F33" s="117"/>
      <c r="G33" s="115"/>
      <c r="H33" s="116"/>
      <c r="I33" s="117"/>
      <c r="J33" s="33"/>
    </row>
    <row r="34" spans="1:10" ht="14.45" customHeight="1" x14ac:dyDescent="0.2">
      <c r="A34" s="115"/>
      <c r="B34" s="116"/>
      <c r="C34" s="117"/>
      <c r="D34" s="115"/>
      <c r="E34" s="116"/>
      <c r="F34" s="117"/>
      <c r="G34" s="115"/>
      <c r="H34" s="116"/>
      <c r="I34" s="117"/>
      <c r="J34" s="33"/>
    </row>
    <row r="35" spans="1:10" ht="14.45" customHeight="1" x14ac:dyDescent="0.2">
      <c r="A35" s="118" t="s">
        <v>1284</v>
      </c>
      <c r="B35" s="119"/>
      <c r="C35" s="120"/>
      <c r="D35" s="118" t="s">
        <v>1284</v>
      </c>
      <c r="E35" s="119"/>
      <c r="F35" s="120"/>
      <c r="G35" s="118" t="s">
        <v>1284</v>
      </c>
      <c r="H35" s="119"/>
      <c r="I35" s="120"/>
      <c r="J35" s="33"/>
    </row>
    <row r="36" spans="1:10" ht="11.25" customHeight="1" x14ac:dyDescent="0.2">
      <c r="A36" s="55" t="s">
        <v>364</v>
      </c>
      <c r="B36" s="57"/>
      <c r="C36" s="57"/>
      <c r="D36" s="57"/>
      <c r="E36" s="57"/>
      <c r="F36" s="57"/>
      <c r="G36" s="57"/>
      <c r="H36" s="57"/>
      <c r="I36" s="57"/>
    </row>
    <row r="37" spans="1:10" x14ac:dyDescent="0.2">
      <c r="A37" s="96"/>
      <c r="B37" s="87"/>
      <c r="C37" s="87"/>
      <c r="D37" s="87"/>
      <c r="E37" s="87"/>
      <c r="F37" s="87"/>
      <c r="G37" s="87"/>
      <c r="H37" s="87"/>
      <c r="I37" s="87"/>
    </row>
  </sheetData>
  <sheetProtection algorithmName="SHA-512" hashValue="/bO227yMr3d6DS9Yk3LR1JWyPINzGNPFABh8bod6VBQBa2mDMeh2Ez1wNTu0dD+V+Py1xSxILPY2FZJbhnLAuA==" saltValue="+KsKwJYjRewZkr+7mx6WKg==" spinCount="100000" sheet="1" objects="1" scenarios="1"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C1:I1"/>
    <mergeCell ref="A2:B3"/>
    <mergeCell ref="C2:D3"/>
    <mergeCell ref="E2:E3"/>
    <mergeCell ref="F2:G3"/>
    <mergeCell ref="H2:H3"/>
    <mergeCell ref="I2:I3"/>
  </mergeCells>
  <pageMargins left="0.39400000000000002" right="0.39400000000000002" top="0.59099999999999997" bottom="0.59099999999999997" header="0.5" footer="0.5"/>
  <pageSetup paperSize="0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0"/>
  <sheetViews>
    <sheetView zoomScale="90" zoomScaleNormal="90" workbookViewId="0">
      <pane ySplit="10" topLeftCell="A11" activePane="bottomLeft" state="frozenSplit"/>
      <selection pane="bottomLeft" activeCell="C40" sqref="C40"/>
    </sheetView>
  </sheetViews>
  <sheetFormatPr defaultColWidth="11.5703125" defaultRowHeight="12.75" x14ac:dyDescent="0.2"/>
  <cols>
    <col min="1" max="2" width="16.5703125" customWidth="1"/>
    <col min="3" max="3" width="41.7109375" customWidth="1"/>
    <col min="4" max="4" width="32.28515625" customWidth="1"/>
    <col min="5" max="5" width="0.5703125" hidden="1" customWidth="1"/>
    <col min="6" max="6" width="0.140625" customWidth="1"/>
    <col min="7" max="7" width="20.85546875" customWidth="1"/>
    <col min="8" max="9" width="0" hidden="1" customWidth="1"/>
  </cols>
  <sheetData>
    <row r="1" spans="1:9" ht="72.95" customHeight="1" x14ac:dyDescent="0.35">
      <c r="A1" s="121" t="s">
        <v>1181</v>
      </c>
      <c r="B1" s="83"/>
      <c r="C1" s="83"/>
      <c r="D1" s="83"/>
      <c r="E1" s="83"/>
      <c r="F1" s="83"/>
      <c r="G1" s="83"/>
    </row>
    <row r="2" spans="1:9" x14ac:dyDescent="0.2">
      <c r="A2" s="84" t="s">
        <v>1</v>
      </c>
      <c r="B2" s="88" t="str">
        <f>'Stavební rozpočet'!C2</f>
        <v>Stavební úpravy stáv. WC v objektu ZŠ 28.října, Česká Lípa -1.etapa</v>
      </c>
      <c r="C2" s="89"/>
      <c r="D2" s="91" t="s">
        <v>1113</v>
      </c>
      <c r="E2" s="91" t="str">
        <f>'Stavební rozpočet'!I2</f>
        <v> </v>
      </c>
      <c r="F2" s="85"/>
      <c r="G2" s="122"/>
      <c r="H2" s="32"/>
    </row>
    <row r="3" spans="1:9" x14ac:dyDescent="0.2">
      <c r="A3" s="86"/>
      <c r="B3" s="90"/>
      <c r="C3" s="90"/>
      <c r="D3" s="87"/>
      <c r="E3" s="87"/>
      <c r="F3" s="87"/>
      <c r="G3" s="93"/>
      <c r="H3" s="32"/>
    </row>
    <row r="4" spans="1:9" x14ac:dyDescent="0.2">
      <c r="A4" s="95" t="s">
        <v>2</v>
      </c>
      <c r="B4" s="96" t="str">
        <f>'Stavební rozpočet'!C4</f>
        <v xml:space="preserve"> </v>
      </c>
      <c r="C4" s="87"/>
      <c r="D4" s="96" t="s">
        <v>1114</v>
      </c>
      <c r="E4" s="96" t="str">
        <f>'Stavební rozpočet'!I4</f>
        <v> </v>
      </c>
      <c r="F4" s="87"/>
      <c r="G4" s="93"/>
      <c r="H4" s="32"/>
    </row>
    <row r="5" spans="1:9" x14ac:dyDescent="0.2">
      <c r="A5" s="86"/>
      <c r="B5" s="87"/>
      <c r="C5" s="87"/>
      <c r="D5" s="87"/>
      <c r="E5" s="87"/>
      <c r="F5" s="87"/>
      <c r="G5" s="93"/>
      <c r="H5" s="32"/>
    </row>
    <row r="6" spans="1:9" x14ac:dyDescent="0.2">
      <c r="A6" s="95" t="s">
        <v>3</v>
      </c>
      <c r="B6" s="96" t="str">
        <f>'Stavební rozpočet'!C6</f>
        <v xml:space="preserve"> </v>
      </c>
      <c r="C6" s="87"/>
      <c r="D6" s="96" t="s">
        <v>1115</v>
      </c>
      <c r="E6" s="96" t="str">
        <f>'Stavební rozpočet'!I6</f>
        <v> </v>
      </c>
      <c r="F6" s="87"/>
      <c r="G6" s="93"/>
      <c r="H6" s="32"/>
    </row>
    <row r="7" spans="1:9" x14ac:dyDescent="0.2">
      <c r="A7" s="86"/>
      <c r="B7" s="87"/>
      <c r="C7" s="87"/>
      <c r="D7" s="87"/>
      <c r="E7" s="87"/>
      <c r="F7" s="87"/>
      <c r="G7" s="93"/>
      <c r="H7" s="32"/>
    </row>
    <row r="8" spans="1:9" x14ac:dyDescent="0.2">
      <c r="A8" s="95" t="s">
        <v>1116</v>
      </c>
      <c r="B8" s="96" t="str">
        <f>'Stavební rozpočet'!I8</f>
        <v> </v>
      </c>
      <c r="C8" s="87"/>
      <c r="D8" s="99" t="s">
        <v>1096</v>
      </c>
      <c r="E8" s="96"/>
      <c r="F8" s="87"/>
      <c r="G8" s="93"/>
      <c r="H8" s="32"/>
    </row>
    <row r="9" spans="1:9" x14ac:dyDescent="0.2">
      <c r="A9" s="123"/>
      <c r="B9" s="124"/>
      <c r="C9" s="124"/>
      <c r="D9" s="124"/>
      <c r="E9" s="124"/>
      <c r="F9" s="124"/>
      <c r="G9" s="125"/>
      <c r="H9" s="32"/>
    </row>
    <row r="10" spans="1:9" x14ac:dyDescent="0.2">
      <c r="A10" s="40" t="s">
        <v>1182</v>
      </c>
      <c r="B10" s="42" t="s">
        <v>365</v>
      </c>
      <c r="C10" s="126" t="s">
        <v>1183</v>
      </c>
      <c r="D10" s="127"/>
      <c r="E10" s="43" t="s">
        <v>1184</v>
      </c>
      <c r="F10" s="43" t="s">
        <v>1185</v>
      </c>
      <c r="G10" s="43" t="s">
        <v>1186</v>
      </c>
      <c r="H10" s="32"/>
    </row>
    <row r="11" spans="1:9" x14ac:dyDescent="0.2">
      <c r="A11" s="41" t="s">
        <v>1137</v>
      </c>
      <c r="B11" s="41"/>
      <c r="C11" s="128" t="s">
        <v>696</v>
      </c>
      <c r="D11" s="129"/>
      <c r="E11" s="45">
        <f>'Stavební rozpočet'!I12</f>
        <v>0</v>
      </c>
      <c r="F11" s="45">
        <f>'Stavební rozpočet'!J12</f>
        <v>0</v>
      </c>
      <c r="G11" s="45">
        <f>'Stavební rozpočet'!K12</f>
        <v>0</v>
      </c>
      <c r="H11" s="34" t="s">
        <v>1187</v>
      </c>
      <c r="I11" s="34">
        <f t="shared" ref="I11:I38" si="0">IF(H11="F",0,G11)</f>
        <v>0</v>
      </c>
    </row>
    <row r="12" spans="1:9" x14ac:dyDescent="0.2">
      <c r="A12" s="16" t="s">
        <v>1137</v>
      </c>
      <c r="B12" s="16" t="s">
        <v>19</v>
      </c>
      <c r="C12" s="99" t="s">
        <v>697</v>
      </c>
      <c r="D12" s="87"/>
      <c r="E12" s="34">
        <f>'Stavební rozpočet'!I13</f>
        <v>0</v>
      </c>
      <c r="F12" s="34">
        <f>'Stavební rozpočet'!J13</f>
        <v>0</v>
      </c>
      <c r="G12" s="34">
        <f>'Stavební rozpočet'!K13</f>
        <v>0</v>
      </c>
      <c r="H12" s="34" t="s">
        <v>1188</v>
      </c>
      <c r="I12" s="34">
        <f t="shared" si="0"/>
        <v>0</v>
      </c>
    </row>
    <row r="13" spans="1:9" x14ac:dyDescent="0.2">
      <c r="A13" s="16" t="s">
        <v>1137</v>
      </c>
      <c r="B13" s="16" t="s">
        <v>22</v>
      </c>
      <c r="C13" s="99" t="s">
        <v>700</v>
      </c>
      <c r="D13" s="87"/>
      <c r="E13" s="34">
        <f>'Stavební rozpočet'!I16</f>
        <v>0</v>
      </c>
      <c r="F13" s="34">
        <f>'Stavební rozpočet'!J16</f>
        <v>0</v>
      </c>
      <c r="G13" s="34">
        <f>'Stavební rozpočet'!K16</f>
        <v>0</v>
      </c>
      <c r="H13" s="34" t="s">
        <v>1188</v>
      </c>
      <c r="I13" s="34">
        <f t="shared" si="0"/>
        <v>0</v>
      </c>
    </row>
    <row r="14" spans="1:9" x14ac:dyDescent="0.2">
      <c r="A14" s="16" t="s">
        <v>1137</v>
      </c>
      <c r="B14" s="16" t="s">
        <v>23</v>
      </c>
      <c r="C14" s="99" t="s">
        <v>702</v>
      </c>
      <c r="D14" s="87"/>
      <c r="E14" s="34">
        <f>'Stavební rozpočet'!I18</f>
        <v>0</v>
      </c>
      <c r="F14" s="34">
        <f>'Stavební rozpočet'!J18</f>
        <v>0</v>
      </c>
      <c r="G14" s="34">
        <f>'Stavební rozpočet'!K18</f>
        <v>0</v>
      </c>
      <c r="H14" s="34" t="s">
        <v>1188</v>
      </c>
      <c r="I14" s="34">
        <f t="shared" si="0"/>
        <v>0</v>
      </c>
    </row>
    <row r="15" spans="1:9" x14ac:dyDescent="0.2">
      <c r="A15" s="16" t="s">
        <v>1137</v>
      </c>
      <c r="B15" s="16" t="s">
        <v>37</v>
      </c>
      <c r="C15" s="99" t="s">
        <v>705</v>
      </c>
      <c r="D15" s="87"/>
      <c r="E15" s="34">
        <f>'Stavební rozpočet'!I21</f>
        <v>0</v>
      </c>
      <c r="F15" s="34">
        <f>'Stavební rozpočet'!J21</f>
        <v>0</v>
      </c>
      <c r="G15" s="34">
        <f>'Stavební rozpočet'!K21</f>
        <v>0</v>
      </c>
      <c r="H15" s="34" t="s">
        <v>1188</v>
      </c>
      <c r="I15" s="34">
        <f t="shared" si="0"/>
        <v>0</v>
      </c>
    </row>
    <row r="16" spans="1:9" x14ac:dyDescent="0.2">
      <c r="A16" s="16" t="s">
        <v>1137</v>
      </c>
      <c r="B16" s="16" t="s">
        <v>40</v>
      </c>
      <c r="C16" s="99" t="s">
        <v>710</v>
      </c>
      <c r="D16" s="87"/>
      <c r="E16" s="34">
        <f>'Stavební rozpočet'!I26</f>
        <v>0</v>
      </c>
      <c r="F16" s="34">
        <f>'Stavební rozpočet'!J26</f>
        <v>0</v>
      </c>
      <c r="G16" s="34">
        <f>'Stavební rozpočet'!K26</f>
        <v>0</v>
      </c>
      <c r="H16" s="34" t="s">
        <v>1188</v>
      </c>
      <c r="I16" s="34">
        <f t="shared" si="0"/>
        <v>0</v>
      </c>
    </row>
    <row r="17" spans="1:9" x14ac:dyDescent="0.2">
      <c r="A17" s="16" t="s">
        <v>1137</v>
      </c>
      <c r="B17" s="16" t="s">
        <v>47</v>
      </c>
      <c r="C17" s="99" t="s">
        <v>718</v>
      </c>
      <c r="D17" s="87"/>
      <c r="E17" s="34">
        <f>'Stavební rozpočet'!I34</f>
        <v>0</v>
      </c>
      <c r="F17" s="34">
        <f>'Stavební rozpočet'!J34</f>
        <v>0</v>
      </c>
      <c r="G17" s="34">
        <f>'Stavební rozpočet'!K34</f>
        <v>0</v>
      </c>
      <c r="H17" s="34" t="s">
        <v>1188</v>
      </c>
      <c r="I17" s="34">
        <f t="shared" si="0"/>
        <v>0</v>
      </c>
    </row>
    <row r="18" spans="1:9" x14ac:dyDescent="0.2">
      <c r="A18" s="16" t="s">
        <v>1137</v>
      </c>
      <c r="B18" s="16" t="s">
        <v>67</v>
      </c>
      <c r="C18" s="99" t="s">
        <v>721</v>
      </c>
      <c r="D18" s="87"/>
      <c r="E18" s="34">
        <f>'Stavební rozpočet'!I37</f>
        <v>0</v>
      </c>
      <c r="F18" s="34">
        <f>'Stavební rozpočet'!J37</f>
        <v>0</v>
      </c>
      <c r="G18" s="34">
        <f>'Stavební rozpočet'!K37</f>
        <v>0</v>
      </c>
      <c r="H18" s="34" t="s">
        <v>1188</v>
      </c>
      <c r="I18" s="34">
        <f t="shared" si="0"/>
        <v>0</v>
      </c>
    </row>
    <row r="19" spans="1:9" x14ac:dyDescent="0.2">
      <c r="A19" s="16" t="s">
        <v>1137</v>
      </c>
      <c r="B19" s="16" t="s">
        <v>97</v>
      </c>
      <c r="C19" s="99" t="s">
        <v>732</v>
      </c>
      <c r="D19" s="87"/>
      <c r="E19" s="34">
        <f>'Stavební rozpočet'!I48</f>
        <v>0</v>
      </c>
      <c r="F19" s="34">
        <f>'Stavební rozpočet'!J48</f>
        <v>0</v>
      </c>
      <c r="G19" s="34">
        <f>'Stavební rozpočet'!K48</f>
        <v>0</v>
      </c>
      <c r="H19" s="34" t="s">
        <v>1188</v>
      </c>
      <c r="I19" s="34">
        <f t="shared" si="0"/>
        <v>0</v>
      </c>
    </row>
    <row r="20" spans="1:9" x14ac:dyDescent="0.2">
      <c r="A20" s="16" t="s">
        <v>1137</v>
      </c>
      <c r="B20" s="16" t="s">
        <v>100</v>
      </c>
      <c r="C20" s="99" t="s">
        <v>737</v>
      </c>
      <c r="D20" s="87"/>
      <c r="E20" s="34">
        <f>'Stavební rozpočet'!I53</f>
        <v>0</v>
      </c>
      <c r="F20" s="34">
        <f>'Stavební rozpočet'!J53</f>
        <v>0</v>
      </c>
      <c r="G20" s="34">
        <f>'Stavební rozpočet'!K53</f>
        <v>0</v>
      </c>
      <c r="H20" s="34" t="s">
        <v>1188</v>
      </c>
      <c r="I20" s="34">
        <f t="shared" si="0"/>
        <v>0</v>
      </c>
    </row>
    <row r="21" spans="1:9" x14ac:dyDescent="0.2">
      <c r="A21" s="16" t="s">
        <v>1137</v>
      </c>
      <c r="B21" s="16" t="s">
        <v>101</v>
      </c>
      <c r="C21" s="99" t="s">
        <v>739</v>
      </c>
      <c r="D21" s="87"/>
      <c r="E21" s="34">
        <f>'Stavební rozpočet'!I55</f>
        <v>0</v>
      </c>
      <c r="F21" s="34">
        <f>'Stavební rozpočet'!J55</f>
        <v>0</v>
      </c>
      <c r="G21" s="34">
        <f>'Stavební rozpočet'!K55</f>
        <v>0</v>
      </c>
      <c r="H21" s="34" t="s">
        <v>1188</v>
      </c>
      <c r="I21" s="34">
        <f t="shared" si="0"/>
        <v>0</v>
      </c>
    </row>
    <row r="22" spans="1:9" x14ac:dyDescent="0.2">
      <c r="A22" s="16" t="s">
        <v>1137</v>
      </c>
      <c r="B22" s="16" t="s">
        <v>102</v>
      </c>
      <c r="C22" s="99" t="s">
        <v>741</v>
      </c>
      <c r="D22" s="87"/>
      <c r="E22" s="34">
        <f>'Stavební rozpočet'!I57</f>
        <v>0</v>
      </c>
      <c r="F22" s="34">
        <f>'Stavební rozpočet'!J57</f>
        <v>0</v>
      </c>
      <c r="G22" s="34">
        <f>'Stavební rozpočet'!K57</f>
        <v>0</v>
      </c>
      <c r="H22" s="34" t="s">
        <v>1188</v>
      </c>
      <c r="I22" s="34">
        <f t="shared" si="0"/>
        <v>0</v>
      </c>
    </row>
    <row r="23" spans="1:9" x14ac:dyDescent="0.2">
      <c r="A23" s="16" t="s">
        <v>1137</v>
      </c>
      <c r="B23" s="16" t="s">
        <v>103</v>
      </c>
      <c r="C23" s="99" t="s">
        <v>761</v>
      </c>
      <c r="D23" s="87"/>
      <c r="E23" s="34">
        <f>'Stavební rozpočet'!I79</f>
        <v>0</v>
      </c>
      <c r="F23" s="34">
        <f>'Stavební rozpočet'!J79</f>
        <v>0</v>
      </c>
      <c r="G23" s="34">
        <f>'Stavební rozpočet'!K79</f>
        <v>0</v>
      </c>
      <c r="H23" s="34" t="s">
        <v>1188</v>
      </c>
      <c r="I23" s="34">
        <f t="shared" si="0"/>
        <v>0</v>
      </c>
    </row>
    <row r="24" spans="1:9" x14ac:dyDescent="0.2">
      <c r="A24" s="16" t="s">
        <v>1137</v>
      </c>
      <c r="B24" s="16" t="s">
        <v>402</v>
      </c>
      <c r="C24" s="99" t="s">
        <v>768</v>
      </c>
      <c r="D24" s="87"/>
      <c r="E24" s="34">
        <f>'Stavební rozpočet'!I86</f>
        <v>0</v>
      </c>
      <c r="F24" s="34">
        <f>'Stavební rozpočet'!J86</f>
        <v>0</v>
      </c>
      <c r="G24" s="34">
        <f>'Stavební rozpočet'!K86</f>
        <v>0</v>
      </c>
      <c r="H24" s="34" t="s">
        <v>1188</v>
      </c>
      <c r="I24" s="34">
        <f t="shared" si="0"/>
        <v>0</v>
      </c>
    </row>
    <row r="25" spans="1:9" x14ac:dyDescent="0.2">
      <c r="A25" s="16" t="s">
        <v>1137</v>
      </c>
      <c r="B25" s="16" t="s">
        <v>413</v>
      </c>
      <c r="C25" s="99" t="s">
        <v>780</v>
      </c>
      <c r="D25" s="87"/>
      <c r="E25" s="34">
        <f>'Stavební rozpočet'!I98</f>
        <v>0</v>
      </c>
      <c r="F25" s="34">
        <f>'Stavební rozpočet'!J98</f>
        <v>0</v>
      </c>
      <c r="G25" s="34">
        <f>'Stavební rozpočet'!K98</f>
        <v>0</v>
      </c>
      <c r="H25" s="34" t="s">
        <v>1188</v>
      </c>
      <c r="I25" s="34">
        <f t="shared" si="0"/>
        <v>0</v>
      </c>
    </row>
    <row r="26" spans="1:9" x14ac:dyDescent="0.2">
      <c r="A26" s="16" t="s">
        <v>1137</v>
      </c>
      <c r="B26" s="16" t="s">
        <v>415</v>
      </c>
      <c r="C26" s="99" t="s">
        <v>782</v>
      </c>
      <c r="D26" s="87"/>
      <c r="E26" s="34">
        <f>'Stavební rozpočet'!I100</f>
        <v>0</v>
      </c>
      <c r="F26" s="34">
        <f>'Stavební rozpočet'!J100</f>
        <v>0</v>
      </c>
      <c r="G26" s="34">
        <f>'Stavební rozpočet'!K100</f>
        <v>0</v>
      </c>
      <c r="H26" s="34" t="s">
        <v>1188</v>
      </c>
      <c r="I26" s="34">
        <f t="shared" si="0"/>
        <v>0</v>
      </c>
    </row>
    <row r="27" spans="1:9" x14ac:dyDescent="0.2">
      <c r="A27" s="16" t="s">
        <v>1137</v>
      </c>
      <c r="B27" s="16" t="s">
        <v>464</v>
      </c>
      <c r="C27" s="99" t="s">
        <v>829</v>
      </c>
      <c r="D27" s="87"/>
      <c r="E27" s="34">
        <f>'Stavební rozpočet'!I149</f>
        <v>0</v>
      </c>
      <c r="F27" s="34">
        <f>'Stavební rozpočet'!J149</f>
        <v>0</v>
      </c>
      <c r="G27" s="34">
        <f>'Stavební rozpočet'!K149</f>
        <v>0</v>
      </c>
      <c r="H27" s="34" t="s">
        <v>1188</v>
      </c>
      <c r="I27" s="34">
        <f t="shared" si="0"/>
        <v>0</v>
      </c>
    </row>
    <row r="28" spans="1:9" x14ac:dyDescent="0.2">
      <c r="A28" s="16" t="s">
        <v>1137</v>
      </c>
      <c r="B28" s="16" t="s">
        <v>515</v>
      </c>
      <c r="C28" s="99" t="s">
        <v>874</v>
      </c>
      <c r="D28" s="87"/>
      <c r="E28" s="34">
        <f>'Stavební rozpočet'!I200</f>
        <v>0</v>
      </c>
      <c r="F28" s="34">
        <f>'Stavební rozpočet'!J200</f>
        <v>0</v>
      </c>
      <c r="G28" s="34">
        <f>'Stavební rozpočet'!K200</f>
        <v>0</v>
      </c>
      <c r="H28" s="34" t="s">
        <v>1188</v>
      </c>
      <c r="I28" s="34">
        <f t="shared" si="0"/>
        <v>0</v>
      </c>
    </row>
    <row r="29" spans="1:9" x14ac:dyDescent="0.2">
      <c r="A29" s="16" t="s">
        <v>1137</v>
      </c>
      <c r="B29" s="16" t="s">
        <v>519</v>
      </c>
      <c r="C29" s="99" t="s">
        <v>904</v>
      </c>
      <c r="D29" s="87"/>
      <c r="E29" s="34">
        <f>'Stavební rozpočet'!I240</f>
        <v>0</v>
      </c>
      <c r="F29" s="34">
        <f>'Stavební rozpočet'!J240</f>
        <v>0</v>
      </c>
      <c r="G29" s="34">
        <f>'Stavební rozpočet'!K240</f>
        <v>0</v>
      </c>
      <c r="H29" s="34" t="s">
        <v>1188</v>
      </c>
      <c r="I29" s="34">
        <f t="shared" si="0"/>
        <v>0</v>
      </c>
    </row>
    <row r="30" spans="1:9" x14ac:dyDescent="0.2">
      <c r="A30" s="16" t="s">
        <v>1137</v>
      </c>
      <c r="B30" s="16" t="s">
        <v>559</v>
      </c>
      <c r="C30" s="99" t="s">
        <v>935</v>
      </c>
      <c r="D30" s="87"/>
      <c r="E30" s="34">
        <f>'Stavební rozpočet'!I280</f>
        <v>0</v>
      </c>
      <c r="F30" s="34">
        <f>'Stavební rozpočet'!J280</f>
        <v>0</v>
      </c>
      <c r="G30" s="34">
        <f>'Stavební rozpočet'!K280</f>
        <v>0</v>
      </c>
      <c r="H30" s="34" t="s">
        <v>1188</v>
      </c>
      <c r="I30" s="34">
        <f t="shared" si="0"/>
        <v>0</v>
      </c>
    </row>
    <row r="31" spans="1:9" x14ac:dyDescent="0.2">
      <c r="A31" s="16" t="s">
        <v>1137</v>
      </c>
      <c r="B31" s="16" t="s">
        <v>566</v>
      </c>
      <c r="C31" s="99" t="s">
        <v>947</v>
      </c>
      <c r="D31" s="87"/>
      <c r="E31" s="34">
        <f>'Stavební rozpočet'!I292</f>
        <v>0</v>
      </c>
      <c r="F31" s="34">
        <f>'Stavební rozpočet'!J292</f>
        <v>0</v>
      </c>
      <c r="G31" s="34">
        <f>'Stavební rozpočet'!K292</f>
        <v>0</v>
      </c>
      <c r="H31" s="34" t="s">
        <v>1188</v>
      </c>
      <c r="I31" s="34">
        <f t="shared" si="0"/>
        <v>0</v>
      </c>
    </row>
    <row r="32" spans="1:9" x14ac:dyDescent="0.2">
      <c r="A32" s="16" t="s">
        <v>1137</v>
      </c>
      <c r="B32" s="16" t="s">
        <v>576</v>
      </c>
      <c r="C32" s="99" t="s">
        <v>958</v>
      </c>
      <c r="D32" s="87"/>
      <c r="E32" s="34">
        <f>'Stavební rozpočet'!I312</f>
        <v>0</v>
      </c>
      <c r="F32" s="34">
        <f>'Stavební rozpočet'!J312</f>
        <v>0</v>
      </c>
      <c r="G32" s="34">
        <f>'Stavební rozpočet'!K312</f>
        <v>0</v>
      </c>
      <c r="H32" s="34" t="s">
        <v>1188</v>
      </c>
      <c r="I32" s="34">
        <f t="shared" si="0"/>
        <v>0</v>
      </c>
    </row>
    <row r="33" spans="1:9" x14ac:dyDescent="0.2">
      <c r="A33" s="16" t="s">
        <v>1137</v>
      </c>
      <c r="B33" s="16" t="s">
        <v>586</v>
      </c>
      <c r="C33" s="99" t="s">
        <v>968</v>
      </c>
      <c r="D33" s="87"/>
      <c r="E33" s="34">
        <f>'Stavební rozpočet'!I322</f>
        <v>0</v>
      </c>
      <c r="F33" s="34">
        <f>'Stavební rozpočet'!J322</f>
        <v>0</v>
      </c>
      <c r="G33" s="34">
        <f>'Stavební rozpočet'!K322</f>
        <v>0</v>
      </c>
      <c r="H33" s="34" t="s">
        <v>1188</v>
      </c>
      <c r="I33" s="34">
        <f t="shared" si="0"/>
        <v>0</v>
      </c>
    </row>
    <row r="34" spans="1:9" x14ac:dyDescent="0.2">
      <c r="A34" s="16" t="s">
        <v>1137</v>
      </c>
      <c r="B34" s="16" t="s">
        <v>602</v>
      </c>
      <c r="C34" s="99" t="s">
        <v>985</v>
      </c>
      <c r="D34" s="87"/>
      <c r="E34" s="34">
        <f>'Stavební rozpočet'!I341</f>
        <v>0</v>
      </c>
      <c r="F34" s="34">
        <f>'Stavební rozpočet'!J341</f>
        <v>0</v>
      </c>
      <c r="G34" s="34">
        <f>'Stavební rozpočet'!K341</f>
        <v>0</v>
      </c>
      <c r="H34" s="34" t="s">
        <v>1188</v>
      </c>
      <c r="I34" s="34">
        <f t="shared" si="0"/>
        <v>0</v>
      </c>
    </row>
    <row r="35" spans="1:9" x14ac:dyDescent="0.2">
      <c r="A35" s="16" t="s">
        <v>1137</v>
      </c>
      <c r="B35" s="16" t="s">
        <v>606</v>
      </c>
      <c r="C35" s="99" t="s">
        <v>991</v>
      </c>
      <c r="D35" s="87"/>
      <c r="E35" s="34">
        <f>'Stavební rozpočet'!I347</f>
        <v>0</v>
      </c>
      <c r="F35" s="34">
        <f>'Stavební rozpočet'!J347</f>
        <v>0</v>
      </c>
      <c r="G35" s="34">
        <f>'Stavební rozpočet'!K347</f>
        <v>0</v>
      </c>
      <c r="H35" s="34" t="s">
        <v>1188</v>
      </c>
      <c r="I35" s="34">
        <f t="shared" si="0"/>
        <v>0</v>
      </c>
    </row>
    <row r="36" spans="1:9" x14ac:dyDescent="0.2">
      <c r="A36" s="16" t="s">
        <v>1138</v>
      </c>
      <c r="B36" s="16"/>
      <c r="C36" s="99" t="s">
        <v>1059</v>
      </c>
      <c r="D36" s="87"/>
      <c r="E36" s="34">
        <f>'Stavební rozpočet'!I421</f>
        <v>0</v>
      </c>
      <c r="F36" s="34">
        <f>'Stavební rozpočet'!J421</f>
        <v>0</v>
      </c>
      <c r="G36" s="34">
        <f>'Stavební rozpočet'!K421</f>
        <v>0</v>
      </c>
      <c r="H36" s="34" t="s">
        <v>1187</v>
      </c>
      <c r="I36" s="34">
        <f t="shared" si="0"/>
        <v>0</v>
      </c>
    </row>
    <row r="37" spans="1:9" x14ac:dyDescent="0.2">
      <c r="A37" s="16" t="s">
        <v>1138</v>
      </c>
      <c r="B37" s="16" t="s">
        <v>675</v>
      </c>
      <c r="C37" s="99" t="s">
        <v>1060</v>
      </c>
      <c r="D37" s="87"/>
      <c r="E37" s="34">
        <f>'Stavební rozpočet'!I422</f>
        <v>0</v>
      </c>
      <c r="F37" s="34">
        <f>'Stavební rozpočet'!J422</f>
        <v>0</v>
      </c>
      <c r="G37" s="34">
        <f>'Stavební rozpočet'!K422</f>
        <v>0</v>
      </c>
      <c r="H37" s="34" t="s">
        <v>1188</v>
      </c>
      <c r="I37" s="34">
        <f t="shared" si="0"/>
        <v>0</v>
      </c>
    </row>
    <row r="38" spans="1:9" x14ac:dyDescent="0.2">
      <c r="A38" s="16" t="s">
        <v>1138</v>
      </c>
      <c r="B38" s="16" t="s">
        <v>686</v>
      </c>
      <c r="C38" s="99" t="s">
        <v>1077</v>
      </c>
      <c r="D38" s="87"/>
      <c r="E38" s="34">
        <f>'Stavební rozpočet'!I443</f>
        <v>0</v>
      </c>
      <c r="F38" s="34">
        <f>'Stavební rozpočet'!J443</f>
        <v>0</v>
      </c>
      <c r="G38" s="34">
        <f>'Stavební rozpočet'!K443</f>
        <v>0</v>
      </c>
      <c r="H38" s="34" t="s">
        <v>1188</v>
      </c>
      <c r="I38" s="34">
        <f t="shared" si="0"/>
        <v>0</v>
      </c>
    </row>
    <row r="40" spans="1:9" x14ac:dyDescent="0.2">
      <c r="F40" s="44" t="s">
        <v>1122</v>
      </c>
      <c r="G40" s="46">
        <f>SUM(I11:I38)</f>
        <v>0</v>
      </c>
    </row>
  </sheetData>
  <sheetProtection algorithmName="SHA-512" hashValue="PLdxLpFjANWiCRjY/f/+cyOacDJX6J3S3OiKnWRD2Rbn8x4Iv1xkif86o2FqELONrUWln5OGWkV33UqIAnJTTg==" saltValue="fDLaEX/bKP10wxKq77F2ww==" spinCount="100000" sheet="1" objects="1" scenarios="1"/>
  <mergeCells count="46">
    <mergeCell ref="C34:D34"/>
    <mergeCell ref="C35:D35"/>
    <mergeCell ref="C36:D36"/>
    <mergeCell ref="C37:D37"/>
    <mergeCell ref="C38:D38"/>
    <mergeCell ref="C33:D33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21:D21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6:A7"/>
    <mergeCell ref="B6:C7"/>
    <mergeCell ref="D6:D7"/>
    <mergeCell ref="E6:G7"/>
    <mergeCell ref="A8:A9"/>
    <mergeCell ref="B8:C9"/>
    <mergeCell ref="D8:D9"/>
    <mergeCell ref="E8:G9"/>
    <mergeCell ref="A4:A5"/>
    <mergeCell ref="B4:C5"/>
    <mergeCell ref="D4:D5"/>
    <mergeCell ref="E4:G5"/>
    <mergeCell ref="A1:G1"/>
    <mergeCell ref="A2:A3"/>
    <mergeCell ref="B2:C3"/>
    <mergeCell ref="D2:D3"/>
    <mergeCell ref="E2:G3"/>
  </mergeCells>
  <pageMargins left="0.39400000000000002" right="0.39400000000000002" top="0.59099999999999997" bottom="0.59099999999999997" header="0.5" footer="0.5"/>
  <pageSetup paperSize="0" fitToHeight="0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J465"/>
  <sheetViews>
    <sheetView tabSelected="1" zoomScale="90" zoomScaleNormal="90" workbookViewId="0">
      <pane ySplit="11" topLeftCell="A381" activePane="bottomLeft" state="frozenSplit"/>
      <selection pane="bottomLeft" activeCell="C437" sqref="C437:E437"/>
    </sheetView>
  </sheetViews>
  <sheetFormatPr defaultColWidth="11.5703125" defaultRowHeight="12.75" x14ac:dyDescent="0.2"/>
  <cols>
    <col min="1" max="1" width="4.140625" customWidth="1"/>
    <col min="2" max="2" width="15.140625" customWidth="1"/>
    <col min="3" max="3" width="128.140625" customWidth="1"/>
    <col min="6" max="6" width="7.42578125" customWidth="1"/>
    <col min="7" max="7" width="12.85546875" customWidth="1"/>
    <col min="8" max="8" width="12" customWidth="1"/>
    <col min="9" max="9" width="14.28515625" hidden="1" customWidth="1"/>
    <col min="10" max="10" width="13.42578125" hidden="1" customWidth="1"/>
    <col min="11" max="11" width="14.28515625" customWidth="1"/>
    <col min="12" max="12" width="13.28515625" customWidth="1"/>
    <col min="25" max="62" width="12.140625" hidden="1" customWidth="1"/>
  </cols>
  <sheetData>
    <row r="1" spans="1:62" ht="72.95" customHeight="1" x14ac:dyDescent="0.35">
      <c r="A1" s="121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62" x14ac:dyDescent="0.2">
      <c r="A2" s="84" t="s">
        <v>1</v>
      </c>
      <c r="B2" s="85"/>
      <c r="C2" s="88" t="s">
        <v>1315</v>
      </c>
      <c r="D2" s="130" t="s">
        <v>1093</v>
      </c>
      <c r="E2" s="85"/>
      <c r="F2" s="130" t="s">
        <v>6</v>
      </c>
      <c r="G2" s="85"/>
      <c r="H2" s="91" t="s">
        <v>1113</v>
      </c>
      <c r="I2" s="130" t="s">
        <v>1119</v>
      </c>
      <c r="J2" s="85"/>
      <c r="K2" s="85"/>
      <c r="L2" s="122"/>
      <c r="M2" s="32"/>
    </row>
    <row r="3" spans="1:62" x14ac:dyDescent="0.2">
      <c r="A3" s="86"/>
      <c r="B3" s="87"/>
      <c r="C3" s="90"/>
      <c r="D3" s="87"/>
      <c r="E3" s="87"/>
      <c r="F3" s="87"/>
      <c r="G3" s="87"/>
      <c r="H3" s="87"/>
      <c r="I3" s="87"/>
      <c r="J3" s="87"/>
      <c r="K3" s="87"/>
      <c r="L3" s="93"/>
      <c r="M3" s="32"/>
    </row>
    <row r="4" spans="1:62" x14ac:dyDescent="0.2">
      <c r="A4" s="95" t="s">
        <v>2</v>
      </c>
      <c r="B4" s="87"/>
      <c r="C4" s="96" t="s">
        <v>6</v>
      </c>
      <c r="D4" s="99" t="s">
        <v>1094</v>
      </c>
      <c r="E4" s="87"/>
      <c r="F4" s="99"/>
      <c r="G4" s="87"/>
      <c r="H4" s="96" t="s">
        <v>1114</v>
      </c>
      <c r="I4" s="99" t="s">
        <v>1119</v>
      </c>
      <c r="J4" s="87"/>
      <c r="K4" s="87"/>
      <c r="L4" s="93"/>
      <c r="M4" s="32"/>
    </row>
    <row r="5" spans="1:62" x14ac:dyDescent="0.2">
      <c r="A5" s="86"/>
      <c r="B5" s="87"/>
      <c r="C5" s="87"/>
      <c r="D5" s="87"/>
      <c r="E5" s="87"/>
      <c r="F5" s="87"/>
      <c r="G5" s="87"/>
      <c r="H5" s="87"/>
      <c r="I5" s="87"/>
      <c r="J5" s="87"/>
      <c r="K5" s="87"/>
      <c r="L5" s="93"/>
      <c r="M5" s="32"/>
    </row>
    <row r="6" spans="1:62" x14ac:dyDescent="0.2">
      <c r="A6" s="95" t="s">
        <v>3</v>
      </c>
      <c r="B6" s="87"/>
      <c r="C6" s="96" t="s">
        <v>6</v>
      </c>
      <c r="D6" s="99" t="s">
        <v>1095</v>
      </c>
      <c r="E6" s="87"/>
      <c r="F6" s="99" t="s">
        <v>6</v>
      </c>
      <c r="G6" s="87"/>
      <c r="H6" s="96" t="s">
        <v>1115</v>
      </c>
      <c r="I6" s="99" t="s">
        <v>1119</v>
      </c>
      <c r="J6" s="87"/>
      <c r="K6" s="87"/>
      <c r="L6" s="93"/>
      <c r="M6" s="32"/>
    </row>
    <row r="7" spans="1:62" x14ac:dyDescent="0.2">
      <c r="A7" s="86"/>
      <c r="B7" s="87"/>
      <c r="C7" s="87"/>
      <c r="D7" s="87"/>
      <c r="E7" s="87"/>
      <c r="F7" s="87"/>
      <c r="G7" s="87"/>
      <c r="H7" s="87"/>
      <c r="I7" s="87"/>
      <c r="J7" s="87"/>
      <c r="K7" s="87"/>
      <c r="L7" s="93"/>
      <c r="M7" s="32"/>
    </row>
    <row r="8" spans="1:62" x14ac:dyDescent="0.2">
      <c r="A8" s="95" t="s">
        <v>4</v>
      </c>
      <c r="B8" s="87"/>
      <c r="C8" s="96" t="s">
        <v>6</v>
      </c>
      <c r="D8" s="99" t="s">
        <v>1096</v>
      </c>
      <c r="E8" s="87"/>
      <c r="F8" s="99"/>
      <c r="G8" s="87"/>
      <c r="H8" s="96" t="s">
        <v>1116</v>
      </c>
      <c r="I8" s="99" t="s">
        <v>1119</v>
      </c>
      <c r="J8" s="87"/>
      <c r="K8" s="87"/>
      <c r="L8" s="93"/>
      <c r="M8" s="32"/>
    </row>
    <row r="9" spans="1:62" x14ac:dyDescent="0.2">
      <c r="A9" s="123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5"/>
      <c r="M9" s="32"/>
    </row>
    <row r="10" spans="1:62" x14ac:dyDescent="0.2">
      <c r="A10" s="1" t="s">
        <v>5</v>
      </c>
      <c r="B10" s="11" t="s">
        <v>365</v>
      </c>
      <c r="C10" s="137" t="s">
        <v>694</v>
      </c>
      <c r="D10" s="138"/>
      <c r="E10" s="139"/>
      <c r="F10" s="11" t="s">
        <v>1097</v>
      </c>
      <c r="G10" s="17" t="s">
        <v>1112</v>
      </c>
      <c r="H10" s="20" t="s">
        <v>1117</v>
      </c>
      <c r="I10" s="140" t="s">
        <v>1120</v>
      </c>
      <c r="J10" s="141"/>
      <c r="K10" s="142"/>
      <c r="L10" s="25" t="s">
        <v>1125</v>
      </c>
      <c r="M10" s="33"/>
    </row>
    <row r="11" spans="1:62" x14ac:dyDescent="0.2">
      <c r="A11" s="2" t="s">
        <v>6</v>
      </c>
      <c r="B11" s="12" t="s">
        <v>6</v>
      </c>
      <c r="C11" s="143" t="s">
        <v>695</v>
      </c>
      <c r="D11" s="144"/>
      <c r="E11" s="145"/>
      <c r="F11" s="12" t="s">
        <v>6</v>
      </c>
      <c r="G11" s="12" t="s">
        <v>6</v>
      </c>
      <c r="H11" s="21" t="s">
        <v>1118</v>
      </c>
      <c r="I11" s="22" t="s">
        <v>1121</v>
      </c>
      <c r="J11" s="23" t="s">
        <v>1123</v>
      </c>
      <c r="K11" s="24" t="s">
        <v>1124</v>
      </c>
      <c r="L11" s="26" t="s">
        <v>1126</v>
      </c>
      <c r="M11" s="33"/>
      <c r="Z11" s="28" t="s">
        <v>1128</v>
      </c>
      <c r="AA11" s="28" t="s">
        <v>1129</v>
      </c>
      <c r="AB11" s="28" t="s">
        <v>1130</v>
      </c>
      <c r="AC11" s="28" t="s">
        <v>1131</v>
      </c>
      <c r="AD11" s="28" t="s">
        <v>1132</v>
      </c>
      <c r="AE11" s="28" t="s">
        <v>1133</v>
      </c>
      <c r="AF11" s="28" t="s">
        <v>1134</v>
      </c>
      <c r="AG11" s="28" t="s">
        <v>1135</v>
      </c>
      <c r="AH11" s="28" t="s">
        <v>1136</v>
      </c>
      <c r="BH11" s="28" t="s">
        <v>1178</v>
      </c>
      <c r="BI11" s="28" t="s">
        <v>1179</v>
      </c>
      <c r="BJ11" s="28" t="s">
        <v>1180</v>
      </c>
    </row>
    <row r="12" spans="1:62" x14ac:dyDescent="0.2">
      <c r="A12" s="3"/>
      <c r="B12" s="13"/>
      <c r="C12" s="146" t="s">
        <v>696</v>
      </c>
      <c r="D12" s="147"/>
      <c r="E12" s="147"/>
      <c r="F12" s="3" t="s">
        <v>6</v>
      </c>
      <c r="G12" s="3" t="s">
        <v>6</v>
      </c>
      <c r="H12" s="3" t="s">
        <v>6</v>
      </c>
      <c r="I12" s="36">
        <f>I13+I16+I18+I21+I26+I34+I37+I48+I53+I55+I57+I79+I86+I98+I100+I149+I200+I240+I280+I292+I312+I322+I341+I347</f>
        <v>0</v>
      </c>
      <c r="J12" s="36">
        <f>J13+J16+J18+J21+J26+J34+J37+J48+J53+J55+J57+J79+J86+J98+J100+J149+J200+J240+J280+J292+J312+J322+J341+J347</f>
        <v>0</v>
      </c>
      <c r="K12" s="36">
        <f>K13+K16+K18+K21+K26+K34+K37+K48+K53+K55+K57+K79+K86+K98+K100+K149+K200+K240+K280+K292+K312+K322+K341+K347</f>
        <v>0</v>
      </c>
      <c r="L12" s="27"/>
    </row>
    <row r="13" spans="1:62" x14ac:dyDescent="0.2">
      <c r="A13" s="4"/>
      <c r="B13" s="14" t="s">
        <v>19</v>
      </c>
      <c r="C13" s="133" t="s">
        <v>697</v>
      </c>
      <c r="D13" s="134"/>
      <c r="E13" s="134"/>
      <c r="F13" s="4" t="s">
        <v>6</v>
      </c>
      <c r="G13" s="4" t="s">
        <v>6</v>
      </c>
      <c r="H13" s="4" t="s">
        <v>6</v>
      </c>
      <c r="I13" s="37">
        <f>SUM(I14:I14)</f>
        <v>0</v>
      </c>
      <c r="J13" s="37">
        <f>SUM(J14:J14)</f>
        <v>0</v>
      </c>
      <c r="K13" s="37">
        <f>SUM(K14:K14)</f>
        <v>0</v>
      </c>
      <c r="L13" s="28"/>
      <c r="AI13" s="28" t="s">
        <v>1137</v>
      </c>
      <c r="AS13" s="37">
        <f>SUM(AJ14:AJ14)</f>
        <v>0</v>
      </c>
      <c r="AT13" s="37">
        <f>SUM(AK14:AK14)</f>
        <v>0</v>
      </c>
      <c r="AU13" s="37">
        <f>SUM(AL14:AL14)</f>
        <v>0</v>
      </c>
    </row>
    <row r="14" spans="1:62" x14ac:dyDescent="0.2">
      <c r="A14" s="5" t="s">
        <v>7</v>
      </c>
      <c r="B14" s="5" t="s">
        <v>366</v>
      </c>
      <c r="C14" s="135" t="s">
        <v>698</v>
      </c>
      <c r="D14" s="136"/>
      <c r="E14" s="136"/>
      <c r="F14" s="5" t="s">
        <v>1098</v>
      </c>
      <c r="G14" s="18">
        <v>13.4108</v>
      </c>
      <c r="H14" s="79">
        <v>0</v>
      </c>
      <c r="I14" s="18">
        <f>G14*AO14</f>
        <v>0</v>
      </c>
      <c r="J14" s="18">
        <f>G14*AP14</f>
        <v>0</v>
      </c>
      <c r="K14" s="18">
        <f>G14*H14</f>
        <v>0</v>
      </c>
      <c r="L14" s="29" t="s">
        <v>1127</v>
      </c>
      <c r="Z14" s="34">
        <f>IF(AQ14="5",BJ14,0)</f>
        <v>0</v>
      </c>
      <c r="AB14" s="34">
        <f>IF(AQ14="1",BH14,0)</f>
        <v>0</v>
      </c>
      <c r="AC14" s="34">
        <f>IF(AQ14="1",BI14,0)</f>
        <v>0</v>
      </c>
      <c r="AD14" s="34">
        <f>IF(AQ14="7",BH14,0)</f>
        <v>0</v>
      </c>
      <c r="AE14" s="34">
        <f>IF(AQ14="7",BI14,0)</f>
        <v>0</v>
      </c>
      <c r="AF14" s="34">
        <f>IF(AQ14="2",BH14,0)</f>
        <v>0</v>
      </c>
      <c r="AG14" s="34">
        <f>IF(AQ14="2",BI14,0)</f>
        <v>0</v>
      </c>
      <c r="AH14" s="34">
        <f>IF(AQ14="0",BJ14,0)</f>
        <v>0</v>
      </c>
      <c r="AI14" s="28" t="s">
        <v>1137</v>
      </c>
      <c r="AJ14" s="18">
        <f>IF(AN14=0,K14,0)</f>
        <v>0</v>
      </c>
      <c r="AK14" s="18">
        <f>IF(AN14=15,K14,0)</f>
        <v>0</v>
      </c>
      <c r="AL14" s="18">
        <f>IF(AN14=21,K14,0)</f>
        <v>0</v>
      </c>
      <c r="AN14" s="34">
        <v>21</v>
      </c>
      <c r="AO14" s="34">
        <f>H14*0</f>
        <v>0</v>
      </c>
      <c r="AP14" s="34">
        <f>H14*(1-0)</f>
        <v>0</v>
      </c>
      <c r="AQ14" s="29" t="s">
        <v>7</v>
      </c>
      <c r="AV14" s="34">
        <f>AW14+AX14</f>
        <v>0</v>
      </c>
      <c r="AW14" s="34">
        <f>G14*AO14</f>
        <v>0</v>
      </c>
      <c r="AX14" s="34">
        <f>G14*AP14</f>
        <v>0</v>
      </c>
      <c r="AY14" s="35" t="s">
        <v>1139</v>
      </c>
      <c r="AZ14" s="35" t="s">
        <v>1165</v>
      </c>
      <c r="BA14" s="28" t="s">
        <v>1176</v>
      </c>
      <c r="BC14" s="34">
        <f>AW14+AX14</f>
        <v>0</v>
      </c>
      <c r="BD14" s="34">
        <f>H14/(100-BE14)*100</f>
        <v>0</v>
      </c>
      <c r="BE14" s="34">
        <v>0</v>
      </c>
      <c r="BF14" s="34">
        <f>14</f>
        <v>14</v>
      </c>
      <c r="BH14" s="18">
        <f>G14*AO14</f>
        <v>0</v>
      </c>
      <c r="BI14" s="18">
        <f>G14*AP14</f>
        <v>0</v>
      </c>
      <c r="BJ14" s="18">
        <f>G14*H14</f>
        <v>0</v>
      </c>
    </row>
    <row r="15" spans="1:62" x14ac:dyDescent="0.2">
      <c r="C15" s="131" t="s">
        <v>699</v>
      </c>
      <c r="D15" s="132"/>
      <c r="E15" s="132"/>
    </row>
    <row r="16" spans="1:62" x14ac:dyDescent="0.2">
      <c r="A16" s="4"/>
      <c r="B16" s="14" t="s">
        <v>22</v>
      </c>
      <c r="C16" s="133" t="s">
        <v>700</v>
      </c>
      <c r="D16" s="134"/>
      <c r="E16" s="134"/>
      <c r="F16" s="4" t="s">
        <v>6</v>
      </c>
      <c r="G16" s="4" t="s">
        <v>6</v>
      </c>
      <c r="H16" s="4" t="s">
        <v>6</v>
      </c>
      <c r="I16" s="37">
        <f>SUM(I17:I17)</f>
        <v>0</v>
      </c>
      <c r="J16" s="37">
        <f>SUM(J17:J17)</f>
        <v>0</v>
      </c>
      <c r="K16" s="37">
        <f>SUM(K17:K17)</f>
        <v>0</v>
      </c>
      <c r="L16" s="28"/>
      <c r="AI16" s="28" t="s">
        <v>1137</v>
      </c>
      <c r="AS16" s="37">
        <f>SUM(AJ17:AJ17)</f>
        <v>0</v>
      </c>
      <c r="AT16" s="37">
        <f>SUM(AK17:AK17)</f>
        <v>0</v>
      </c>
      <c r="AU16" s="37">
        <f>SUM(AL17:AL17)</f>
        <v>0</v>
      </c>
    </row>
    <row r="17" spans="1:62" x14ac:dyDescent="0.2">
      <c r="A17" s="5" t="s">
        <v>8</v>
      </c>
      <c r="B17" s="5" t="s">
        <v>367</v>
      </c>
      <c r="C17" s="135" t="s">
        <v>701</v>
      </c>
      <c r="D17" s="136"/>
      <c r="E17" s="136"/>
      <c r="F17" s="5" t="s">
        <v>1098</v>
      </c>
      <c r="G17" s="18">
        <v>13.4108</v>
      </c>
      <c r="H17" s="79">
        <v>0</v>
      </c>
      <c r="I17" s="18">
        <f>G17*AO17</f>
        <v>0</v>
      </c>
      <c r="J17" s="18">
        <f>G17*AP17</f>
        <v>0</v>
      </c>
      <c r="K17" s="18">
        <f>G17*H17</f>
        <v>0</v>
      </c>
      <c r="L17" s="29" t="s">
        <v>1127</v>
      </c>
      <c r="Z17" s="34">
        <f>IF(AQ17="5",BJ17,0)</f>
        <v>0</v>
      </c>
      <c r="AB17" s="34">
        <f>IF(AQ17="1",BH17,0)</f>
        <v>0</v>
      </c>
      <c r="AC17" s="34">
        <f>IF(AQ17="1",BI17,0)</f>
        <v>0</v>
      </c>
      <c r="AD17" s="34">
        <f>IF(AQ17="7",BH17,0)</f>
        <v>0</v>
      </c>
      <c r="AE17" s="34">
        <f>IF(AQ17="7",BI17,0)</f>
        <v>0</v>
      </c>
      <c r="AF17" s="34">
        <f>IF(AQ17="2",BH17,0)</f>
        <v>0</v>
      </c>
      <c r="AG17" s="34">
        <f>IF(AQ17="2",BI17,0)</f>
        <v>0</v>
      </c>
      <c r="AH17" s="34">
        <f>IF(AQ17="0",BJ17,0)</f>
        <v>0</v>
      </c>
      <c r="AI17" s="28" t="s">
        <v>1137</v>
      </c>
      <c r="AJ17" s="18">
        <f>IF(AN17=0,K17,0)</f>
        <v>0</v>
      </c>
      <c r="AK17" s="18">
        <f>IF(AN17=15,K17,0)</f>
        <v>0</v>
      </c>
      <c r="AL17" s="18">
        <f>IF(AN17=21,K17,0)</f>
        <v>0</v>
      </c>
      <c r="AN17" s="34">
        <v>21</v>
      </c>
      <c r="AO17" s="34">
        <f>H17*0</f>
        <v>0</v>
      </c>
      <c r="AP17" s="34">
        <f>H17*(1-0)</f>
        <v>0</v>
      </c>
      <c r="AQ17" s="29" t="s">
        <v>7</v>
      </c>
      <c r="AV17" s="34">
        <f>AW17+AX17</f>
        <v>0</v>
      </c>
      <c r="AW17" s="34">
        <f>G17*AO17</f>
        <v>0</v>
      </c>
      <c r="AX17" s="34">
        <f>G17*AP17</f>
        <v>0</v>
      </c>
      <c r="AY17" s="35" t="s">
        <v>1140</v>
      </c>
      <c r="AZ17" s="35" t="s">
        <v>1165</v>
      </c>
      <c r="BA17" s="28" t="s">
        <v>1176</v>
      </c>
      <c r="BC17" s="34">
        <f>AW17+AX17</f>
        <v>0</v>
      </c>
      <c r="BD17" s="34">
        <f>H17/(100-BE17)*100</f>
        <v>0</v>
      </c>
      <c r="BE17" s="34">
        <v>0</v>
      </c>
      <c r="BF17" s="34">
        <f>17</f>
        <v>17</v>
      </c>
      <c r="BH17" s="18">
        <f>G17*AO17</f>
        <v>0</v>
      </c>
      <c r="BI17" s="18">
        <f>G17*AP17</f>
        <v>0</v>
      </c>
      <c r="BJ17" s="18">
        <f>G17*H17</f>
        <v>0</v>
      </c>
    </row>
    <row r="18" spans="1:62" x14ac:dyDescent="0.2">
      <c r="A18" s="4"/>
      <c r="B18" s="14" t="s">
        <v>23</v>
      </c>
      <c r="C18" s="133" t="s">
        <v>702</v>
      </c>
      <c r="D18" s="134"/>
      <c r="E18" s="134"/>
      <c r="F18" s="4" t="s">
        <v>6</v>
      </c>
      <c r="G18" s="4" t="s">
        <v>6</v>
      </c>
      <c r="H18" s="4" t="s">
        <v>6</v>
      </c>
      <c r="I18" s="37">
        <f>SUM(I19:I19)</f>
        <v>0</v>
      </c>
      <c r="J18" s="37">
        <f>SUM(J19:J19)</f>
        <v>0</v>
      </c>
      <c r="K18" s="37">
        <f>SUM(K19:K19)</f>
        <v>0</v>
      </c>
      <c r="L18" s="28"/>
      <c r="AI18" s="28" t="s">
        <v>1137</v>
      </c>
      <c r="AS18" s="37">
        <f>SUM(AJ19:AJ19)</f>
        <v>0</v>
      </c>
      <c r="AT18" s="37">
        <f>SUM(AK19:AK19)</f>
        <v>0</v>
      </c>
      <c r="AU18" s="37">
        <f>SUM(AL19:AL19)</f>
        <v>0</v>
      </c>
    </row>
    <row r="19" spans="1:62" x14ac:dyDescent="0.2">
      <c r="A19" s="5" t="s">
        <v>9</v>
      </c>
      <c r="B19" s="5" t="s">
        <v>368</v>
      </c>
      <c r="C19" s="135" t="s">
        <v>703</v>
      </c>
      <c r="D19" s="136"/>
      <c r="E19" s="136"/>
      <c r="F19" s="5" t="s">
        <v>1098</v>
      </c>
      <c r="G19" s="18">
        <v>13.4108</v>
      </c>
      <c r="H19" s="79">
        <v>0</v>
      </c>
      <c r="I19" s="18">
        <f>G19*AO19</f>
        <v>0</v>
      </c>
      <c r="J19" s="18">
        <f>G19*AP19</f>
        <v>0</v>
      </c>
      <c r="K19" s="18">
        <f>G19*H19</f>
        <v>0</v>
      </c>
      <c r="L19" s="29" t="s">
        <v>1127</v>
      </c>
      <c r="Z19" s="34">
        <f>IF(AQ19="5",BJ19,0)</f>
        <v>0</v>
      </c>
      <c r="AB19" s="34">
        <f>IF(AQ19="1",BH19,0)</f>
        <v>0</v>
      </c>
      <c r="AC19" s="34">
        <f>IF(AQ19="1",BI19,0)</f>
        <v>0</v>
      </c>
      <c r="AD19" s="34">
        <f>IF(AQ19="7",BH19,0)</f>
        <v>0</v>
      </c>
      <c r="AE19" s="34">
        <f>IF(AQ19="7",BI19,0)</f>
        <v>0</v>
      </c>
      <c r="AF19" s="34">
        <f>IF(AQ19="2",BH19,0)</f>
        <v>0</v>
      </c>
      <c r="AG19" s="34">
        <f>IF(AQ19="2",BI19,0)</f>
        <v>0</v>
      </c>
      <c r="AH19" s="34">
        <f>IF(AQ19="0",BJ19,0)</f>
        <v>0</v>
      </c>
      <c r="AI19" s="28" t="s">
        <v>1137</v>
      </c>
      <c r="AJ19" s="18">
        <f>IF(AN19=0,K19,0)</f>
        <v>0</v>
      </c>
      <c r="AK19" s="18">
        <f>IF(AN19=15,K19,0)</f>
        <v>0</v>
      </c>
      <c r="AL19" s="18">
        <f>IF(AN19=21,K19,0)</f>
        <v>0</v>
      </c>
      <c r="AN19" s="34">
        <v>21</v>
      </c>
      <c r="AO19" s="34">
        <f>H19*0</f>
        <v>0</v>
      </c>
      <c r="AP19" s="34">
        <f>H19*(1-0)</f>
        <v>0</v>
      </c>
      <c r="AQ19" s="29" t="s">
        <v>7</v>
      </c>
      <c r="AV19" s="34">
        <f>AW19+AX19</f>
        <v>0</v>
      </c>
      <c r="AW19" s="34">
        <f>G19*AO19</f>
        <v>0</v>
      </c>
      <c r="AX19" s="34">
        <f>G19*AP19</f>
        <v>0</v>
      </c>
      <c r="AY19" s="35" t="s">
        <v>1141</v>
      </c>
      <c r="AZ19" s="35" t="s">
        <v>1165</v>
      </c>
      <c r="BA19" s="28" t="s">
        <v>1176</v>
      </c>
      <c r="BC19" s="34">
        <f>AW19+AX19</f>
        <v>0</v>
      </c>
      <c r="BD19" s="34">
        <f>H19/(100-BE19)*100</f>
        <v>0</v>
      </c>
      <c r="BE19" s="34">
        <v>0</v>
      </c>
      <c r="BF19" s="34">
        <f>19</f>
        <v>19</v>
      </c>
      <c r="BH19" s="18">
        <f>G19*AO19</f>
        <v>0</v>
      </c>
      <c r="BI19" s="18">
        <f>G19*AP19</f>
        <v>0</v>
      </c>
      <c r="BJ19" s="18">
        <f>G19*H19</f>
        <v>0</v>
      </c>
    </row>
    <row r="20" spans="1:62" x14ac:dyDescent="0.2">
      <c r="C20" s="131" t="s">
        <v>704</v>
      </c>
      <c r="D20" s="132"/>
      <c r="E20" s="132"/>
    </row>
    <row r="21" spans="1:62" x14ac:dyDescent="0.2">
      <c r="A21" s="4"/>
      <c r="B21" s="14" t="s">
        <v>37</v>
      </c>
      <c r="C21" s="133" t="s">
        <v>705</v>
      </c>
      <c r="D21" s="134"/>
      <c r="E21" s="134"/>
      <c r="F21" s="4" t="s">
        <v>6</v>
      </c>
      <c r="G21" s="4" t="s">
        <v>6</v>
      </c>
      <c r="H21" s="4" t="s">
        <v>6</v>
      </c>
      <c r="I21" s="37">
        <f>SUM(I22:I24)</f>
        <v>0</v>
      </c>
      <c r="J21" s="37">
        <f>SUM(J22:J24)</f>
        <v>0</v>
      </c>
      <c r="K21" s="37">
        <f>SUM(K22:K24)</f>
        <v>0</v>
      </c>
      <c r="L21" s="28"/>
      <c r="AI21" s="28" t="s">
        <v>1137</v>
      </c>
      <c r="AS21" s="37">
        <f>SUM(AJ22:AJ24)</f>
        <v>0</v>
      </c>
      <c r="AT21" s="37">
        <f>SUM(AK22:AK24)</f>
        <v>0</v>
      </c>
      <c r="AU21" s="37">
        <f>SUM(AL22:AL24)</f>
        <v>0</v>
      </c>
    </row>
    <row r="22" spans="1:62" x14ac:dyDescent="0.2">
      <c r="A22" s="5" t="s">
        <v>10</v>
      </c>
      <c r="B22" s="5" t="s">
        <v>369</v>
      </c>
      <c r="C22" s="135" t="s">
        <v>706</v>
      </c>
      <c r="D22" s="136"/>
      <c r="E22" s="136"/>
      <c r="F22" s="5" t="s">
        <v>1099</v>
      </c>
      <c r="G22" s="18">
        <v>4</v>
      </c>
      <c r="H22" s="79">
        <v>0</v>
      </c>
      <c r="I22" s="18">
        <f>G22*AO22</f>
        <v>0</v>
      </c>
      <c r="J22" s="18">
        <f>G22*AP22</f>
        <v>0</v>
      </c>
      <c r="K22" s="18">
        <f>G22*H22</f>
        <v>0</v>
      </c>
      <c r="L22" s="29" t="s">
        <v>1127</v>
      </c>
      <c r="Z22" s="34">
        <f>IF(AQ22="5",BJ22,0)</f>
        <v>0</v>
      </c>
      <c r="AB22" s="34">
        <f>IF(AQ22="1",BH22,0)</f>
        <v>0</v>
      </c>
      <c r="AC22" s="34">
        <f>IF(AQ22="1",BI22,0)</f>
        <v>0</v>
      </c>
      <c r="AD22" s="34">
        <f>IF(AQ22="7",BH22,0)</f>
        <v>0</v>
      </c>
      <c r="AE22" s="34">
        <f>IF(AQ22="7",BI22,0)</f>
        <v>0</v>
      </c>
      <c r="AF22" s="34">
        <f>IF(AQ22="2",BH22,0)</f>
        <v>0</v>
      </c>
      <c r="AG22" s="34">
        <f>IF(AQ22="2",BI22,0)</f>
        <v>0</v>
      </c>
      <c r="AH22" s="34">
        <f>IF(AQ22="0",BJ22,0)</f>
        <v>0</v>
      </c>
      <c r="AI22" s="28" t="s">
        <v>1137</v>
      </c>
      <c r="AJ22" s="18">
        <f>IF(AN22=0,K22,0)</f>
        <v>0</v>
      </c>
      <c r="AK22" s="18">
        <f>IF(AN22=15,K22,0)</f>
        <v>0</v>
      </c>
      <c r="AL22" s="18">
        <f>IF(AN22=21,K22,0)</f>
        <v>0</v>
      </c>
      <c r="AN22" s="34">
        <v>21</v>
      </c>
      <c r="AO22" s="34">
        <f>H22*0.876733556298774</f>
        <v>0</v>
      </c>
      <c r="AP22" s="34">
        <f>H22*(1-0.876733556298774)</f>
        <v>0</v>
      </c>
      <c r="AQ22" s="29" t="s">
        <v>7</v>
      </c>
      <c r="AV22" s="34">
        <f>AW22+AX22</f>
        <v>0</v>
      </c>
      <c r="AW22" s="34">
        <f>G22*AO22</f>
        <v>0</v>
      </c>
      <c r="AX22" s="34">
        <f>G22*AP22</f>
        <v>0</v>
      </c>
      <c r="AY22" s="35" t="s">
        <v>1142</v>
      </c>
      <c r="AZ22" s="35" t="s">
        <v>1166</v>
      </c>
      <c r="BA22" s="28" t="s">
        <v>1176</v>
      </c>
      <c r="BC22" s="34">
        <f>AW22+AX22</f>
        <v>0</v>
      </c>
      <c r="BD22" s="34">
        <f>H22/(100-BE22)*100</f>
        <v>0</v>
      </c>
      <c r="BE22" s="34">
        <v>0</v>
      </c>
      <c r="BF22" s="34">
        <f>22</f>
        <v>22</v>
      </c>
      <c r="BH22" s="18">
        <f>G22*AO22</f>
        <v>0</v>
      </c>
      <c r="BI22" s="18">
        <f>G22*AP22</f>
        <v>0</v>
      </c>
      <c r="BJ22" s="18">
        <f>G22*H22</f>
        <v>0</v>
      </c>
    </row>
    <row r="23" spans="1:62" x14ac:dyDescent="0.2">
      <c r="C23" s="131" t="s">
        <v>707</v>
      </c>
      <c r="D23" s="132"/>
      <c r="E23" s="132"/>
      <c r="H23" s="80"/>
    </row>
    <row r="24" spans="1:62" x14ac:dyDescent="0.2">
      <c r="A24" s="5" t="s">
        <v>11</v>
      </c>
      <c r="B24" s="5" t="s">
        <v>370</v>
      </c>
      <c r="C24" s="135" t="s">
        <v>708</v>
      </c>
      <c r="D24" s="136"/>
      <c r="E24" s="136"/>
      <c r="F24" s="5" t="s">
        <v>1099</v>
      </c>
      <c r="G24" s="18">
        <v>2</v>
      </c>
      <c r="H24" s="79">
        <v>0</v>
      </c>
      <c r="I24" s="18">
        <f>G24*AO24</f>
        <v>0</v>
      </c>
      <c r="J24" s="18">
        <f>G24*AP24</f>
        <v>0</v>
      </c>
      <c r="K24" s="18">
        <f>G24*H24</f>
        <v>0</v>
      </c>
      <c r="L24" s="29" t="s">
        <v>1127</v>
      </c>
      <c r="Z24" s="34">
        <f>IF(AQ24="5",BJ24,0)</f>
        <v>0</v>
      </c>
      <c r="AB24" s="34">
        <f>IF(AQ24="1",BH24,0)</f>
        <v>0</v>
      </c>
      <c r="AC24" s="34">
        <f>IF(AQ24="1",BI24,0)</f>
        <v>0</v>
      </c>
      <c r="AD24" s="34">
        <f>IF(AQ24="7",BH24,0)</f>
        <v>0</v>
      </c>
      <c r="AE24" s="34">
        <f>IF(AQ24="7",BI24,0)</f>
        <v>0</v>
      </c>
      <c r="AF24" s="34">
        <f>IF(AQ24="2",BH24,0)</f>
        <v>0</v>
      </c>
      <c r="AG24" s="34">
        <f>IF(AQ24="2",BI24,0)</f>
        <v>0</v>
      </c>
      <c r="AH24" s="34">
        <f>IF(AQ24="0",BJ24,0)</f>
        <v>0</v>
      </c>
      <c r="AI24" s="28" t="s">
        <v>1137</v>
      </c>
      <c r="AJ24" s="18">
        <f>IF(AN24=0,K24,0)</f>
        <v>0</v>
      </c>
      <c r="AK24" s="18">
        <f>IF(AN24=15,K24,0)</f>
        <v>0</v>
      </c>
      <c r="AL24" s="18">
        <f>IF(AN24=21,K24,0)</f>
        <v>0</v>
      </c>
      <c r="AN24" s="34">
        <v>21</v>
      </c>
      <c r="AO24" s="34">
        <f>H24*0.800826952526799</f>
        <v>0</v>
      </c>
      <c r="AP24" s="34">
        <f>H24*(1-0.800826952526799)</f>
        <v>0</v>
      </c>
      <c r="AQ24" s="29" t="s">
        <v>7</v>
      </c>
      <c r="AV24" s="34">
        <f>AW24+AX24</f>
        <v>0</v>
      </c>
      <c r="AW24" s="34">
        <f>G24*AO24</f>
        <v>0</v>
      </c>
      <c r="AX24" s="34">
        <f>G24*AP24</f>
        <v>0</v>
      </c>
      <c r="AY24" s="35" t="s">
        <v>1142</v>
      </c>
      <c r="AZ24" s="35" t="s">
        <v>1166</v>
      </c>
      <c r="BA24" s="28" t="s">
        <v>1176</v>
      </c>
      <c r="BC24" s="34">
        <f>AW24+AX24</f>
        <v>0</v>
      </c>
      <c r="BD24" s="34">
        <f>H24/(100-BE24)*100</f>
        <v>0</v>
      </c>
      <c r="BE24" s="34">
        <v>0</v>
      </c>
      <c r="BF24" s="34">
        <f>24</f>
        <v>24</v>
      </c>
      <c r="BH24" s="18">
        <f>G24*AO24</f>
        <v>0</v>
      </c>
      <c r="BI24" s="18">
        <f>G24*AP24</f>
        <v>0</v>
      </c>
      <c r="BJ24" s="18">
        <f>G24*H24</f>
        <v>0</v>
      </c>
    </row>
    <row r="25" spans="1:62" x14ac:dyDescent="0.2">
      <c r="C25" s="131" t="s">
        <v>709</v>
      </c>
      <c r="D25" s="132"/>
      <c r="E25" s="132"/>
      <c r="H25" s="80"/>
    </row>
    <row r="26" spans="1:62" x14ac:dyDescent="0.2">
      <c r="A26" s="4"/>
      <c r="B26" s="14" t="s">
        <v>40</v>
      </c>
      <c r="C26" s="133" t="s">
        <v>710</v>
      </c>
      <c r="D26" s="134"/>
      <c r="E26" s="134"/>
      <c r="F26" s="4" t="s">
        <v>6</v>
      </c>
      <c r="G26" s="4" t="s">
        <v>6</v>
      </c>
      <c r="H26" s="4" t="s">
        <v>6</v>
      </c>
      <c r="I26" s="37">
        <f>SUM(I27:I33)</f>
        <v>0</v>
      </c>
      <c r="J26" s="37">
        <f>SUM(J27:J33)</f>
        <v>0</v>
      </c>
      <c r="K26" s="37">
        <f>SUM(K27:K33)</f>
        <v>0</v>
      </c>
      <c r="L26" s="28"/>
      <c r="AI26" s="28" t="s">
        <v>1137</v>
      </c>
      <c r="AS26" s="37">
        <f>SUM(AJ27:AJ33)</f>
        <v>0</v>
      </c>
      <c r="AT26" s="37">
        <f>SUM(AK27:AK33)</f>
        <v>0</v>
      </c>
      <c r="AU26" s="37">
        <f>SUM(AL27:AL33)</f>
        <v>0</v>
      </c>
    </row>
    <row r="27" spans="1:62" x14ac:dyDescent="0.2">
      <c r="A27" s="5" t="s">
        <v>12</v>
      </c>
      <c r="B27" s="5" t="s">
        <v>371</v>
      </c>
      <c r="C27" s="135" t="s">
        <v>711</v>
      </c>
      <c r="D27" s="136"/>
      <c r="E27" s="136"/>
      <c r="F27" s="5" t="s">
        <v>1100</v>
      </c>
      <c r="G27" s="18">
        <v>28.082999999999998</v>
      </c>
      <c r="H27" s="79">
        <v>0</v>
      </c>
      <c r="I27" s="18">
        <f>G27*AO27</f>
        <v>0</v>
      </c>
      <c r="J27" s="18">
        <f>G27*AP27</f>
        <v>0</v>
      </c>
      <c r="K27" s="18">
        <f>G27*H27</f>
        <v>0</v>
      </c>
      <c r="L27" s="29" t="s">
        <v>1127</v>
      </c>
      <c r="Z27" s="34">
        <f>IF(AQ27="5",BJ27,0)</f>
        <v>0</v>
      </c>
      <c r="AB27" s="34">
        <f>IF(AQ27="1",BH27,0)</f>
        <v>0</v>
      </c>
      <c r="AC27" s="34">
        <f>IF(AQ27="1",BI27,0)</f>
        <v>0</v>
      </c>
      <c r="AD27" s="34">
        <f>IF(AQ27="7",BH27,0)</f>
        <v>0</v>
      </c>
      <c r="AE27" s="34">
        <f>IF(AQ27="7",BI27,0)</f>
        <v>0</v>
      </c>
      <c r="AF27" s="34">
        <f>IF(AQ27="2",BH27,0)</f>
        <v>0</v>
      </c>
      <c r="AG27" s="34">
        <f>IF(AQ27="2",BI27,0)</f>
        <v>0</v>
      </c>
      <c r="AH27" s="34">
        <f>IF(AQ27="0",BJ27,0)</f>
        <v>0</v>
      </c>
      <c r="AI27" s="28" t="s">
        <v>1137</v>
      </c>
      <c r="AJ27" s="18">
        <f>IF(AN27=0,K27,0)</f>
        <v>0</v>
      </c>
      <c r="AK27" s="18">
        <f>IF(AN27=15,K27,0)</f>
        <v>0</v>
      </c>
      <c r="AL27" s="18">
        <f>IF(AN27=21,K27,0)</f>
        <v>0</v>
      </c>
      <c r="AN27" s="34">
        <v>21</v>
      </c>
      <c r="AO27" s="34">
        <f>H27*0.667040639898358</f>
        <v>0</v>
      </c>
      <c r="AP27" s="34">
        <f>H27*(1-0.667040639898358)</f>
        <v>0</v>
      </c>
      <c r="AQ27" s="29" t="s">
        <v>7</v>
      </c>
      <c r="AV27" s="34">
        <f>AW27+AX27</f>
        <v>0</v>
      </c>
      <c r="AW27" s="34">
        <f>G27*AO27</f>
        <v>0</v>
      </c>
      <c r="AX27" s="34">
        <f>G27*AP27</f>
        <v>0</v>
      </c>
      <c r="AY27" s="35" t="s">
        <v>1143</v>
      </c>
      <c r="AZ27" s="35" t="s">
        <v>1166</v>
      </c>
      <c r="BA27" s="28" t="s">
        <v>1176</v>
      </c>
      <c r="BC27" s="34">
        <f>AW27+AX27</f>
        <v>0</v>
      </c>
      <c r="BD27" s="34">
        <f>H27/(100-BE27)*100</f>
        <v>0</v>
      </c>
      <c r="BE27" s="34">
        <v>0</v>
      </c>
      <c r="BF27" s="34">
        <f>27</f>
        <v>27</v>
      </c>
      <c r="BH27" s="18">
        <f>G27*AO27</f>
        <v>0</v>
      </c>
      <c r="BI27" s="18">
        <f>G27*AP27</f>
        <v>0</v>
      </c>
      <c r="BJ27" s="18">
        <f>G27*H27</f>
        <v>0</v>
      </c>
    </row>
    <row r="28" spans="1:62" x14ac:dyDescent="0.2">
      <c r="C28" s="131" t="s">
        <v>712</v>
      </c>
      <c r="D28" s="132"/>
      <c r="E28" s="132"/>
      <c r="H28" s="80"/>
    </row>
    <row r="29" spans="1:62" x14ac:dyDescent="0.2">
      <c r="A29" s="5" t="s">
        <v>13</v>
      </c>
      <c r="B29" s="5" t="s">
        <v>372</v>
      </c>
      <c r="C29" s="135" t="s">
        <v>713</v>
      </c>
      <c r="D29" s="136"/>
      <c r="E29" s="136"/>
      <c r="F29" s="5" t="s">
        <v>1100</v>
      </c>
      <c r="G29" s="18">
        <v>150.63300000000001</v>
      </c>
      <c r="H29" s="79">
        <v>0</v>
      </c>
      <c r="I29" s="18">
        <f>G29*AO29</f>
        <v>0</v>
      </c>
      <c r="J29" s="18">
        <f>G29*AP29</f>
        <v>0</v>
      </c>
      <c r="K29" s="18">
        <f>G29*H29</f>
        <v>0</v>
      </c>
      <c r="L29" s="29" t="s">
        <v>1127</v>
      </c>
      <c r="Z29" s="34">
        <f>IF(AQ29="5",BJ29,0)</f>
        <v>0</v>
      </c>
      <c r="AB29" s="34">
        <f>IF(AQ29="1",BH29,0)</f>
        <v>0</v>
      </c>
      <c r="AC29" s="34">
        <f>IF(AQ29="1",BI29,0)</f>
        <v>0</v>
      </c>
      <c r="AD29" s="34">
        <f>IF(AQ29="7",BH29,0)</f>
        <v>0</v>
      </c>
      <c r="AE29" s="34">
        <f>IF(AQ29="7",BI29,0)</f>
        <v>0</v>
      </c>
      <c r="AF29" s="34">
        <f>IF(AQ29="2",BH29,0)</f>
        <v>0</v>
      </c>
      <c r="AG29" s="34">
        <f>IF(AQ29="2",BI29,0)</f>
        <v>0</v>
      </c>
      <c r="AH29" s="34">
        <f>IF(AQ29="0",BJ29,0)</f>
        <v>0</v>
      </c>
      <c r="AI29" s="28" t="s">
        <v>1137</v>
      </c>
      <c r="AJ29" s="18">
        <f>IF(AN29=0,K29,0)</f>
        <v>0</v>
      </c>
      <c r="AK29" s="18">
        <f>IF(AN29=15,K29,0)</f>
        <v>0</v>
      </c>
      <c r="AL29" s="18">
        <f>IF(AN29=21,K29,0)</f>
        <v>0</v>
      </c>
      <c r="AN29" s="34">
        <v>21</v>
      </c>
      <c r="AO29" s="34">
        <f>H29*0.736606754989269</f>
        <v>0</v>
      </c>
      <c r="AP29" s="34">
        <f>H29*(1-0.736606754989269)</f>
        <v>0</v>
      </c>
      <c r="AQ29" s="29" t="s">
        <v>7</v>
      </c>
      <c r="AV29" s="34">
        <f>AW29+AX29</f>
        <v>0</v>
      </c>
      <c r="AW29" s="34">
        <f>G29*AO29</f>
        <v>0</v>
      </c>
      <c r="AX29" s="34">
        <f>G29*AP29</f>
        <v>0</v>
      </c>
      <c r="AY29" s="35" t="s">
        <v>1143</v>
      </c>
      <c r="AZ29" s="35" t="s">
        <v>1166</v>
      </c>
      <c r="BA29" s="28" t="s">
        <v>1176</v>
      </c>
      <c r="BC29" s="34">
        <f>AW29+AX29</f>
        <v>0</v>
      </c>
      <c r="BD29" s="34">
        <f>H29/(100-BE29)*100</f>
        <v>0</v>
      </c>
      <c r="BE29" s="34">
        <v>0</v>
      </c>
      <c r="BF29" s="34">
        <f>29</f>
        <v>29</v>
      </c>
      <c r="BH29" s="18">
        <f>G29*AO29</f>
        <v>0</v>
      </c>
      <c r="BI29" s="18">
        <f>G29*AP29</f>
        <v>0</v>
      </c>
      <c r="BJ29" s="18">
        <f>G29*H29</f>
        <v>0</v>
      </c>
    </row>
    <row r="30" spans="1:62" x14ac:dyDescent="0.2">
      <c r="C30" s="131" t="s">
        <v>714</v>
      </c>
      <c r="D30" s="132"/>
      <c r="E30" s="132"/>
      <c r="H30" s="80"/>
    </row>
    <row r="31" spans="1:62" x14ac:dyDescent="0.2">
      <c r="A31" s="5" t="s">
        <v>14</v>
      </c>
      <c r="B31" s="5" t="s">
        <v>373</v>
      </c>
      <c r="C31" s="135" t="s">
        <v>715</v>
      </c>
      <c r="D31" s="136"/>
      <c r="E31" s="136"/>
      <c r="F31" s="5" t="s">
        <v>1101</v>
      </c>
      <c r="G31" s="18">
        <v>56.36</v>
      </c>
      <c r="H31" s="79">
        <v>0</v>
      </c>
      <c r="I31" s="18">
        <f>G31*AO31</f>
        <v>0</v>
      </c>
      <c r="J31" s="18">
        <f>G31*AP31</f>
        <v>0</v>
      </c>
      <c r="K31" s="18">
        <f>G31*H31</f>
        <v>0</v>
      </c>
      <c r="L31" s="29" t="s">
        <v>1127</v>
      </c>
      <c r="Z31" s="34">
        <f>IF(AQ31="5",BJ31,0)</f>
        <v>0</v>
      </c>
      <c r="AB31" s="34">
        <f>IF(AQ31="1",BH31,0)</f>
        <v>0</v>
      </c>
      <c r="AC31" s="34">
        <f>IF(AQ31="1",BI31,0)</f>
        <v>0</v>
      </c>
      <c r="AD31" s="34">
        <f>IF(AQ31="7",BH31,0)</f>
        <v>0</v>
      </c>
      <c r="AE31" s="34">
        <f>IF(AQ31="7",BI31,0)</f>
        <v>0</v>
      </c>
      <c r="AF31" s="34">
        <f>IF(AQ31="2",BH31,0)</f>
        <v>0</v>
      </c>
      <c r="AG31" s="34">
        <f>IF(AQ31="2",BI31,0)</f>
        <v>0</v>
      </c>
      <c r="AH31" s="34">
        <f>IF(AQ31="0",BJ31,0)</f>
        <v>0</v>
      </c>
      <c r="AI31" s="28" t="s">
        <v>1137</v>
      </c>
      <c r="AJ31" s="18">
        <f>IF(AN31=0,K31,0)</f>
        <v>0</v>
      </c>
      <c r="AK31" s="18">
        <f>IF(AN31=15,K31,0)</f>
        <v>0</v>
      </c>
      <c r="AL31" s="18">
        <f>IF(AN31=21,K31,0)</f>
        <v>0</v>
      </c>
      <c r="AN31" s="34">
        <v>21</v>
      </c>
      <c r="AO31" s="34">
        <f>H31*0.33180252084358</f>
        <v>0</v>
      </c>
      <c r="AP31" s="34">
        <f>H31*(1-0.33180252084358)</f>
        <v>0</v>
      </c>
      <c r="AQ31" s="29" t="s">
        <v>7</v>
      </c>
      <c r="AV31" s="34">
        <f>AW31+AX31</f>
        <v>0</v>
      </c>
      <c r="AW31" s="34">
        <f>G31*AO31</f>
        <v>0</v>
      </c>
      <c r="AX31" s="34">
        <f>G31*AP31</f>
        <v>0</v>
      </c>
      <c r="AY31" s="35" t="s">
        <v>1143</v>
      </c>
      <c r="AZ31" s="35" t="s">
        <v>1166</v>
      </c>
      <c r="BA31" s="28" t="s">
        <v>1176</v>
      </c>
      <c r="BC31" s="34">
        <f>AW31+AX31</f>
        <v>0</v>
      </c>
      <c r="BD31" s="34">
        <f>H31/(100-BE31)*100</f>
        <v>0</v>
      </c>
      <c r="BE31" s="34">
        <v>0</v>
      </c>
      <c r="BF31" s="34">
        <f>31</f>
        <v>31</v>
      </c>
      <c r="BH31" s="18">
        <f>G31*AO31</f>
        <v>0</v>
      </c>
      <c r="BI31" s="18">
        <f>G31*AP31</f>
        <v>0</v>
      </c>
      <c r="BJ31" s="18">
        <f>G31*H31</f>
        <v>0</v>
      </c>
    </row>
    <row r="32" spans="1:62" x14ac:dyDescent="0.2">
      <c r="A32" s="5" t="s">
        <v>15</v>
      </c>
      <c r="B32" s="5" t="s">
        <v>374</v>
      </c>
      <c r="C32" s="135" t="s">
        <v>716</v>
      </c>
      <c r="D32" s="136"/>
      <c r="E32" s="136"/>
      <c r="F32" s="5" t="s">
        <v>1101</v>
      </c>
      <c r="G32" s="18">
        <v>46.2</v>
      </c>
      <c r="H32" s="79">
        <v>0</v>
      </c>
      <c r="I32" s="18">
        <f>G32*AO32</f>
        <v>0</v>
      </c>
      <c r="J32" s="18">
        <f>G32*AP32</f>
        <v>0</v>
      </c>
      <c r="K32" s="18">
        <f>G32*H32</f>
        <v>0</v>
      </c>
      <c r="L32" s="29" t="s">
        <v>1127</v>
      </c>
      <c r="Z32" s="34">
        <f>IF(AQ32="5",BJ32,0)</f>
        <v>0</v>
      </c>
      <c r="AB32" s="34">
        <f>IF(AQ32="1",BH32,0)</f>
        <v>0</v>
      </c>
      <c r="AC32" s="34">
        <f>IF(AQ32="1",BI32,0)</f>
        <v>0</v>
      </c>
      <c r="AD32" s="34">
        <f>IF(AQ32="7",BH32,0)</f>
        <v>0</v>
      </c>
      <c r="AE32" s="34">
        <f>IF(AQ32="7",BI32,0)</f>
        <v>0</v>
      </c>
      <c r="AF32" s="34">
        <f>IF(AQ32="2",BH32,0)</f>
        <v>0</v>
      </c>
      <c r="AG32" s="34">
        <f>IF(AQ32="2",BI32,0)</f>
        <v>0</v>
      </c>
      <c r="AH32" s="34">
        <f>IF(AQ32="0",BJ32,0)</f>
        <v>0</v>
      </c>
      <c r="AI32" s="28" t="s">
        <v>1137</v>
      </c>
      <c r="AJ32" s="18">
        <f>IF(AN32=0,K32,0)</f>
        <v>0</v>
      </c>
      <c r="AK32" s="18">
        <f>IF(AN32=15,K32,0)</f>
        <v>0</v>
      </c>
      <c r="AL32" s="18">
        <f>IF(AN32=21,K32,0)</f>
        <v>0</v>
      </c>
      <c r="AN32" s="34">
        <v>21</v>
      </c>
      <c r="AO32" s="34">
        <f>H32*0.189561752988048</f>
        <v>0</v>
      </c>
      <c r="AP32" s="34">
        <f>H32*(1-0.189561752988048)</f>
        <v>0</v>
      </c>
      <c r="AQ32" s="29" t="s">
        <v>7</v>
      </c>
      <c r="AV32" s="34">
        <f>AW32+AX32</f>
        <v>0</v>
      </c>
      <c r="AW32" s="34">
        <f>G32*AO32</f>
        <v>0</v>
      </c>
      <c r="AX32" s="34">
        <f>G32*AP32</f>
        <v>0</v>
      </c>
      <c r="AY32" s="35" t="s">
        <v>1143</v>
      </c>
      <c r="AZ32" s="35" t="s">
        <v>1166</v>
      </c>
      <c r="BA32" s="28" t="s">
        <v>1176</v>
      </c>
      <c r="BC32" s="34">
        <f>AW32+AX32</f>
        <v>0</v>
      </c>
      <c r="BD32" s="34">
        <f>H32/(100-BE32)*100</f>
        <v>0</v>
      </c>
      <c r="BE32" s="34">
        <v>0</v>
      </c>
      <c r="BF32" s="34">
        <f>32</f>
        <v>32</v>
      </c>
      <c r="BH32" s="18">
        <f>G32*AO32</f>
        <v>0</v>
      </c>
      <c r="BI32" s="18">
        <f>G32*AP32</f>
        <v>0</v>
      </c>
      <c r="BJ32" s="18">
        <f>G32*H32</f>
        <v>0</v>
      </c>
    </row>
    <row r="33" spans="1:62" x14ac:dyDescent="0.2">
      <c r="A33" s="5" t="s">
        <v>16</v>
      </c>
      <c r="B33" s="5" t="s">
        <v>375</v>
      </c>
      <c r="C33" s="135" t="s">
        <v>717</v>
      </c>
      <c r="D33" s="136"/>
      <c r="E33" s="136"/>
      <c r="F33" s="5" t="s">
        <v>1100</v>
      </c>
      <c r="G33" s="18">
        <v>4.26</v>
      </c>
      <c r="H33" s="79">
        <v>0</v>
      </c>
      <c r="I33" s="18">
        <f>G33*AO33</f>
        <v>0</v>
      </c>
      <c r="J33" s="18">
        <f>G33*AP33</f>
        <v>0</v>
      </c>
      <c r="K33" s="18">
        <f>G33*H33</f>
        <v>0</v>
      </c>
      <c r="L33" s="29" t="s">
        <v>1127</v>
      </c>
      <c r="Z33" s="34">
        <f>IF(AQ33="5",BJ33,0)</f>
        <v>0</v>
      </c>
      <c r="AB33" s="34">
        <f>IF(AQ33="1",BH33,0)</f>
        <v>0</v>
      </c>
      <c r="AC33" s="34">
        <f>IF(AQ33="1",BI33,0)</f>
        <v>0</v>
      </c>
      <c r="AD33" s="34">
        <f>IF(AQ33="7",BH33,0)</f>
        <v>0</v>
      </c>
      <c r="AE33" s="34">
        <f>IF(AQ33="7",BI33,0)</f>
        <v>0</v>
      </c>
      <c r="AF33" s="34">
        <f>IF(AQ33="2",BH33,0)</f>
        <v>0</v>
      </c>
      <c r="AG33" s="34">
        <f>IF(AQ33="2",BI33,0)</f>
        <v>0</v>
      </c>
      <c r="AH33" s="34">
        <f>IF(AQ33="0",BJ33,0)</f>
        <v>0</v>
      </c>
      <c r="AI33" s="28" t="s">
        <v>1137</v>
      </c>
      <c r="AJ33" s="18">
        <f>IF(AN33=0,K33,0)</f>
        <v>0</v>
      </c>
      <c r="AK33" s="18">
        <f>IF(AN33=15,K33,0)</f>
        <v>0</v>
      </c>
      <c r="AL33" s="18">
        <f>IF(AN33=21,K33,0)</f>
        <v>0</v>
      </c>
      <c r="AN33" s="34">
        <v>21</v>
      </c>
      <c r="AO33" s="34">
        <f>H33*0.710514028861657</f>
        <v>0</v>
      </c>
      <c r="AP33" s="34">
        <f>H33*(1-0.710514028861657)</f>
        <v>0</v>
      </c>
      <c r="AQ33" s="29" t="s">
        <v>7</v>
      </c>
      <c r="AV33" s="34">
        <f>AW33+AX33</f>
        <v>0</v>
      </c>
      <c r="AW33" s="34">
        <f>G33*AO33</f>
        <v>0</v>
      </c>
      <c r="AX33" s="34">
        <f>G33*AP33</f>
        <v>0</v>
      </c>
      <c r="AY33" s="35" t="s">
        <v>1143</v>
      </c>
      <c r="AZ33" s="35" t="s">
        <v>1166</v>
      </c>
      <c r="BA33" s="28" t="s">
        <v>1176</v>
      </c>
      <c r="BC33" s="34">
        <f>AW33+AX33</f>
        <v>0</v>
      </c>
      <c r="BD33" s="34">
        <f>H33/(100-BE33)*100</f>
        <v>0</v>
      </c>
      <c r="BE33" s="34">
        <v>0</v>
      </c>
      <c r="BF33" s="34">
        <f>33</f>
        <v>33</v>
      </c>
      <c r="BH33" s="18">
        <f>G33*AO33</f>
        <v>0</v>
      </c>
      <c r="BI33" s="18">
        <f>G33*AP33</f>
        <v>0</v>
      </c>
      <c r="BJ33" s="18">
        <f>G33*H33</f>
        <v>0</v>
      </c>
    </row>
    <row r="34" spans="1:62" x14ac:dyDescent="0.2">
      <c r="A34" s="4"/>
      <c r="B34" s="14" t="s">
        <v>47</v>
      </c>
      <c r="C34" s="133" t="s">
        <v>718</v>
      </c>
      <c r="D34" s="134"/>
      <c r="E34" s="134"/>
      <c r="F34" s="4" t="s">
        <v>6</v>
      </c>
      <c r="G34" s="4" t="s">
        <v>6</v>
      </c>
      <c r="H34" s="4" t="s">
        <v>6</v>
      </c>
      <c r="I34" s="37">
        <f>SUM(I35:I35)</f>
        <v>0</v>
      </c>
      <c r="J34" s="37">
        <f>SUM(J35:J35)</f>
        <v>0</v>
      </c>
      <c r="K34" s="37">
        <f>SUM(K35:K35)</f>
        <v>0</v>
      </c>
      <c r="L34" s="28"/>
      <c r="AI34" s="28" t="s">
        <v>1137</v>
      </c>
      <c r="AS34" s="37">
        <f>SUM(AJ35:AJ35)</f>
        <v>0</v>
      </c>
      <c r="AT34" s="37">
        <f>SUM(AK35:AK35)</f>
        <v>0</v>
      </c>
      <c r="AU34" s="37">
        <f>SUM(AL35:AL35)</f>
        <v>0</v>
      </c>
    </row>
    <row r="35" spans="1:62" x14ac:dyDescent="0.2">
      <c r="A35" s="5" t="s">
        <v>17</v>
      </c>
      <c r="B35" s="5" t="s">
        <v>376</v>
      </c>
      <c r="C35" s="135" t="s">
        <v>719</v>
      </c>
      <c r="D35" s="136"/>
      <c r="E35" s="136"/>
      <c r="F35" s="5" t="s">
        <v>1100</v>
      </c>
      <c r="G35" s="18">
        <v>17.04</v>
      </c>
      <c r="H35" s="79">
        <v>0</v>
      </c>
      <c r="I35" s="18">
        <f>G35*AO35</f>
        <v>0</v>
      </c>
      <c r="J35" s="18">
        <f>G35*AP35</f>
        <v>0</v>
      </c>
      <c r="K35" s="18">
        <f>G35*H35</f>
        <v>0</v>
      </c>
      <c r="L35" s="29" t="s">
        <v>1127</v>
      </c>
      <c r="Z35" s="34">
        <f>IF(AQ35="5",BJ35,0)</f>
        <v>0</v>
      </c>
      <c r="AB35" s="34">
        <f>IF(AQ35="1",BH35,0)</f>
        <v>0</v>
      </c>
      <c r="AC35" s="34">
        <f>IF(AQ35="1",BI35,0)</f>
        <v>0</v>
      </c>
      <c r="AD35" s="34">
        <f>IF(AQ35="7",BH35,0)</f>
        <v>0</v>
      </c>
      <c r="AE35" s="34">
        <f>IF(AQ35="7",BI35,0)</f>
        <v>0</v>
      </c>
      <c r="AF35" s="34">
        <f>IF(AQ35="2",BH35,0)</f>
        <v>0</v>
      </c>
      <c r="AG35" s="34">
        <f>IF(AQ35="2",BI35,0)</f>
        <v>0</v>
      </c>
      <c r="AH35" s="34">
        <f>IF(AQ35="0",BJ35,0)</f>
        <v>0</v>
      </c>
      <c r="AI35" s="28" t="s">
        <v>1137</v>
      </c>
      <c r="AJ35" s="18">
        <f>IF(AN35=0,K35,0)</f>
        <v>0</v>
      </c>
      <c r="AK35" s="18">
        <f>IF(AN35=15,K35,0)</f>
        <v>0</v>
      </c>
      <c r="AL35" s="18">
        <f>IF(AN35=21,K35,0)</f>
        <v>0</v>
      </c>
      <c r="AN35" s="34">
        <v>21</v>
      </c>
      <c r="AO35" s="34">
        <f>H35*0.709948555599525</f>
        <v>0</v>
      </c>
      <c r="AP35" s="34">
        <f>H35*(1-0.709948555599525)</f>
        <v>0</v>
      </c>
      <c r="AQ35" s="29" t="s">
        <v>7</v>
      </c>
      <c r="AV35" s="34">
        <f>AW35+AX35</f>
        <v>0</v>
      </c>
      <c r="AW35" s="34">
        <f>G35*AO35</f>
        <v>0</v>
      </c>
      <c r="AX35" s="34">
        <f>G35*AP35</f>
        <v>0</v>
      </c>
      <c r="AY35" s="35" t="s">
        <v>1144</v>
      </c>
      <c r="AZ35" s="35" t="s">
        <v>1167</v>
      </c>
      <c r="BA35" s="28" t="s">
        <v>1176</v>
      </c>
      <c r="BC35" s="34">
        <f>AW35+AX35</f>
        <v>0</v>
      </c>
      <c r="BD35" s="34">
        <f>H35/(100-BE35)*100</f>
        <v>0</v>
      </c>
      <c r="BE35" s="34">
        <v>0</v>
      </c>
      <c r="BF35" s="34">
        <f>35</f>
        <v>35</v>
      </c>
      <c r="BH35" s="18">
        <f>G35*AO35</f>
        <v>0</v>
      </c>
      <c r="BI35" s="18">
        <f>G35*AP35</f>
        <v>0</v>
      </c>
      <c r="BJ35" s="18">
        <f>G35*H35</f>
        <v>0</v>
      </c>
    </row>
    <row r="36" spans="1:62" x14ac:dyDescent="0.2">
      <c r="C36" s="131" t="s">
        <v>720</v>
      </c>
      <c r="D36" s="132"/>
      <c r="E36" s="132"/>
    </row>
    <row r="37" spans="1:62" x14ac:dyDescent="0.2">
      <c r="A37" s="4"/>
      <c r="B37" s="14" t="s">
        <v>67</v>
      </c>
      <c r="C37" s="133" t="s">
        <v>721</v>
      </c>
      <c r="D37" s="134"/>
      <c r="E37" s="134"/>
      <c r="F37" s="4" t="s">
        <v>6</v>
      </c>
      <c r="G37" s="4" t="s">
        <v>6</v>
      </c>
      <c r="H37" s="4" t="s">
        <v>6</v>
      </c>
      <c r="I37" s="37">
        <f>SUM(I38:I47)</f>
        <v>0</v>
      </c>
      <c r="J37" s="37">
        <f>SUM(J38:J47)</f>
        <v>0</v>
      </c>
      <c r="K37" s="37">
        <f>SUM(K38:K47)</f>
        <v>0</v>
      </c>
      <c r="L37" s="28"/>
      <c r="AI37" s="28" t="s">
        <v>1137</v>
      </c>
      <c r="AS37" s="37">
        <f>SUM(AJ38:AJ47)</f>
        <v>0</v>
      </c>
      <c r="AT37" s="37">
        <f>SUM(AK38:AK47)</f>
        <v>0</v>
      </c>
      <c r="AU37" s="37">
        <f>SUM(AL38:AL47)</f>
        <v>0</v>
      </c>
    </row>
    <row r="38" spans="1:62" x14ac:dyDescent="0.2">
      <c r="A38" s="5" t="s">
        <v>18</v>
      </c>
      <c r="B38" s="5" t="s">
        <v>377</v>
      </c>
      <c r="C38" s="135" t="s">
        <v>722</v>
      </c>
      <c r="D38" s="136"/>
      <c r="E38" s="136"/>
      <c r="F38" s="5" t="s">
        <v>1100</v>
      </c>
      <c r="G38" s="18">
        <v>82.42</v>
      </c>
      <c r="H38" s="79">
        <v>0</v>
      </c>
      <c r="I38" s="18">
        <f>G38*AO38</f>
        <v>0</v>
      </c>
      <c r="J38" s="18">
        <f>G38*AP38</f>
        <v>0</v>
      </c>
      <c r="K38" s="18">
        <f>G38*H38</f>
        <v>0</v>
      </c>
      <c r="L38" s="29" t="s">
        <v>1127</v>
      </c>
      <c r="Z38" s="34">
        <f>IF(AQ38="5",BJ38,0)</f>
        <v>0</v>
      </c>
      <c r="AB38" s="34">
        <f>IF(AQ38="1",BH38,0)</f>
        <v>0</v>
      </c>
      <c r="AC38" s="34">
        <f>IF(AQ38="1",BI38,0)</f>
        <v>0</v>
      </c>
      <c r="AD38" s="34">
        <f>IF(AQ38="7",BH38,0)</f>
        <v>0</v>
      </c>
      <c r="AE38" s="34">
        <f>IF(AQ38="7",BI38,0)</f>
        <v>0</v>
      </c>
      <c r="AF38" s="34">
        <f>IF(AQ38="2",BH38,0)</f>
        <v>0</v>
      </c>
      <c r="AG38" s="34">
        <f>IF(AQ38="2",BI38,0)</f>
        <v>0</v>
      </c>
      <c r="AH38" s="34">
        <f>IF(AQ38="0",BJ38,0)</f>
        <v>0</v>
      </c>
      <c r="AI38" s="28" t="s">
        <v>1137</v>
      </c>
      <c r="AJ38" s="18">
        <f>IF(AN38=0,K38,0)</f>
        <v>0</v>
      </c>
      <c r="AK38" s="18">
        <f>IF(AN38=15,K38,0)</f>
        <v>0</v>
      </c>
      <c r="AL38" s="18">
        <f>IF(AN38=21,K38,0)</f>
        <v>0</v>
      </c>
      <c r="AN38" s="34">
        <v>21</v>
      </c>
      <c r="AO38" s="34">
        <f>H38*0.237942279639284</f>
        <v>0</v>
      </c>
      <c r="AP38" s="34">
        <f>H38*(1-0.237942279639284)</f>
        <v>0</v>
      </c>
      <c r="AQ38" s="29" t="s">
        <v>7</v>
      </c>
      <c r="AV38" s="34">
        <f>AW38+AX38</f>
        <v>0</v>
      </c>
      <c r="AW38" s="34">
        <f>G38*AO38</f>
        <v>0</v>
      </c>
      <c r="AX38" s="34">
        <f>G38*AP38</f>
        <v>0</v>
      </c>
      <c r="AY38" s="35" t="s">
        <v>1145</v>
      </c>
      <c r="AZ38" s="35" t="s">
        <v>1168</v>
      </c>
      <c r="BA38" s="28" t="s">
        <v>1176</v>
      </c>
      <c r="BC38" s="34">
        <f>AW38+AX38</f>
        <v>0</v>
      </c>
      <c r="BD38" s="34">
        <f>H38/(100-BE38)*100</f>
        <v>0</v>
      </c>
      <c r="BE38" s="34">
        <v>0</v>
      </c>
      <c r="BF38" s="34">
        <f>38</f>
        <v>38</v>
      </c>
      <c r="BH38" s="18">
        <f>G38*AO38</f>
        <v>0</v>
      </c>
      <c r="BI38" s="18">
        <f>G38*AP38</f>
        <v>0</v>
      </c>
      <c r="BJ38" s="18">
        <f>G38*H38</f>
        <v>0</v>
      </c>
    </row>
    <row r="39" spans="1:62" x14ac:dyDescent="0.2">
      <c r="C39" s="131" t="s">
        <v>723</v>
      </c>
      <c r="D39" s="132"/>
      <c r="E39" s="132"/>
      <c r="H39" s="80"/>
    </row>
    <row r="40" spans="1:62" x14ac:dyDescent="0.2">
      <c r="A40" s="5" t="s">
        <v>19</v>
      </c>
      <c r="B40" s="5" t="s">
        <v>378</v>
      </c>
      <c r="C40" s="135" t="s">
        <v>724</v>
      </c>
      <c r="D40" s="136"/>
      <c r="E40" s="136"/>
      <c r="F40" s="5" t="s">
        <v>1100</v>
      </c>
      <c r="G40" s="18">
        <v>92.88</v>
      </c>
      <c r="H40" s="79">
        <v>0</v>
      </c>
      <c r="I40" s="18">
        <f>G40*AO40</f>
        <v>0</v>
      </c>
      <c r="J40" s="18">
        <f>G40*AP40</f>
        <v>0</v>
      </c>
      <c r="K40" s="18">
        <f>G40*H40</f>
        <v>0</v>
      </c>
      <c r="L40" s="29" t="s">
        <v>1127</v>
      </c>
      <c r="Z40" s="34">
        <f>IF(AQ40="5",BJ40,0)</f>
        <v>0</v>
      </c>
      <c r="AB40" s="34">
        <f>IF(AQ40="1",BH40,0)</f>
        <v>0</v>
      </c>
      <c r="AC40" s="34">
        <f>IF(AQ40="1",BI40,0)</f>
        <v>0</v>
      </c>
      <c r="AD40" s="34">
        <f>IF(AQ40="7",BH40,0)</f>
        <v>0</v>
      </c>
      <c r="AE40" s="34">
        <f>IF(AQ40="7",BI40,0)</f>
        <v>0</v>
      </c>
      <c r="AF40" s="34">
        <f>IF(AQ40="2",BH40,0)</f>
        <v>0</v>
      </c>
      <c r="AG40" s="34">
        <f>IF(AQ40="2",BI40,0)</f>
        <v>0</v>
      </c>
      <c r="AH40" s="34">
        <f>IF(AQ40="0",BJ40,0)</f>
        <v>0</v>
      </c>
      <c r="AI40" s="28" t="s">
        <v>1137</v>
      </c>
      <c r="AJ40" s="18">
        <f>IF(AN40=0,K40,0)</f>
        <v>0</v>
      </c>
      <c r="AK40" s="18">
        <f>IF(AN40=15,K40,0)</f>
        <v>0</v>
      </c>
      <c r="AL40" s="18">
        <f>IF(AN40=21,K40,0)</f>
        <v>0</v>
      </c>
      <c r="AN40" s="34">
        <v>21</v>
      </c>
      <c r="AO40" s="34">
        <f>H40*0.2089425985163</f>
        <v>0</v>
      </c>
      <c r="AP40" s="34">
        <f>H40*(1-0.2089425985163)</f>
        <v>0</v>
      </c>
      <c r="AQ40" s="29" t="s">
        <v>7</v>
      </c>
      <c r="AV40" s="34">
        <f>AW40+AX40</f>
        <v>0</v>
      </c>
      <c r="AW40" s="34">
        <f>G40*AO40</f>
        <v>0</v>
      </c>
      <c r="AX40" s="34">
        <f>G40*AP40</f>
        <v>0</v>
      </c>
      <c r="AY40" s="35" t="s">
        <v>1145</v>
      </c>
      <c r="AZ40" s="35" t="s">
        <v>1168</v>
      </c>
      <c r="BA40" s="28" t="s">
        <v>1176</v>
      </c>
      <c r="BC40" s="34">
        <f>AW40+AX40</f>
        <v>0</v>
      </c>
      <c r="BD40" s="34">
        <f>H40/(100-BE40)*100</f>
        <v>0</v>
      </c>
      <c r="BE40" s="34">
        <v>0</v>
      </c>
      <c r="BF40" s="34">
        <f>40</f>
        <v>40</v>
      </c>
      <c r="BH40" s="18">
        <f>G40*AO40</f>
        <v>0</v>
      </c>
      <c r="BI40" s="18">
        <f>G40*AP40</f>
        <v>0</v>
      </c>
      <c r="BJ40" s="18">
        <f>G40*H40</f>
        <v>0</v>
      </c>
    </row>
    <row r="41" spans="1:62" x14ac:dyDescent="0.2">
      <c r="C41" s="131" t="s">
        <v>725</v>
      </c>
      <c r="D41" s="132"/>
      <c r="E41" s="132"/>
      <c r="H41" s="80"/>
    </row>
    <row r="42" spans="1:62" x14ac:dyDescent="0.2">
      <c r="A42" s="5" t="s">
        <v>20</v>
      </c>
      <c r="B42" s="5" t="s">
        <v>379</v>
      </c>
      <c r="C42" s="135" t="s">
        <v>726</v>
      </c>
      <c r="D42" s="136"/>
      <c r="E42" s="136"/>
      <c r="F42" s="5" t="s">
        <v>1100</v>
      </c>
      <c r="G42" s="18">
        <v>130.38900000000001</v>
      </c>
      <c r="H42" s="79">
        <v>0</v>
      </c>
      <c r="I42" s="18">
        <f>G42*AO42</f>
        <v>0</v>
      </c>
      <c r="J42" s="18">
        <f>G42*AP42</f>
        <v>0</v>
      </c>
      <c r="K42" s="18">
        <f>G42*H42</f>
        <v>0</v>
      </c>
      <c r="L42" s="29" t="s">
        <v>1127</v>
      </c>
      <c r="Z42" s="34">
        <f>IF(AQ42="5",BJ42,0)</f>
        <v>0</v>
      </c>
      <c r="AB42" s="34">
        <f>IF(AQ42="1",BH42,0)</f>
        <v>0</v>
      </c>
      <c r="AC42" s="34">
        <f>IF(AQ42="1",BI42,0)</f>
        <v>0</v>
      </c>
      <c r="AD42" s="34">
        <f>IF(AQ42="7",BH42,0)</f>
        <v>0</v>
      </c>
      <c r="AE42" s="34">
        <f>IF(AQ42="7",BI42,0)</f>
        <v>0</v>
      </c>
      <c r="AF42" s="34">
        <f>IF(AQ42="2",BH42,0)</f>
        <v>0</v>
      </c>
      <c r="AG42" s="34">
        <f>IF(AQ42="2",BI42,0)</f>
        <v>0</v>
      </c>
      <c r="AH42" s="34">
        <f>IF(AQ42="0",BJ42,0)</f>
        <v>0</v>
      </c>
      <c r="AI42" s="28" t="s">
        <v>1137</v>
      </c>
      <c r="AJ42" s="18">
        <f>IF(AN42=0,K42,0)</f>
        <v>0</v>
      </c>
      <c r="AK42" s="18">
        <f>IF(AN42=15,K42,0)</f>
        <v>0</v>
      </c>
      <c r="AL42" s="18">
        <f>IF(AN42=21,K42,0)</f>
        <v>0</v>
      </c>
      <c r="AN42" s="34">
        <v>21</v>
      </c>
      <c r="AO42" s="34">
        <f>H42*0.181132070116825</f>
        <v>0</v>
      </c>
      <c r="AP42" s="34">
        <f>H42*(1-0.181132070116825)</f>
        <v>0</v>
      </c>
      <c r="AQ42" s="29" t="s">
        <v>7</v>
      </c>
      <c r="AV42" s="34">
        <f>AW42+AX42</f>
        <v>0</v>
      </c>
      <c r="AW42" s="34">
        <f>G42*AO42</f>
        <v>0</v>
      </c>
      <c r="AX42" s="34">
        <f>G42*AP42</f>
        <v>0</v>
      </c>
      <c r="AY42" s="35" t="s">
        <v>1145</v>
      </c>
      <c r="AZ42" s="35" t="s">
        <v>1168</v>
      </c>
      <c r="BA42" s="28" t="s">
        <v>1176</v>
      </c>
      <c r="BC42" s="34">
        <f>AW42+AX42</f>
        <v>0</v>
      </c>
      <c r="BD42" s="34">
        <f>H42/(100-BE42)*100</f>
        <v>0</v>
      </c>
      <c r="BE42" s="34">
        <v>0</v>
      </c>
      <c r="BF42" s="34">
        <f>42</f>
        <v>42</v>
      </c>
      <c r="BH42" s="18">
        <f>G42*AO42</f>
        <v>0</v>
      </c>
      <c r="BI42" s="18">
        <f>G42*AP42</f>
        <v>0</v>
      </c>
      <c r="BJ42" s="18">
        <f>G42*H42</f>
        <v>0</v>
      </c>
    </row>
    <row r="43" spans="1:62" x14ac:dyDescent="0.2">
      <c r="A43" s="5" t="s">
        <v>21</v>
      </c>
      <c r="B43" s="5" t="s">
        <v>380</v>
      </c>
      <c r="C43" s="135" t="s">
        <v>727</v>
      </c>
      <c r="D43" s="136"/>
      <c r="E43" s="136"/>
      <c r="F43" s="5" t="s">
        <v>1100</v>
      </c>
      <c r="G43" s="18">
        <v>90.108000000000004</v>
      </c>
      <c r="H43" s="79">
        <v>0</v>
      </c>
      <c r="I43" s="18">
        <f>G43*AO43</f>
        <v>0</v>
      </c>
      <c r="J43" s="18">
        <f>G43*AP43</f>
        <v>0</v>
      </c>
      <c r="K43" s="18">
        <f>G43*H43</f>
        <v>0</v>
      </c>
      <c r="L43" s="29" t="s">
        <v>1127</v>
      </c>
      <c r="Z43" s="34">
        <f>IF(AQ43="5",BJ43,0)</f>
        <v>0</v>
      </c>
      <c r="AB43" s="34">
        <f>IF(AQ43="1",BH43,0)</f>
        <v>0</v>
      </c>
      <c r="AC43" s="34">
        <f>IF(AQ43="1",BI43,0)</f>
        <v>0</v>
      </c>
      <c r="AD43" s="34">
        <f>IF(AQ43="7",BH43,0)</f>
        <v>0</v>
      </c>
      <c r="AE43" s="34">
        <f>IF(AQ43="7",BI43,0)</f>
        <v>0</v>
      </c>
      <c r="AF43" s="34">
        <f>IF(AQ43="2",BH43,0)</f>
        <v>0</v>
      </c>
      <c r="AG43" s="34">
        <f>IF(AQ43="2",BI43,0)</f>
        <v>0</v>
      </c>
      <c r="AH43" s="34">
        <f>IF(AQ43="0",BJ43,0)</f>
        <v>0</v>
      </c>
      <c r="AI43" s="28" t="s">
        <v>1137</v>
      </c>
      <c r="AJ43" s="18">
        <f>IF(AN43=0,K43,0)</f>
        <v>0</v>
      </c>
      <c r="AK43" s="18">
        <f>IF(AN43=15,K43,0)</f>
        <v>0</v>
      </c>
      <c r="AL43" s="18">
        <f>IF(AN43=21,K43,0)</f>
        <v>0</v>
      </c>
      <c r="AN43" s="34">
        <v>21</v>
      </c>
      <c r="AO43" s="34">
        <f>H43*0.145271758585768</f>
        <v>0</v>
      </c>
      <c r="AP43" s="34">
        <f>H43*(1-0.145271758585768)</f>
        <v>0</v>
      </c>
      <c r="AQ43" s="29" t="s">
        <v>7</v>
      </c>
      <c r="AV43" s="34">
        <f>AW43+AX43</f>
        <v>0</v>
      </c>
      <c r="AW43" s="34">
        <f>G43*AO43</f>
        <v>0</v>
      </c>
      <c r="AX43" s="34">
        <f>G43*AP43</f>
        <v>0</v>
      </c>
      <c r="AY43" s="35" t="s">
        <v>1145</v>
      </c>
      <c r="AZ43" s="35" t="s">
        <v>1168</v>
      </c>
      <c r="BA43" s="28" t="s">
        <v>1176</v>
      </c>
      <c r="BC43" s="34">
        <f>AW43+AX43</f>
        <v>0</v>
      </c>
      <c r="BD43" s="34">
        <f>H43/(100-BE43)*100</f>
        <v>0</v>
      </c>
      <c r="BE43" s="34">
        <v>0</v>
      </c>
      <c r="BF43" s="34">
        <f>43</f>
        <v>43</v>
      </c>
      <c r="BH43" s="18">
        <f>G43*AO43</f>
        <v>0</v>
      </c>
      <c r="BI43" s="18">
        <f>G43*AP43</f>
        <v>0</v>
      </c>
      <c r="BJ43" s="18">
        <f>G43*H43</f>
        <v>0</v>
      </c>
    </row>
    <row r="44" spans="1:62" x14ac:dyDescent="0.2">
      <c r="C44" s="131" t="s">
        <v>728</v>
      </c>
      <c r="D44" s="132"/>
      <c r="E44" s="132"/>
      <c r="H44" s="80"/>
    </row>
    <row r="45" spans="1:62" x14ac:dyDescent="0.2">
      <c r="A45" s="5" t="s">
        <v>22</v>
      </c>
      <c r="B45" s="5" t="s">
        <v>381</v>
      </c>
      <c r="C45" s="135" t="s">
        <v>729</v>
      </c>
      <c r="D45" s="136"/>
      <c r="E45" s="136"/>
      <c r="F45" s="5" t="s">
        <v>1100</v>
      </c>
      <c r="G45" s="18">
        <v>7.2</v>
      </c>
      <c r="H45" s="79">
        <v>0</v>
      </c>
      <c r="I45" s="18">
        <f>G45*AO45</f>
        <v>0</v>
      </c>
      <c r="J45" s="18">
        <f>G45*AP45</f>
        <v>0</v>
      </c>
      <c r="K45" s="18">
        <f>G45*H45</f>
        <v>0</v>
      </c>
      <c r="L45" s="29" t="s">
        <v>1127</v>
      </c>
      <c r="Z45" s="34">
        <f>IF(AQ45="5",BJ45,0)</f>
        <v>0</v>
      </c>
      <c r="AB45" s="34">
        <f>IF(AQ45="1",BH45,0)</f>
        <v>0</v>
      </c>
      <c r="AC45" s="34">
        <f>IF(AQ45="1",BI45,0)</f>
        <v>0</v>
      </c>
      <c r="AD45" s="34">
        <f>IF(AQ45="7",BH45,0)</f>
        <v>0</v>
      </c>
      <c r="AE45" s="34">
        <f>IF(AQ45="7",BI45,0)</f>
        <v>0</v>
      </c>
      <c r="AF45" s="34">
        <f>IF(AQ45="2",BH45,0)</f>
        <v>0</v>
      </c>
      <c r="AG45" s="34">
        <f>IF(AQ45="2",BI45,0)</f>
        <v>0</v>
      </c>
      <c r="AH45" s="34">
        <f>IF(AQ45="0",BJ45,0)</f>
        <v>0</v>
      </c>
      <c r="AI45" s="28" t="s">
        <v>1137</v>
      </c>
      <c r="AJ45" s="18">
        <f>IF(AN45=0,K45,0)</f>
        <v>0</v>
      </c>
      <c r="AK45" s="18">
        <f>IF(AN45=15,K45,0)</f>
        <v>0</v>
      </c>
      <c r="AL45" s="18">
        <f>IF(AN45=21,K45,0)</f>
        <v>0</v>
      </c>
      <c r="AN45" s="34">
        <v>21</v>
      </c>
      <c r="AO45" s="34">
        <f>H45*0.218294585090771</f>
        <v>0</v>
      </c>
      <c r="AP45" s="34">
        <f>H45*(1-0.218294585090771)</f>
        <v>0</v>
      </c>
      <c r="AQ45" s="29" t="s">
        <v>7</v>
      </c>
      <c r="AV45" s="34">
        <f>AW45+AX45</f>
        <v>0</v>
      </c>
      <c r="AW45" s="34">
        <f>G45*AO45</f>
        <v>0</v>
      </c>
      <c r="AX45" s="34">
        <f>G45*AP45</f>
        <v>0</v>
      </c>
      <c r="AY45" s="35" t="s">
        <v>1145</v>
      </c>
      <c r="AZ45" s="35" t="s">
        <v>1168</v>
      </c>
      <c r="BA45" s="28" t="s">
        <v>1176</v>
      </c>
      <c r="BC45" s="34">
        <f>AW45+AX45</f>
        <v>0</v>
      </c>
      <c r="BD45" s="34">
        <f>H45/(100-BE45)*100</f>
        <v>0</v>
      </c>
      <c r="BE45" s="34">
        <v>0</v>
      </c>
      <c r="BF45" s="34">
        <f>45</f>
        <v>45</v>
      </c>
      <c r="BH45" s="18">
        <f>G45*AO45</f>
        <v>0</v>
      </c>
      <c r="BI45" s="18">
        <f>G45*AP45</f>
        <v>0</v>
      </c>
      <c r="BJ45" s="18">
        <f>G45*H45</f>
        <v>0</v>
      </c>
    </row>
    <row r="46" spans="1:62" x14ac:dyDescent="0.2">
      <c r="A46" s="5" t="s">
        <v>23</v>
      </c>
      <c r="B46" s="5" t="s">
        <v>382</v>
      </c>
      <c r="C46" s="135" t="s">
        <v>730</v>
      </c>
      <c r="D46" s="136"/>
      <c r="E46" s="136"/>
      <c r="F46" s="5" t="s">
        <v>1100</v>
      </c>
      <c r="G46" s="18">
        <v>90.108000000000004</v>
      </c>
      <c r="H46" s="79">
        <v>0</v>
      </c>
      <c r="I46" s="18">
        <f>G46*AO46</f>
        <v>0</v>
      </c>
      <c r="J46" s="18">
        <f>G46*AP46</f>
        <v>0</v>
      </c>
      <c r="K46" s="18">
        <f>G46*H46</f>
        <v>0</v>
      </c>
      <c r="L46" s="29" t="s">
        <v>1127</v>
      </c>
      <c r="Z46" s="34">
        <f>IF(AQ46="5",BJ46,0)</f>
        <v>0</v>
      </c>
      <c r="AB46" s="34">
        <f>IF(AQ46="1",BH46,0)</f>
        <v>0</v>
      </c>
      <c r="AC46" s="34">
        <f>IF(AQ46="1",BI46,0)</f>
        <v>0</v>
      </c>
      <c r="AD46" s="34">
        <f>IF(AQ46="7",BH46,0)</f>
        <v>0</v>
      </c>
      <c r="AE46" s="34">
        <f>IF(AQ46="7",BI46,0)</f>
        <v>0</v>
      </c>
      <c r="AF46" s="34">
        <f>IF(AQ46="2",BH46,0)</f>
        <v>0</v>
      </c>
      <c r="AG46" s="34">
        <f>IF(AQ46="2",BI46,0)</f>
        <v>0</v>
      </c>
      <c r="AH46" s="34">
        <f>IF(AQ46="0",BJ46,0)</f>
        <v>0</v>
      </c>
      <c r="AI46" s="28" t="s">
        <v>1137</v>
      </c>
      <c r="AJ46" s="18">
        <f>IF(AN46=0,K46,0)</f>
        <v>0</v>
      </c>
      <c r="AK46" s="18">
        <f>IF(AN46=15,K46,0)</f>
        <v>0</v>
      </c>
      <c r="AL46" s="18">
        <f>IF(AN46=21,K46,0)</f>
        <v>0</v>
      </c>
      <c r="AN46" s="34">
        <v>21</v>
      </c>
      <c r="AO46" s="34">
        <f>H46*0.185568093905928</f>
        <v>0</v>
      </c>
      <c r="AP46" s="34">
        <f>H46*(1-0.185568093905928)</f>
        <v>0</v>
      </c>
      <c r="AQ46" s="29" t="s">
        <v>7</v>
      </c>
      <c r="AV46" s="34">
        <f>AW46+AX46</f>
        <v>0</v>
      </c>
      <c r="AW46" s="34">
        <f>G46*AO46</f>
        <v>0</v>
      </c>
      <c r="AX46" s="34">
        <f>G46*AP46</f>
        <v>0</v>
      </c>
      <c r="AY46" s="35" t="s">
        <v>1145</v>
      </c>
      <c r="AZ46" s="35" t="s">
        <v>1168</v>
      </c>
      <c r="BA46" s="28" t="s">
        <v>1176</v>
      </c>
      <c r="BC46" s="34">
        <f>AW46+AX46</f>
        <v>0</v>
      </c>
      <c r="BD46" s="34">
        <f>H46/(100-BE46)*100</f>
        <v>0</v>
      </c>
      <c r="BE46" s="34">
        <v>0</v>
      </c>
      <c r="BF46" s="34">
        <f>46</f>
        <v>46</v>
      </c>
      <c r="BH46" s="18">
        <f>G46*AO46</f>
        <v>0</v>
      </c>
      <c r="BI46" s="18">
        <f>G46*AP46</f>
        <v>0</v>
      </c>
      <c r="BJ46" s="18">
        <f>G46*H46</f>
        <v>0</v>
      </c>
    </row>
    <row r="47" spans="1:62" x14ac:dyDescent="0.2">
      <c r="A47" s="5" t="s">
        <v>24</v>
      </c>
      <c r="B47" s="5" t="s">
        <v>383</v>
      </c>
      <c r="C47" s="135" t="s">
        <v>731</v>
      </c>
      <c r="D47" s="136"/>
      <c r="E47" s="136"/>
      <c r="F47" s="5" t="s">
        <v>1101</v>
      </c>
      <c r="G47" s="18">
        <v>52.8</v>
      </c>
      <c r="H47" s="79">
        <v>0</v>
      </c>
      <c r="I47" s="18">
        <f>G47*AO47</f>
        <v>0</v>
      </c>
      <c r="J47" s="18">
        <f>G47*AP47</f>
        <v>0</v>
      </c>
      <c r="K47" s="18">
        <f>G47*H47</f>
        <v>0</v>
      </c>
      <c r="L47" s="29" t="s">
        <v>1127</v>
      </c>
      <c r="Z47" s="34">
        <f>IF(AQ47="5",BJ47,0)</f>
        <v>0</v>
      </c>
      <c r="AB47" s="34">
        <f>IF(AQ47="1",BH47,0)</f>
        <v>0</v>
      </c>
      <c r="AC47" s="34">
        <f>IF(AQ47="1",BI47,0)</f>
        <v>0</v>
      </c>
      <c r="AD47" s="34">
        <f>IF(AQ47="7",BH47,0)</f>
        <v>0</v>
      </c>
      <c r="AE47" s="34">
        <f>IF(AQ47="7",BI47,0)</f>
        <v>0</v>
      </c>
      <c r="AF47" s="34">
        <f>IF(AQ47="2",BH47,0)</f>
        <v>0</v>
      </c>
      <c r="AG47" s="34">
        <f>IF(AQ47="2",BI47,0)</f>
        <v>0</v>
      </c>
      <c r="AH47" s="34">
        <f>IF(AQ47="0",BJ47,0)</f>
        <v>0</v>
      </c>
      <c r="AI47" s="28" t="s">
        <v>1137</v>
      </c>
      <c r="AJ47" s="18">
        <f>IF(AN47=0,K47,0)</f>
        <v>0</v>
      </c>
      <c r="AK47" s="18">
        <f>IF(AN47=15,K47,0)</f>
        <v>0</v>
      </c>
      <c r="AL47" s="18">
        <f>IF(AN47=21,K47,0)</f>
        <v>0</v>
      </c>
      <c r="AN47" s="34">
        <v>21</v>
      </c>
      <c r="AO47" s="34">
        <f>H47*0.999999479043211</f>
        <v>0</v>
      </c>
      <c r="AP47" s="34">
        <f>H47*(1-0.999999479043211)</f>
        <v>0</v>
      </c>
      <c r="AQ47" s="29" t="s">
        <v>7</v>
      </c>
      <c r="AV47" s="34">
        <f>AW47+AX47</f>
        <v>0</v>
      </c>
      <c r="AW47" s="34">
        <f>G47*AO47</f>
        <v>0</v>
      </c>
      <c r="AX47" s="34">
        <f>G47*AP47</f>
        <v>0</v>
      </c>
      <c r="AY47" s="35" t="s">
        <v>1145</v>
      </c>
      <c r="AZ47" s="35" t="s">
        <v>1168</v>
      </c>
      <c r="BA47" s="28" t="s">
        <v>1176</v>
      </c>
      <c r="BC47" s="34">
        <f>AW47+AX47</f>
        <v>0</v>
      </c>
      <c r="BD47" s="34">
        <f>H47/(100-BE47)*100</f>
        <v>0</v>
      </c>
      <c r="BE47" s="34">
        <v>0</v>
      </c>
      <c r="BF47" s="34">
        <f>47</f>
        <v>47</v>
      </c>
      <c r="BH47" s="18">
        <f>G47*AO47</f>
        <v>0</v>
      </c>
      <c r="BI47" s="18">
        <f>G47*AP47</f>
        <v>0</v>
      </c>
      <c r="BJ47" s="18">
        <f>G47*H47</f>
        <v>0</v>
      </c>
    </row>
    <row r="48" spans="1:62" x14ac:dyDescent="0.2">
      <c r="A48" s="4"/>
      <c r="B48" s="14" t="s">
        <v>97</v>
      </c>
      <c r="C48" s="133" t="s">
        <v>732</v>
      </c>
      <c r="D48" s="134"/>
      <c r="E48" s="134"/>
      <c r="F48" s="4" t="s">
        <v>6</v>
      </c>
      <c r="G48" s="4" t="s">
        <v>6</v>
      </c>
      <c r="H48" s="4" t="s">
        <v>6</v>
      </c>
      <c r="I48" s="37">
        <f>SUM(I49:I51)</f>
        <v>0</v>
      </c>
      <c r="J48" s="37">
        <f>SUM(J49:J51)</f>
        <v>0</v>
      </c>
      <c r="K48" s="37">
        <f>SUM(K49:K51)</f>
        <v>0</v>
      </c>
      <c r="L48" s="28"/>
      <c r="AI48" s="28" t="s">
        <v>1137</v>
      </c>
      <c r="AS48" s="37">
        <f>SUM(AJ49:AJ51)</f>
        <v>0</v>
      </c>
      <c r="AT48" s="37">
        <f>SUM(AK49:AK51)</f>
        <v>0</v>
      </c>
      <c r="AU48" s="37">
        <f>SUM(AL49:AL51)</f>
        <v>0</v>
      </c>
    </row>
    <row r="49" spans="1:62" x14ac:dyDescent="0.2">
      <c r="A49" s="5" t="s">
        <v>25</v>
      </c>
      <c r="B49" s="5" t="s">
        <v>384</v>
      </c>
      <c r="C49" s="135" t="s">
        <v>733</v>
      </c>
      <c r="D49" s="136"/>
      <c r="E49" s="136"/>
      <c r="F49" s="5" t="s">
        <v>1100</v>
      </c>
      <c r="G49" s="18">
        <v>13.9</v>
      </c>
      <c r="H49" s="79">
        <v>0</v>
      </c>
      <c r="I49" s="18">
        <f>G49*AO49</f>
        <v>0</v>
      </c>
      <c r="J49" s="18">
        <f>G49*AP49</f>
        <v>0</v>
      </c>
      <c r="K49" s="18">
        <f>G49*H49</f>
        <v>0</v>
      </c>
      <c r="L49" s="29" t="s">
        <v>1127</v>
      </c>
      <c r="Z49" s="34">
        <f>IF(AQ49="5",BJ49,0)</f>
        <v>0</v>
      </c>
      <c r="AB49" s="34">
        <f>IF(AQ49="1",BH49,0)</f>
        <v>0</v>
      </c>
      <c r="AC49" s="34">
        <f>IF(AQ49="1",BI49,0)</f>
        <v>0</v>
      </c>
      <c r="AD49" s="34">
        <f>IF(AQ49="7",BH49,0)</f>
        <v>0</v>
      </c>
      <c r="AE49" s="34">
        <f>IF(AQ49="7",BI49,0)</f>
        <v>0</v>
      </c>
      <c r="AF49" s="34">
        <f>IF(AQ49="2",BH49,0)</f>
        <v>0</v>
      </c>
      <c r="AG49" s="34">
        <f>IF(AQ49="2",BI49,0)</f>
        <v>0</v>
      </c>
      <c r="AH49" s="34">
        <f>IF(AQ49="0",BJ49,0)</f>
        <v>0</v>
      </c>
      <c r="AI49" s="28" t="s">
        <v>1137</v>
      </c>
      <c r="AJ49" s="18">
        <f>IF(AN49=0,K49,0)</f>
        <v>0</v>
      </c>
      <c r="AK49" s="18">
        <f>IF(AN49=15,K49,0)</f>
        <v>0</v>
      </c>
      <c r="AL49" s="18">
        <f>IF(AN49=21,K49,0)</f>
        <v>0</v>
      </c>
      <c r="AN49" s="34">
        <v>21</v>
      </c>
      <c r="AO49" s="34">
        <f>H49*0.746526151444184</f>
        <v>0</v>
      </c>
      <c r="AP49" s="34">
        <f>H49*(1-0.746526151444184)</f>
        <v>0</v>
      </c>
      <c r="AQ49" s="29" t="s">
        <v>7</v>
      </c>
      <c r="AV49" s="34">
        <f>AW49+AX49</f>
        <v>0</v>
      </c>
      <c r="AW49" s="34">
        <f>G49*AO49</f>
        <v>0</v>
      </c>
      <c r="AX49" s="34">
        <f>G49*AP49</f>
        <v>0</v>
      </c>
      <c r="AY49" s="35" t="s">
        <v>1146</v>
      </c>
      <c r="AZ49" s="35" t="s">
        <v>1169</v>
      </c>
      <c r="BA49" s="28" t="s">
        <v>1176</v>
      </c>
      <c r="BC49" s="34">
        <f>AW49+AX49</f>
        <v>0</v>
      </c>
      <c r="BD49" s="34">
        <f>H49/(100-BE49)*100</f>
        <v>0</v>
      </c>
      <c r="BE49" s="34">
        <v>0</v>
      </c>
      <c r="BF49" s="34">
        <f>49</f>
        <v>49</v>
      </c>
      <c r="BH49" s="18">
        <f>G49*AO49</f>
        <v>0</v>
      </c>
      <c r="BI49" s="18">
        <f>G49*AP49</f>
        <v>0</v>
      </c>
      <c r="BJ49" s="18">
        <f>G49*H49</f>
        <v>0</v>
      </c>
    </row>
    <row r="50" spans="1:62" x14ac:dyDescent="0.2">
      <c r="C50" s="131" t="s">
        <v>734</v>
      </c>
      <c r="D50" s="132"/>
      <c r="E50" s="132"/>
      <c r="H50" s="80"/>
    </row>
    <row r="51" spans="1:62" x14ac:dyDescent="0.2">
      <c r="A51" s="5" t="s">
        <v>26</v>
      </c>
      <c r="B51" s="5" t="s">
        <v>385</v>
      </c>
      <c r="C51" s="135" t="s">
        <v>735</v>
      </c>
      <c r="D51" s="136"/>
      <c r="E51" s="136"/>
      <c r="F51" s="5" t="s">
        <v>1101</v>
      </c>
      <c r="G51" s="18">
        <v>57.6</v>
      </c>
      <c r="H51" s="79">
        <v>0</v>
      </c>
      <c r="I51" s="18">
        <f>G51*AO51</f>
        <v>0</v>
      </c>
      <c r="J51" s="18">
        <f>G51*AP51</f>
        <v>0</v>
      </c>
      <c r="K51" s="18">
        <f>G51*H51</f>
        <v>0</v>
      </c>
      <c r="L51" s="29" t="s">
        <v>1127</v>
      </c>
      <c r="Z51" s="34">
        <f>IF(AQ51="5",BJ51,0)</f>
        <v>0</v>
      </c>
      <c r="AB51" s="34">
        <f>IF(AQ51="1",BH51,0)</f>
        <v>0</v>
      </c>
      <c r="AC51" s="34">
        <f>IF(AQ51="1",BI51,0)</f>
        <v>0</v>
      </c>
      <c r="AD51" s="34">
        <f>IF(AQ51="7",BH51,0)</f>
        <v>0</v>
      </c>
      <c r="AE51" s="34">
        <f>IF(AQ51="7",BI51,0)</f>
        <v>0</v>
      </c>
      <c r="AF51" s="34">
        <f>IF(AQ51="2",BH51,0)</f>
        <v>0</v>
      </c>
      <c r="AG51" s="34">
        <f>IF(AQ51="2",BI51,0)</f>
        <v>0</v>
      </c>
      <c r="AH51" s="34">
        <f>IF(AQ51="0",BJ51,0)</f>
        <v>0</v>
      </c>
      <c r="AI51" s="28" t="s">
        <v>1137</v>
      </c>
      <c r="AJ51" s="18">
        <f>IF(AN51=0,K51,0)</f>
        <v>0</v>
      </c>
      <c r="AK51" s="18">
        <f>IF(AN51=15,K51,0)</f>
        <v>0</v>
      </c>
      <c r="AL51" s="18">
        <f>IF(AN51=21,K51,0)</f>
        <v>0</v>
      </c>
      <c r="AN51" s="34">
        <v>21</v>
      </c>
      <c r="AO51" s="34">
        <f>H51*0.631205673758865</f>
        <v>0</v>
      </c>
      <c r="AP51" s="34">
        <f>H51*(1-0.631205673758865)</f>
        <v>0</v>
      </c>
      <c r="AQ51" s="29" t="s">
        <v>7</v>
      </c>
      <c r="AV51" s="34">
        <f>AW51+AX51</f>
        <v>0</v>
      </c>
      <c r="AW51" s="34">
        <f>G51*AO51</f>
        <v>0</v>
      </c>
      <c r="AX51" s="34">
        <f>G51*AP51</f>
        <v>0</v>
      </c>
      <c r="AY51" s="35" t="s">
        <v>1146</v>
      </c>
      <c r="AZ51" s="35" t="s">
        <v>1169</v>
      </c>
      <c r="BA51" s="28" t="s">
        <v>1176</v>
      </c>
      <c r="BC51" s="34">
        <f>AW51+AX51</f>
        <v>0</v>
      </c>
      <c r="BD51" s="34">
        <f>H51/(100-BE51)*100</f>
        <v>0</v>
      </c>
      <c r="BE51" s="34">
        <v>0</v>
      </c>
      <c r="BF51" s="34">
        <f>51</f>
        <v>51</v>
      </c>
      <c r="BH51" s="18">
        <f>G51*AO51</f>
        <v>0</v>
      </c>
      <c r="BI51" s="18">
        <f>G51*AP51</f>
        <v>0</v>
      </c>
      <c r="BJ51" s="18">
        <f>G51*H51</f>
        <v>0</v>
      </c>
    </row>
    <row r="52" spans="1:62" x14ac:dyDescent="0.2">
      <c r="C52" s="131" t="s">
        <v>736</v>
      </c>
      <c r="D52" s="132"/>
      <c r="E52" s="132"/>
    </row>
    <row r="53" spans="1:62" x14ac:dyDescent="0.2">
      <c r="A53" s="4"/>
      <c r="B53" s="14" t="s">
        <v>100</v>
      </c>
      <c r="C53" s="133" t="s">
        <v>737</v>
      </c>
      <c r="D53" s="134"/>
      <c r="E53" s="134"/>
      <c r="F53" s="4" t="s">
        <v>6</v>
      </c>
      <c r="G53" s="4" t="s">
        <v>6</v>
      </c>
      <c r="H53" s="4" t="s">
        <v>6</v>
      </c>
      <c r="I53" s="37">
        <f>SUM(I54:I54)</f>
        <v>0</v>
      </c>
      <c r="J53" s="37">
        <f>SUM(J54:J54)</f>
        <v>0</v>
      </c>
      <c r="K53" s="37">
        <f>SUM(K54:K54)</f>
        <v>0</v>
      </c>
      <c r="L53" s="28"/>
      <c r="AI53" s="28" t="s">
        <v>1137</v>
      </c>
      <c r="AS53" s="37">
        <f>SUM(AJ54:AJ54)</f>
        <v>0</v>
      </c>
      <c r="AT53" s="37">
        <f>SUM(AK54:AK54)</f>
        <v>0</v>
      </c>
      <c r="AU53" s="37">
        <f>SUM(AL54:AL54)</f>
        <v>0</v>
      </c>
    </row>
    <row r="54" spans="1:62" x14ac:dyDescent="0.2">
      <c r="A54" s="5" t="s">
        <v>27</v>
      </c>
      <c r="B54" s="5" t="s">
        <v>386</v>
      </c>
      <c r="C54" s="135" t="s">
        <v>738</v>
      </c>
      <c r="D54" s="136"/>
      <c r="E54" s="136"/>
      <c r="F54" s="5" t="s">
        <v>1100</v>
      </c>
      <c r="G54" s="18">
        <v>110</v>
      </c>
      <c r="H54" s="79">
        <v>0</v>
      </c>
      <c r="I54" s="18">
        <f>G54*AO54</f>
        <v>0</v>
      </c>
      <c r="J54" s="18">
        <f>G54*AP54</f>
        <v>0</v>
      </c>
      <c r="K54" s="18">
        <f>G54*H54</f>
        <v>0</v>
      </c>
      <c r="L54" s="29" t="s">
        <v>1127</v>
      </c>
      <c r="Z54" s="34">
        <f>IF(AQ54="5",BJ54,0)</f>
        <v>0</v>
      </c>
      <c r="AB54" s="34">
        <f>IF(AQ54="1",BH54,0)</f>
        <v>0</v>
      </c>
      <c r="AC54" s="34">
        <f>IF(AQ54="1",BI54,0)</f>
        <v>0</v>
      </c>
      <c r="AD54" s="34">
        <f>IF(AQ54="7",BH54,0)</f>
        <v>0</v>
      </c>
      <c r="AE54" s="34">
        <f>IF(AQ54="7",BI54,0)</f>
        <v>0</v>
      </c>
      <c r="AF54" s="34">
        <f>IF(AQ54="2",BH54,0)</f>
        <v>0</v>
      </c>
      <c r="AG54" s="34">
        <f>IF(AQ54="2",BI54,0)</f>
        <v>0</v>
      </c>
      <c r="AH54" s="34">
        <f>IF(AQ54="0",BJ54,0)</f>
        <v>0</v>
      </c>
      <c r="AI54" s="28" t="s">
        <v>1137</v>
      </c>
      <c r="AJ54" s="18">
        <f>IF(AN54=0,K54,0)</f>
        <v>0</v>
      </c>
      <c r="AK54" s="18">
        <f>IF(AN54=15,K54,0)</f>
        <v>0</v>
      </c>
      <c r="AL54" s="18">
        <f>IF(AN54=21,K54,0)</f>
        <v>0</v>
      </c>
      <c r="AN54" s="34">
        <v>21</v>
      </c>
      <c r="AO54" s="34">
        <f>H54*0.35578947368421</f>
        <v>0</v>
      </c>
      <c r="AP54" s="34">
        <f>H54*(1-0.35578947368421)</f>
        <v>0</v>
      </c>
      <c r="AQ54" s="29" t="s">
        <v>7</v>
      </c>
      <c r="AV54" s="34">
        <f>AW54+AX54</f>
        <v>0</v>
      </c>
      <c r="AW54" s="34">
        <f>G54*AO54</f>
        <v>0</v>
      </c>
      <c r="AX54" s="34">
        <f>G54*AP54</f>
        <v>0</v>
      </c>
      <c r="AY54" s="35" t="s">
        <v>1147</v>
      </c>
      <c r="AZ54" s="35" t="s">
        <v>1169</v>
      </c>
      <c r="BA54" s="28" t="s">
        <v>1176</v>
      </c>
      <c r="BC54" s="34">
        <f>AW54+AX54</f>
        <v>0</v>
      </c>
      <c r="BD54" s="34">
        <f>H54/(100-BE54)*100</f>
        <v>0</v>
      </c>
      <c r="BE54" s="34">
        <v>0</v>
      </c>
      <c r="BF54" s="34">
        <f>54</f>
        <v>54</v>
      </c>
      <c r="BH54" s="18">
        <f>G54*AO54</f>
        <v>0</v>
      </c>
      <c r="BI54" s="18">
        <f>G54*AP54</f>
        <v>0</v>
      </c>
      <c r="BJ54" s="18">
        <f>G54*H54</f>
        <v>0</v>
      </c>
    </row>
    <row r="55" spans="1:62" x14ac:dyDescent="0.2">
      <c r="A55" s="4"/>
      <c r="B55" s="14" t="s">
        <v>101</v>
      </c>
      <c r="C55" s="133" t="s">
        <v>739</v>
      </c>
      <c r="D55" s="134"/>
      <c r="E55" s="134"/>
      <c r="F55" s="4" t="s">
        <v>6</v>
      </c>
      <c r="G55" s="4" t="s">
        <v>6</v>
      </c>
      <c r="H55" s="4" t="s">
        <v>6</v>
      </c>
      <c r="I55" s="37">
        <f>SUM(I56:I56)</f>
        <v>0</v>
      </c>
      <c r="J55" s="37">
        <f>SUM(J56:J56)</f>
        <v>0</v>
      </c>
      <c r="K55" s="37">
        <f>SUM(K56:K56)</f>
        <v>0</v>
      </c>
      <c r="L55" s="28"/>
      <c r="AI55" s="28" t="s">
        <v>1137</v>
      </c>
      <c r="AS55" s="37">
        <f>SUM(AJ56:AJ56)</f>
        <v>0</v>
      </c>
      <c r="AT55" s="37">
        <f>SUM(AK56:AK56)</f>
        <v>0</v>
      </c>
      <c r="AU55" s="37">
        <f>SUM(AL56:AL56)</f>
        <v>0</v>
      </c>
    </row>
    <row r="56" spans="1:62" x14ac:dyDescent="0.2">
      <c r="A56" s="5" t="s">
        <v>28</v>
      </c>
      <c r="B56" s="5" t="s">
        <v>387</v>
      </c>
      <c r="C56" s="135" t="s">
        <v>740</v>
      </c>
      <c r="D56" s="136"/>
      <c r="E56" s="136"/>
      <c r="F56" s="5" t="s">
        <v>1100</v>
      </c>
      <c r="G56" s="18">
        <v>105.46</v>
      </c>
      <c r="H56" s="79">
        <v>0</v>
      </c>
      <c r="I56" s="18">
        <f>G56*AO56</f>
        <v>0</v>
      </c>
      <c r="J56" s="18">
        <f>G56*AP56</f>
        <v>0</v>
      </c>
      <c r="K56" s="18">
        <f>G56*H56</f>
        <v>0</v>
      </c>
      <c r="L56" s="29" t="s">
        <v>1127</v>
      </c>
      <c r="Z56" s="34">
        <f>IF(AQ56="5",BJ56,0)</f>
        <v>0</v>
      </c>
      <c r="AB56" s="34">
        <f>IF(AQ56="1",BH56,0)</f>
        <v>0</v>
      </c>
      <c r="AC56" s="34">
        <f>IF(AQ56="1",BI56,0)</f>
        <v>0</v>
      </c>
      <c r="AD56" s="34">
        <f>IF(AQ56="7",BH56,0)</f>
        <v>0</v>
      </c>
      <c r="AE56" s="34">
        <f>IF(AQ56="7",BI56,0)</f>
        <v>0</v>
      </c>
      <c r="AF56" s="34">
        <f>IF(AQ56="2",BH56,0)</f>
        <v>0</v>
      </c>
      <c r="AG56" s="34">
        <f>IF(AQ56="2",BI56,0)</f>
        <v>0</v>
      </c>
      <c r="AH56" s="34">
        <f>IF(AQ56="0",BJ56,0)</f>
        <v>0</v>
      </c>
      <c r="AI56" s="28" t="s">
        <v>1137</v>
      </c>
      <c r="AJ56" s="18">
        <f>IF(AN56=0,K56,0)</f>
        <v>0</v>
      </c>
      <c r="AK56" s="18">
        <f>IF(AN56=15,K56,0)</f>
        <v>0</v>
      </c>
      <c r="AL56" s="18">
        <f>IF(AN56=21,K56,0)</f>
        <v>0</v>
      </c>
      <c r="AN56" s="34">
        <v>21</v>
      </c>
      <c r="AO56" s="34">
        <f>H56*0.0123809523809524</f>
        <v>0</v>
      </c>
      <c r="AP56" s="34">
        <f>H56*(1-0.0123809523809524)</f>
        <v>0</v>
      </c>
      <c r="AQ56" s="29" t="s">
        <v>7</v>
      </c>
      <c r="AV56" s="34">
        <f>AW56+AX56</f>
        <v>0</v>
      </c>
      <c r="AW56" s="34">
        <f>G56*AO56</f>
        <v>0</v>
      </c>
      <c r="AX56" s="34">
        <f>G56*AP56</f>
        <v>0</v>
      </c>
      <c r="AY56" s="35" t="s">
        <v>1148</v>
      </c>
      <c r="AZ56" s="35" t="s">
        <v>1169</v>
      </c>
      <c r="BA56" s="28" t="s">
        <v>1176</v>
      </c>
      <c r="BC56" s="34">
        <f>AW56+AX56</f>
        <v>0</v>
      </c>
      <c r="BD56" s="34">
        <f>H56/(100-BE56)*100</f>
        <v>0</v>
      </c>
      <c r="BE56" s="34">
        <v>0</v>
      </c>
      <c r="BF56" s="34">
        <f>56</f>
        <v>56</v>
      </c>
      <c r="BH56" s="18">
        <f>G56*AO56</f>
        <v>0</v>
      </c>
      <c r="BI56" s="18">
        <f>G56*AP56</f>
        <v>0</v>
      </c>
      <c r="BJ56" s="18">
        <f>G56*H56</f>
        <v>0</v>
      </c>
    </row>
    <row r="57" spans="1:62" x14ac:dyDescent="0.2">
      <c r="A57" s="4"/>
      <c r="B57" s="14" t="s">
        <v>102</v>
      </c>
      <c r="C57" s="133" t="s">
        <v>741</v>
      </c>
      <c r="D57" s="134"/>
      <c r="E57" s="134"/>
      <c r="F57" s="4" t="s">
        <v>6</v>
      </c>
      <c r="G57" s="4" t="s">
        <v>6</v>
      </c>
      <c r="H57" s="4" t="s">
        <v>6</v>
      </c>
      <c r="I57" s="37">
        <f>SUM(I58:I77)</f>
        <v>0</v>
      </c>
      <c r="J57" s="37">
        <f>SUM(J58:J77)</f>
        <v>0</v>
      </c>
      <c r="K57" s="37">
        <f>SUM(K58:K77)</f>
        <v>0</v>
      </c>
      <c r="L57" s="28"/>
      <c r="AI57" s="28" t="s">
        <v>1137</v>
      </c>
      <c r="AS57" s="37">
        <f>SUM(AJ58:AJ77)</f>
        <v>0</v>
      </c>
      <c r="AT57" s="37">
        <f>SUM(AK58:AK77)</f>
        <v>0</v>
      </c>
      <c r="AU57" s="37">
        <f>SUM(AL58:AL77)</f>
        <v>0</v>
      </c>
    </row>
    <row r="58" spans="1:62" x14ac:dyDescent="0.2">
      <c r="A58" s="5" t="s">
        <v>29</v>
      </c>
      <c r="B58" s="5" t="s">
        <v>388</v>
      </c>
      <c r="C58" s="135" t="s">
        <v>742</v>
      </c>
      <c r="D58" s="136"/>
      <c r="E58" s="136"/>
      <c r="F58" s="5" t="s">
        <v>1100</v>
      </c>
      <c r="G58" s="18">
        <v>186.09800000000001</v>
      </c>
      <c r="H58" s="79">
        <v>0</v>
      </c>
      <c r="I58" s="18">
        <f>G58*AO58</f>
        <v>0</v>
      </c>
      <c r="J58" s="18">
        <f>G58*AP58</f>
        <v>0</v>
      </c>
      <c r="K58" s="18">
        <f>G58*H58</f>
        <v>0</v>
      </c>
      <c r="L58" s="29" t="s">
        <v>1127</v>
      </c>
      <c r="Z58" s="34">
        <f>IF(AQ58="5",BJ58,0)</f>
        <v>0</v>
      </c>
      <c r="AB58" s="34">
        <f>IF(AQ58="1",BH58,0)</f>
        <v>0</v>
      </c>
      <c r="AC58" s="34">
        <f>IF(AQ58="1",BI58,0)</f>
        <v>0</v>
      </c>
      <c r="AD58" s="34">
        <f>IF(AQ58="7",BH58,0)</f>
        <v>0</v>
      </c>
      <c r="AE58" s="34">
        <f>IF(AQ58="7",BI58,0)</f>
        <v>0</v>
      </c>
      <c r="AF58" s="34">
        <f>IF(AQ58="2",BH58,0)</f>
        <v>0</v>
      </c>
      <c r="AG58" s="34">
        <f>IF(AQ58="2",BI58,0)</f>
        <v>0</v>
      </c>
      <c r="AH58" s="34">
        <f>IF(AQ58="0",BJ58,0)</f>
        <v>0</v>
      </c>
      <c r="AI58" s="28" t="s">
        <v>1137</v>
      </c>
      <c r="AJ58" s="18">
        <f>IF(AN58=0,K58,0)</f>
        <v>0</v>
      </c>
      <c r="AK58" s="18">
        <f>IF(AN58=15,K58,0)</f>
        <v>0</v>
      </c>
      <c r="AL58" s="18">
        <f>IF(AN58=21,K58,0)</f>
        <v>0</v>
      </c>
      <c r="AN58" s="34">
        <v>21</v>
      </c>
      <c r="AO58" s="34">
        <f>H58*0.132</f>
        <v>0</v>
      </c>
      <c r="AP58" s="34">
        <f>H58*(1-0.132)</f>
        <v>0</v>
      </c>
      <c r="AQ58" s="29" t="s">
        <v>7</v>
      </c>
      <c r="AV58" s="34">
        <f>AW58+AX58</f>
        <v>0</v>
      </c>
      <c r="AW58" s="34">
        <f>G58*AO58</f>
        <v>0</v>
      </c>
      <c r="AX58" s="34">
        <f>G58*AP58</f>
        <v>0</v>
      </c>
      <c r="AY58" s="35" t="s">
        <v>1149</v>
      </c>
      <c r="AZ58" s="35" t="s">
        <v>1169</v>
      </c>
      <c r="BA58" s="28" t="s">
        <v>1176</v>
      </c>
      <c r="BC58" s="34">
        <f>AW58+AX58</f>
        <v>0</v>
      </c>
      <c r="BD58" s="34">
        <f>H58/(100-BE58)*100</f>
        <v>0</v>
      </c>
      <c r="BE58" s="34">
        <v>0</v>
      </c>
      <c r="BF58" s="34">
        <f>58</f>
        <v>58</v>
      </c>
      <c r="BH58" s="18">
        <f>G58*AO58</f>
        <v>0</v>
      </c>
      <c r="BI58" s="18">
        <f>G58*AP58</f>
        <v>0</v>
      </c>
      <c r="BJ58" s="18">
        <f>G58*H58</f>
        <v>0</v>
      </c>
    </row>
    <row r="59" spans="1:62" x14ac:dyDescent="0.2">
      <c r="C59" s="131" t="s">
        <v>743</v>
      </c>
      <c r="D59" s="132"/>
      <c r="E59" s="132"/>
      <c r="H59" s="80"/>
    </row>
    <row r="60" spans="1:62" x14ac:dyDescent="0.2">
      <c r="A60" s="5" t="s">
        <v>30</v>
      </c>
      <c r="B60" s="5" t="s">
        <v>389</v>
      </c>
      <c r="C60" s="135" t="s">
        <v>744</v>
      </c>
      <c r="D60" s="136"/>
      <c r="E60" s="136"/>
      <c r="F60" s="5" t="s">
        <v>1100</v>
      </c>
      <c r="G60" s="18">
        <v>20.79</v>
      </c>
      <c r="H60" s="79">
        <v>0</v>
      </c>
      <c r="I60" s="18">
        <f>G60*AO60</f>
        <v>0</v>
      </c>
      <c r="J60" s="18">
        <f>G60*AP60</f>
        <v>0</v>
      </c>
      <c r="K60" s="18">
        <f>G60*H60</f>
        <v>0</v>
      </c>
      <c r="L60" s="29" t="s">
        <v>1127</v>
      </c>
      <c r="Z60" s="34">
        <f>IF(AQ60="5",BJ60,0)</f>
        <v>0</v>
      </c>
      <c r="AB60" s="34">
        <f>IF(AQ60="1",BH60,0)</f>
        <v>0</v>
      </c>
      <c r="AC60" s="34">
        <f>IF(AQ60="1",BI60,0)</f>
        <v>0</v>
      </c>
      <c r="AD60" s="34">
        <f>IF(AQ60="7",BH60,0)</f>
        <v>0</v>
      </c>
      <c r="AE60" s="34">
        <f>IF(AQ60="7",BI60,0)</f>
        <v>0</v>
      </c>
      <c r="AF60" s="34">
        <f>IF(AQ60="2",BH60,0)</f>
        <v>0</v>
      </c>
      <c r="AG60" s="34">
        <f>IF(AQ60="2",BI60,0)</f>
        <v>0</v>
      </c>
      <c r="AH60" s="34">
        <f>IF(AQ60="0",BJ60,0)</f>
        <v>0</v>
      </c>
      <c r="AI60" s="28" t="s">
        <v>1137</v>
      </c>
      <c r="AJ60" s="18">
        <f>IF(AN60=0,K60,0)</f>
        <v>0</v>
      </c>
      <c r="AK60" s="18">
        <f>IF(AN60=15,K60,0)</f>
        <v>0</v>
      </c>
      <c r="AL60" s="18">
        <f>IF(AN60=21,K60,0)</f>
        <v>0</v>
      </c>
      <c r="AN60" s="34">
        <v>21</v>
      </c>
      <c r="AO60" s="34">
        <f>H60*0.162461137723665</f>
        <v>0</v>
      </c>
      <c r="AP60" s="34">
        <f>H60*(1-0.162461137723665)</f>
        <v>0</v>
      </c>
      <c r="AQ60" s="29" t="s">
        <v>7</v>
      </c>
      <c r="AV60" s="34">
        <f>AW60+AX60</f>
        <v>0</v>
      </c>
      <c r="AW60" s="34">
        <f>G60*AO60</f>
        <v>0</v>
      </c>
      <c r="AX60" s="34">
        <f>G60*AP60</f>
        <v>0</v>
      </c>
      <c r="AY60" s="35" t="s">
        <v>1149</v>
      </c>
      <c r="AZ60" s="35" t="s">
        <v>1169</v>
      </c>
      <c r="BA60" s="28" t="s">
        <v>1176</v>
      </c>
      <c r="BC60" s="34">
        <f>AW60+AX60</f>
        <v>0</v>
      </c>
      <c r="BD60" s="34">
        <f>H60/(100-BE60)*100</f>
        <v>0</v>
      </c>
      <c r="BE60" s="34">
        <v>0</v>
      </c>
      <c r="BF60" s="34">
        <f>60</f>
        <v>60</v>
      </c>
      <c r="BH60" s="18">
        <f>G60*AO60</f>
        <v>0</v>
      </c>
      <c r="BI60" s="18">
        <f>G60*AP60</f>
        <v>0</v>
      </c>
      <c r="BJ60" s="18">
        <f>G60*H60</f>
        <v>0</v>
      </c>
    </row>
    <row r="61" spans="1:62" x14ac:dyDescent="0.2">
      <c r="C61" s="131" t="s">
        <v>745</v>
      </c>
      <c r="D61" s="132"/>
      <c r="E61" s="132"/>
      <c r="H61" s="80"/>
    </row>
    <row r="62" spans="1:62" x14ac:dyDescent="0.2">
      <c r="A62" s="5" t="s">
        <v>31</v>
      </c>
      <c r="B62" s="5" t="s">
        <v>390</v>
      </c>
      <c r="C62" s="135" t="s">
        <v>746</v>
      </c>
      <c r="D62" s="136"/>
      <c r="E62" s="136"/>
      <c r="F62" s="5" t="s">
        <v>1098</v>
      </c>
      <c r="G62" s="18">
        <v>4.1099999999999998E-2</v>
      </c>
      <c r="H62" s="79">
        <v>0</v>
      </c>
      <c r="I62" s="18">
        <f>G62*AO62</f>
        <v>0</v>
      </c>
      <c r="J62" s="18">
        <f>G62*AP62</f>
        <v>0</v>
      </c>
      <c r="K62" s="18">
        <f>G62*H62</f>
        <v>0</v>
      </c>
      <c r="L62" s="29" t="s">
        <v>1127</v>
      </c>
      <c r="Z62" s="34">
        <f>IF(AQ62="5",BJ62,0)</f>
        <v>0</v>
      </c>
      <c r="AB62" s="34">
        <f>IF(AQ62="1",BH62,0)</f>
        <v>0</v>
      </c>
      <c r="AC62" s="34">
        <f>IF(AQ62="1",BI62,0)</f>
        <v>0</v>
      </c>
      <c r="AD62" s="34">
        <f>IF(AQ62="7",BH62,0)</f>
        <v>0</v>
      </c>
      <c r="AE62" s="34">
        <f>IF(AQ62="7",BI62,0)</f>
        <v>0</v>
      </c>
      <c r="AF62" s="34">
        <f>IF(AQ62="2",BH62,0)</f>
        <v>0</v>
      </c>
      <c r="AG62" s="34">
        <f>IF(AQ62="2",BI62,0)</f>
        <v>0</v>
      </c>
      <c r="AH62" s="34">
        <f>IF(AQ62="0",BJ62,0)</f>
        <v>0</v>
      </c>
      <c r="AI62" s="28" t="s">
        <v>1137</v>
      </c>
      <c r="AJ62" s="18">
        <f>IF(AN62=0,K62,0)</f>
        <v>0</v>
      </c>
      <c r="AK62" s="18">
        <f>IF(AN62=15,K62,0)</f>
        <v>0</v>
      </c>
      <c r="AL62" s="18">
        <f>IF(AN62=21,K62,0)</f>
        <v>0</v>
      </c>
      <c r="AN62" s="34">
        <v>21</v>
      </c>
      <c r="AO62" s="34">
        <f>H62*0</f>
        <v>0</v>
      </c>
      <c r="AP62" s="34">
        <f>H62*(1-0)</f>
        <v>0</v>
      </c>
      <c r="AQ62" s="29" t="s">
        <v>7</v>
      </c>
      <c r="AV62" s="34">
        <f>AW62+AX62</f>
        <v>0</v>
      </c>
      <c r="AW62" s="34">
        <f>G62*AO62</f>
        <v>0</v>
      </c>
      <c r="AX62" s="34">
        <f>G62*AP62</f>
        <v>0</v>
      </c>
      <c r="AY62" s="35" t="s">
        <v>1149</v>
      </c>
      <c r="AZ62" s="35" t="s">
        <v>1169</v>
      </c>
      <c r="BA62" s="28" t="s">
        <v>1176</v>
      </c>
      <c r="BC62" s="34">
        <f>AW62+AX62</f>
        <v>0</v>
      </c>
      <c r="BD62" s="34">
        <f>H62/(100-BE62)*100</f>
        <v>0</v>
      </c>
      <c r="BE62" s="34">
        <v>0</v>
      </c>
      <c r="BF62" s="34">
        <f>62</f>
        <v>62</v>
      </c>
      <c r="BH62" s="18">
        <f>G62*AO62</f>
        <v>0</v>
      </c>
      <c r="BI62" s="18">
        <f>G62*AP62</f>
        <v>0</v>
      </c>
      <c r="BJ62" s="18">
        <f>G62*H62</f>
        <v>0</v>
      </c>
    </row>
    <row r="63" spans="1:62" x14ac:dyDescent="0.2">
      <c r="C63" s="131" t="s">
        <v>747</v>
      </c>
      <c r="D63" s="132"/>
      <c r="E63" s="132"/>
      <c r="H63" s="80"/>
    </row>
    <row r="64" spans="1:62" x14ac:dyDescent="0.2">
      <c r="A64" s="5" t="s">
        <v>32</v>
      </c>
      <c r="B64" s="5" t="s">
        <v>391</v>
      </c>
      <c r="C64" s="135" t="s">
        <v>748</v>
      </c>
      <c r="D64" s="136"/>
      <c r="E64" s="136"/>
      <c r="F64" s="5" t="s">
        <v>1098</v>
      </c>
      <c r="G64" s="18">
        <v>1.3489</v>
      </c>
      <c r="H64" s="79">
        <v>0</v>
      </c>
      <c r="I64" s="18">
        <f>G64*AO64</f>
        <v>0</v>
      </c>
      <c r="J64" s="18">
        <f>G64*AP64</f>
        <v>0</v>
      </c>
      <c r="K64" s="18">
        <f>G64*H64</f>
        <v>0</v>
      </c>
      <c r="L64" s="29" t="s">
        <v>1127</v>
      </c>
      <c r="Z64" s="34">
        <f>IF(AQ64="5",BJ64,0)</f>
        <v>0</v>
      </c>
      <c r="AB64" s="34">
        <f>IF(AQ64="1",BH64,0)</f>
        <v>0</v>
      </c>
      <c r="AC64" s="34">
        <f>IF(AQ64="1",BI64,0)</f>
        <v>0</v>
      </c>
      <c r="AD64" s="34">
        <f>IF(AQ64="7",BH64,0)</f>
        <v>0</v>
      </c>
      <c r="AE64" s="34">
        <f>IF(AQ64="7",BI64,0)</f>
        <v>0</v>
      </c>
      <c r="AF64" s="34">
        <f>IF(AQ64="2",BH64,0)</f>
        <v>0</v>
      </c>
      <c r="AG64" s="34">
        <f>IF(AQ64="2",BI64,0)</f>
        <v>0</v>
      </c>
      <c r="AH64" s="34">
        <f>IF(AQ64="0",BJ64,0)</f>
        <v>0</v>
      </c>
      <c r="AI64" s="28" t="s">
        <v>1137</v>
      </c>
      <c r="AJ64" s="18">
        <f>IF(AN64=0,K64,0)</f>
        <v>0</v>
      </c>
      <c r="AK64" s="18">
        <f>IF(AN64=15,K64,0)</f>
        <v>0</v>
      </c>
      <c r="AL64" s="18">
        <f>IF(AN64=21,K64,0)</f>
        <v>0</v>
      </c>
      <c r="AN64" s="34">
        <v>21</v>
      </c>
      <c r="AO64" s="34">
        <f>H64*0</f>
        <v>0</v>
      </c>
      <c r="AP64" s="34">
        <f>H64*(1-0)</f>
        <v>0</v>
      </c>
      <c r="AQ64" s="29" t="s">
        <v>7</v>
      </c>
      <c r="AV64" s="34">
        <f>AW64+AX64</f>
        <v>0</v>
      </c>
      <c r="AW64" s="34">
        <f>G64*AO64</f>
        <v>0</v>
      </c>
      <c r="AX64" s="34">
        <f>G64*AP64</f>
        <v>0</v>
      </c>
      <c r="AY64" s="35" t="s">
        <v>1149</v>
      </c>
      <c r="AZ64" s="35" t="s">
        <v>1169</v>
      </c>
      <c r="BA64" s="28" t="s">
        <v>1176</v>
      </c>
      <c r="BC64" s="34">
        <f>AW64+AX64</f>
        <v>0</v>
      </c>
      <c r="BD64" s="34">
        <f>H64/(100-BE64)*100</f>
        <v>0</v>
      </c>
      <c r="BE64" s="34">
        <v>0</v>
      </c>
      <c r="BF64" s="34">
        <f>64</f>
        <v>64</v>
      </c>
      <c r="BH64" s="18">
        <f>G64*AO64</f>
        <v>0</v>
      </c>
      <c r="BI64" s="18">
        <f>G64*AP64</f>
        <v>0</v>
      </c>
      <c r="BJ64" s="18">
        <f>G64*H64</f>
        <v>0</v>
      </c>
    </row>
    <row r="65" spans="1:62" x14ac:dyDescent="0.2">
      <c r="C65" s="131" t="s">
        <v>747</v>
      </c>
      <c r="D65" s="132"/>
      <c r="E65" s="132"/>
      <c r="H65" s="80"/>
    </row>
    <row r="66" spans="1:62" x14ac:dyDescent="0.2">
      <c r="A66" s="5" t="s">
        <v>33</v>
      </c>
      <c r="B66" s="5" t="s">
        <v>392</v>
      </c>
      <c r="C66" s="135" t="s">
        <v>749</v>
      </c>
      <c r="D66" s="136"/>
      <c r="E66" s="136"/>
      <c r="F66" s="5" t="s">
        <v>1098</v>
      </c>
      <c r="G66" s="18">
        <v>1.39</v>
      </c>
      <c r="H66" s="79">
        <v>0</v>
      </c>
      <c r="I66" s="18">
        <f>G66*AO66</f>
        <v>0</v>
      </c>
      <c r="J66" s="18">
        <f>G66*AP66</f>
        <v>0</v>
      </c>
      <c r="K66" s="18">
        <f>G66*H66</f>
        <v>0</v>
      </c>
      <c r="L66" s="29" t="s">
        <v>1127</v>
      </c>
      <c r="Z66" s="34">
        <f>IF(AQ66="5",BJ66,0)</f>
        <v>0</v>
      </c>
      <c r="AB66" s="34">
        <f>IF(AQ66="1",BH66,0)</f>
        <v>0</v>
      </c>
      <c r="AC66" s="34">
        <f>IF(AQ66="1",BI66,0)</f>
        <v>0</v>
      </c>
      <c r="AD66" s="34">
        <f>IF(AQ66="7",BH66,0)</f>
        <v>0</v>
      </c>
      <c r="AE66" s="34">
        <f>IF(AQ66="7",BI66,0)</f>
        <v>0</v>
      </c>
      <c r="AF66" s="34">
        <f>IF(AQ66="2",BH66,0)</f>
        <v>0</v>
      </c>
      <c r="AG66" s="34">
        <f>IF(AQ66="2",BI66,0)</f>
        <v>0</v>
      </c>
      <c r="AH66" s="34">
        <f>IF(AQ66="0",BJ66,0)</f>
        <v>0</v>
      </c>
      <c r="AI66" s="28" t="s">
        <v>1137</v>
      </c>
      <c r="AJ66" s="18">
        <f>IF(AN66=0,K66,0)</f>
        <v>0</v>
      </c>
      <c r="AK66" s="18">
        <f>IF(AN66=15,K66,0)</f>
        <v>0</v>
      </c>
      <c r="AL66" s="18">
        <f>IF(AN66=21,K66,0)</f>
        <v>0</v>
      </c>
      <c r="AN66" s="34">
        <v>21</v>
      </c>
      <c r="AO66" s="34">
        <f>H66*0</f>
        <v>0</v>
      </c>
      <c r="AP66" s="34">
        <f>H66*(1-0)</f>
        <v>0</v>
      </c>
      <c r="AQ66" s="29" t="s">
        <v>7</v>
      </c>
      <c r="AV66" s="34">
        <f>AW66+AX66</f>
        <v>0</v>
      </c>
      <c r="AW66" s="34">
        <f>G66*AO66</f>
        <v>0</v>
      </c>
      <c r="AX66" s="34">
        <f>G66*AP66</f>
        <v>0</v>
      </c>
      <c r="AY66" s="35" t="s">
        <v>1149</v>
      </c>
      <c r="AZ66" s="35" t="s">
        <v>1169</v>
      </c>
      <c r="BA66" s="28" t="s">
        <v>1176</v>
      </c>
      <c r="BC66" s="34">
        <f>AW66+AX66</f>
        <v>0</v>
      </c>
      <c r="BD66" s="34">
        <f>H66/(100-BE66)*100</f>
        <v>0</v>
      </c>
      <c r="BE66" s="34">
        <v>0</v>
      </c>
      <c r="BF66" s="34">
        <f>66</f>
        <v>66</v>
      </c>
      <c r="BH66" s="18">
        <f>G66*AO66</f>
        <v>0</v>
      </c>
      <c r="BI66" s="18">
        <f>G66*AP66</f>
        <v>0</v>
      </c>
      <c r="BJ66" s="18">
        <f>G66*H66</f>
        <v>0</v>
      </c>
    </row>
    <row r="67" spans="1:62" x14ac:dyDescent="0.2">
      <c r="C67" s="131" t="s">
        <v>750</v>
      </c>
      <c r="D67" s="132"/>
      <c r="E67" s="132"/>
      <c r="H67" s="80"/>
    </row>
    <row r="68" spans="1:62" x14ac:dyDescent="0.2">
      <c r="A68" s="5" t="s">
        <v>34</v>
      </c>
      <c r="B68" s="5" t="s">
        <v>393</v>
      </c>
      <c r="C68" s="135" t="s">
        <v>751</v>
      </c>
      <c r="D68" s="136"/>
      <c r="E68" s="136"/>
      <c r="F68" s="5" t="s">
        <v>1100</v>
      </c>
      <c r="G68" s="18">
        <v>110.14</v>
      </c>
      <c r="H68" s="79">
        <v>0</v>
      </c>
      <c r="I68" s="18">
        <f>G68*AO68</f>
        <v>0</v>
      </c>
      <c r="J68" s="18">
        <f>G68*AP68</f>
        <v>0</v>
      </c>
      <c r="K68" s="18">
        <f>G68*H68</f>
        <v>0</v>
      </c>
      <c r="L68" s="29" t="s">
        <v>1127</v>
      </c>
      <c r="Z68" s="34">
        <f>IF(AQ68="5",BJ68,0)</f>
        <v>0</v>
      </c>
      <c r="AB68" s="34">
        <f>IF(AQ68="1",BH68,0)</f>
        <v>0</v>
      </c>
      <c r="AC68" s="34">
        <f>IF(AQ68="1",BI68,0)</f>
        <v>0</v>
      </c>
      <c r="AD68" s="34">
        <f>IF(AQ68="7",BH68,0)</f>
        <v>0</v>
      </c>
      <c r="AE68" s="34">
        <f>IF(AQ68="7",BI68,0)</f>
        <v>0</v>
      </c>
      <c r="AF68" s="34">
        <f>IF(AQ68="2",BH68,0)</f>
        <v>0</v>
      </c>
      <c r="AG68" s="34">
        <f>IF(AQ68="2",BI68,0)</f>
        <v>0</v>
      </c>
      <c r="AH68" s="34">
        <f>IF(AQ68="0",BJ68,0)</f>
        <v>0</v>
      </c>
      <c r="AI68" s="28" t="s">
        <v>1137</v>
      </c>
      <c r="AJ68" s="18">
        <f>IF(AN68=0,K68,0)</f>
        <v>0</v>
      </c>
      <c r="AK68" s="18">
        <f>IF(AN68=15,K68,0)</f>
        <v>0</v>
      </c>
      <c r="AL68" s="18">
        <f>IF(AN68=21,K68,0)</f>
        <v>0</v>
      </c>
      <c r="AN68" s="34">
        <v>21</v>
      </c>
      <c r="AO68" s="34">
        <f>H68*0</f>
        <v>0</v>
      </c>
      <c r="AP68" s="34">
        <f>H68*(1-0)</f>
        <v>0</v>
      </c>
      <c r="AQ68" s="29" t="s">
        <v>7</v>
      </c>
      <c r="AV68" s="34">
        <f>AW68+AX68</f>
        <v>0</v>
      </c>
      <c r="AW68" s="34">
        <f>G68*AO68</f>
        <v>0</v>
      </c>
      <c r="AX68" s="34">
        <f>G68*AP68</f>
        <v>0</v>
      </c>
      <c r="AY68" s="35" t="s">
        <v>1149</v>
      </c>
      <c r="AZ68" s="35" t="s">
        <v>1169</v>
      </c>
      <c r="BA68" s="28" t="s">
        <v>1176</v>
      </c>
      <c r="BC68" s="34">
        <f>AW68+AX68</f>
        <v>0</v>
      </c>
      <c r="BD68" s="34">
        <f>H68/(100-BE68)*100</f>
        <v>0</v>
      </c>
      <c r="BE68" s="34">
        <v>0</v>
      </c>
      <c r="BF68" s="34">
        <f>68</f>
        <v>68</v>
      </c>
      <c r="BH68" s="18">
        <f>G68*AO68</f>
        <v>0</v>
      </c>
      <c r="BI68" s="18">
        <f>G68*AP68</f>
        <v>0</v>
      </c>
      <c r="BJ68" s="18">
        <f>G68*H68</f>
        <v>0</v>
      </c>
    </row>
    <row r="69" spans="1:62" x14ac:dyDescent="0.2">
      <c r="A69" s="5" t="s">
        <v>35</v>
      </c>
      <c r="B69" s="5" t="s">
        <v>394</v>
      </c>
      <c r="C69" s="135" t="s">
        <v>752</v>
      </c>
      <c r="D69" s="136"/>
      <c r="E69" s="136"/>
      <c r="F69" s="5" t="s">
        <v>1100</v>
      </c>
      <c r="G69" s="18">
        <v>8.7024000000000008</v>
      </c>
      <c r="H69" s="79">
        <v>0</v>
      </c>
      <c r="I69" s="18">
        <f>G69*AO69</f>
        <v>0</v>
      </c>
      <c r="J69" s="18">
        <f>G69*AP69</f>
        <v>0</v>
      </c>
      <c r="K69" s="18">
        <f>G69*H69</f>
        <v>0</v>
      </c>
      <c r="L69" s="29" t="s">
        <v>1127</v>
      </c>
      <c r="Z69" s="34">
        <f>IF(AQ69="5",BJ69,0)</f>
        <v>0</v>
      </c>
      <c r="AB69" s="34">
        <f>IF(AQ69="1",BH69,0)</f>
        <v>0</v>
      </c>
      <c r="AC69" s="34">
        <f>IF(AQ69="1",BI69,0)</f>
        <v>0</v>
      </c>
      <c r="AD69" s="34">
        <f>IF(AQ69="7",BH69,0)</f>
        <v>0</v>
      </c>
      <c r="AE69" s="34">
        <f>IF(AQ69="7",BI69,0)</f>
        <v>0</v>
      </c>
      <c r="AF69" s="34">
        <f>IF(AQ69="2",BH69,0)</f>
        <v>0</v>
      </c>
      <c r="AG69" s="34">
        <f>IF(AQ69="2",BI69,0)</f>
        <v>0</v>
      </c>
      <c r="AH69" s="34">
        <f>IF(AQ69="0",BJ69,0)</f>
        <v>0</v>
      </c>
      <c r="AI69" s="28" t="s">
        <v>1137</v>
      </c>
      <c r="AJ69" s="18">
        <f>IF(AN69=0,K69,0)</f>
        <v>0</v>
      </c>
      <c r="AK69" s="18">
        <f>IF(AN69=15,K69,0)</f>
        <v>0</v>
      </c>
      <c r="AL69" s="18">
        <f>IF(AN69=21,K69,0)</f>
        <v>0</v>
      </c>
      <c r="AN69" s="34">
        <v>21</v>
      </c>
      <c r="AO69" s="34">
        <f>H69*0.0559074889867841</f>
        <v>0</v>
      </c>
      <c r="AP69" s="34">
        <f>H69*(1-0.0559074889867841)</f>
        <v>0</v>
      </c>
      <c r="AQ69" s="29" t="s">
        <v>7</v>
      </c>
      <c r="AV69" s="34">
        <f>AW69+AX69</f>
        <v>0</v>
      </c>
      <c r="AW69" s="34">
        <f>G69*AO69</f>
        <v>0</v>
      </c>
      <c r="AX69" s="34">
        <f>G69*AP69</f>
        <v>0</v>
      </c>
      <c r="AY69" s="35" t="s">
        <v>1149</v>
      </c>
      <c r="AZ69" s="35" t="s">
        <v>1169</v>
      </c>
      <c r="BA69" s="28" t="s">
        <v>1176</v>
      </c>
      <c r="BC69" s="34">
        <f>AW69+AX69</f>
        <v>0</v>
      </c>
      <c r="BD69" s="34">
        <f>H69/(100-BE69)*100</f>
        <v>0</v>
      </c>
      <c r="BE69" s="34">
        <v>0</v>
      </c>
      <c r="BF69" s="34">
        <f>69</f>
        <v>69</v>
      </c>
      <c r="BH69" s="18">
        <f>G69*AO69</f>
        <v>0</v>
      </c>
      <c r="BI69" s="18">
        <f>G69*AP69</f>
        <v>0</v>
      </c>
      <c r="BJ69" s="18">
        <f>G69*H69</f>
        <v>0</v>
      </c>
    </row>
    <row r="70" spans="1:62" x14ac:dyDescent="0.2">
      <c r="C70" s="131" t="s">
        <v>753</v>
      </c>
      <c r="D70" s="132"/>
      <c r="E70" s="132"/>
      <c r="H70" s="80"/>
    </row>
    <row r="71" spans="1:62" x14ac:dyDescent="0.2">
      <c r="A71" s="5" t="s">
        <v>36</v>
      </c>
      <c r="B71" s="5" t="s">
        <v>395</v>
      </c>
      <c r="C71" s="135" t="s">
        <v>754</v>
      </c>
      <c r="D71" s="136"/>
      <c r="E71" s="136"/>
      <c r="F71" s="5" t="s">
        <v>1099</v>
      </c>
      <c r="G71" s="18">
        <v>14</v>
      </c>
      <c r="H71" s="79">
        <v>0</v>
      </c>
      <c r="I71" s="18">
        <f>G71*AO71</f>
        <v>0</v>
      </c>
      <c r="J71" s="18">
        <f>G71*AP71</f>
        <v>0</v>
      </c>
      <c r="K71" s="18">
        <f>G71*H71</f>
        <v>0</v>
      </c>
      <c r="L71" s="29" t="s">
        <v>1127</v>
      </c>
      <c r="Z71" s="34">
        <f>IF(AQ71="5",BJ71,0)</f>
        <v>0</v>
      </c>
      <c r="AB71" s="34">
        <f>IF(AQ71="1",BH71,0)</f>
        <v>0</v>
      </c>
      <c r="AC71" s="34">
        <f>IF(AQ71="1",BI71,0)</f>
        <v>0</v>
      </c>
      <c r="AD71" s="34">
        <f>IF(AQ71="7",BH71,0)</f>
        <v>0</v>
      </c>
      <c r="AE71" s="34">
        <f>IF(AQ71="7",BI71,0)</f>
        <v>0</v>
      </c>
      <c r="AF71" s="34">
        <f>IF(AQ71="2",BH71,0)</f>
        <v>0</v>
      </c>
      <c r="AG71" s="34">
        <f>IF(AQ71="2",BI71,0)</f>
        <v>0</v>
      </c>
      <c r="AH71" s="34">
        <f>IF(AQ71="0",BJ71,0)</f>
        <v>0</v>
      </c>
      <c r="AI71" s="28" t="s">
        <v>1137</v>
      </c>
      <c r="AJ71" s="18">
        <f>IF(AN71=0,K71,0)</f>
        <v>0</v>
      </c>
      <c r="AK71" s="18">
        <f>IF(AN71=15,K71,0)</f>
        <v>0</v>
      </c>
      <c r="AL71" s="18">
        <f>IF(AN71=21,K71,0)</f>
        <v>0</v>
      </c>
      <c r="AN71" s="34">
        <v>21</v>
      </c>
      <c r="AO71" s="34">
        <f>H71*0</f>
        <v>0</v>
      </c>
      <c r="AP71" s="34">
        <f>H71*(1-0)</f>
        <v>0</v>
      </c>
      <c r="AQ71" s="29" t="s">
        <v>7</v>
      </c>
      <c r="AV71" s="34">
        <f>AW71+AX71</f>
        <v>0</v>
      </c>
      <c r="AW71" s="34">
        <f>G71*AO71</f>
        <v>0</v>
      </c>
      <c r="AX71" s="34">
        <f>G71*AP71</f>
        <v>0</v>
      </c>
      <c r="AY71" s="35" t="s">
        <v>1149</v>
      </c>
      <c r="AZ71" s="35" t="s">
        <v>1169</v>
      </c>
      <c r="BA71" s="28" t="s">
        <v>1176</v>
      </c>
      <c r="BC71" s="34">
        <f>AW71+AX71</f>
        <v>0</v>
      </c>
      <c r="BD71" s="34">
        <f>H71/(100-BE71)*100</f>
        <v>0</v>
      </c>
      <c r="BE71" s="34">
        <v>0</v>
      </c>
      <c r="BF71" s="34">
        <f>71</f>
        <v>71</v>
      </c>
      <c r="BH71" s="18">
        <f>G71*AO71</f>
        <v>0</v>
      </c>
      <c r="BI71" s="18">
        <f>G71*AP71</f>
        <v>0</v>
      </c>
      <c r="BJ71" s="18">
        <f>G71*H71</f>
        <v>0</v>
      </c>
    </row>
    <row r="72" spans="1:62" x14ac:dyDescent="0.2">
      <c r="C72" s="131" t="s">
        <v>755</v>
      </c>
      <c r="D72" s="132"/>
      <c r="E72" s="132"/>
      <c r="H72" s="80"/>
    </row>
    <row r="73" spans="1:62" x14ac:dyDescent="0.2">
      <c r="A73" s="5" t="s">
        <v>37</v>
      </c>
      <c r="B73" s="5" t="s">
        <v>396</v>
      </c>
      <c r="C73" s="135" t="s">
        <v>756</v>
      </c>
      <c r="D73" s="136"/>
      <c r="E73" s="136"/>
      <c r="F73" s="5" t="s">
        <v>1100</v>
      </c>
      <c r="G73" s="18">
        <v>14.972</v>
      </c>
      <c r="H73" s="79">
        <v>0</v>
      </c>
      <c r="I73" s="18">
        <f>G73*AO73</f>
        <v>0</v>
      </c>
      <c r="J73" s="18">
        <f>G73*AP73</f>
        <v>0</v>
      </c>
      <c r="K73" s="18">
        <f>G73*H73</f>
        <v>0</v>
      </c>
      <c r="L73" s="29" t="s">
        <v>1127</v>
      </c>
      <c r="Z73" s="34">
        <f>IF(AQ73="5",BJ73,0)</f>
        <v>0</v>
      </c>
      <c r="AB73" s="34">
        <f>IF(AQ73="1",BH73,0)</f>
        <v>0</v>
      </c>
      <c r="AC73" s="34">
        <f>IF(AQ73="1",BI73,0)</f>
        <v>0</v>
      </c>
      <c r="AD73" s="34">
        <f>IF(AQ73="7",BH73,0)</f>
        <v>0</v>
      </c>
      <c r="AE73" s="34">
        <f>IF(AQ73="7",BI73,0)</f>
        <v>0</v>
      </c>
      <c r="AF73" s="34">
        <f>IF(AQ73="2",BH73,0)</f>
        <v>0</v>
      </c>
      <c r="AG73" s="34">
        <f>IF(AQ73="2",BI73,0)</f>
        <v>0</v>
      </c>
      <c r="AH73" s="34">
        <f>IF(AQ73="0",BJ73,0)</f>
        <v>0</v>
      </c>
      <c r="AI73" s="28" t="s">
        <v>1137</v>
      </c>
      <c r="AJ73" s="18">
        <f>IF(AN73=0,K73,0)</f>
        <v>0</v>
      </c>
      <c r="AK73" s="18">
        <f>IF(AN73=15,K73,0)</f>
        <v>0</v>
      </c>
      <c r="AL73" s="18">
        <f>IF(AN73=21,K73,0)</f>
        <v>0</v>
      </c>
      <c r="AN73" s="34">
        <v>21</v>
      </c>
      <c r="AO73" s="34">
        <f>H73*0.0755766895406711</f>
        <v>0</v>
      </c>
      <c r="AP73" s="34">
        <f>H73*(1-0.0755766895406711)</f>
        <v>0</v>
      </c>
      <c r="AQ73" s="29" t="s">
        <v>7</v>
      </c>
      <c r="AV73" s="34">
        <f>AW73+AX73</f>
        <v>0</v>
      </c>
      <c r="AW73" s="34">
        <f>G73*AO73</f>
        <v>0</v>
      </c>
      <c r="AX73" s="34">
        <f>G73*AP73</f>
        <v>0</v>
      </c>
      <c r="AY73" s="35" t="s">
        <v>1149</v>
      </c>
      <c r="AZ73" s="35" t="s">
        <v>1169</v>
      </c>
      <c r="BA73" s="28" t="s">
        <v>1176</v>
      </c>
      <c r="BC73" s="34">
        <f>AW73+AX73</f>
        <v>0</v>
      </c>
      <c r="BD73" s="34">
        <f>H73/(100-BE73)*100</f>
        <v>0</v>
      </c>
      <c r="BE73" s="34">
        <v>0</v>
      </c>
      <c r="BF73" s="34">
        <f>73</f>
        <v>73</v>
      </c>
      <c r="BH73" s="18">
        <f>G73*AO73</f>
        <v>0</v>
      </c>
      <c r="BI73" s="18">
        <f>G73*AP73</f>
        <v>0</v>
      </c>
      <c r="BJ73" s="18">
        <f>G73*H73</f>
        <v>0</v>
      </c>
    </row>
    <row r="74" spans="1:62" x14ac:dyDescent="0.2">
      <c r="C74" s="131" t="s">
        <v>755</v>
      </c>
      <c r="D74" s="132"/>
      <c r="E74" s="132"/>
      <c r="H74" s="80"/>
    </row>
    <row r="75" spans="1:62" x14ac:dyDescent="0.2">
      <c r="A75" s="5" t="s">
        <v>38</v>
      </c>
      <c r="B75" s="5" t="s">
        <v>397</v>
      </c>
      <c r="C75" s="135" t="s">
        <v>757</v>
      </c>
      <c r="D75" s="136"/>
      <c r="E75" s="136"/>
      <c r="F75" s="5" t="s">
        <v>1100</v>
      </c>
      <c r="G75" s="18">
        <v>35.97</v>
      </c>
      <c r="H75" s="79">
        <v>0</v>
      </c>
      <c r="I75" s="18">
        <f>G75*AO75</f>
        <v>0</v>
      </c>
      <c r="J75" s="18">
        <f>G75*AP75</f>
        <v>0</v>
      </c>
      <c r="K75" s="18">
        <f>G75*H75</f>
        <v>0</v>
      </c>
      <c r="L75" s="29" t="s">
        <v>1127</v>
      </c>
      <c r="Z75" s="34">
        <f>IF(AQ75="5",BJ75,0)</f>
        <v>0</v>
      </c>
      <c r="AB75" s="34">
        <f>IF(AQ75="1",BH75,0)</f>
        <v>0</v>
      </c>
      <c r="AC75" s="34">
        <f>IF(AQ75="1",BI75,0)</f>
        <v>0</v>
      </c>
      <c r="AD75" s="34">
        <f>IF(AQ75="7",BH75,0)</f>
        <v>0</v>
      </c>
      <c r="AE75" s="34">
        <f>IF(AQ75="7",BI75,0)</f>
        <v>0</v>
      </c>
      <c r="AF75" s="34">
        <f>IF(AQ75="2",BH75,0)</f>
        <v>0</v>
      </c>
      <c r="AG75" s="34">
        <f>IF(AQ75="2",BI75,0)</f>
        <v>0</v>
      </c>
      <c r="AH75" s="34">
        <f>IF(AQ75="0",BJ75,0)</f>
        <v>0</v>
      </c>
      <c r="AI75" s="28" t="s">
        <v>1137</v>
      </c>
      <c r="AJ75" s="18">
        <f>IF(AN75=0,K75,0)</f>
        <v>0</v>
      </c>
      <c r="AK75" s="18">
        <f>IF(AN75=15,K75,0)</f>
        <v>0</v>
      </c>
      <c r="AL75" s="18">
        <f>IF(AN75=21,K75,0)</f>
        <v>0</v>
      </c>
      <c r="AN75" s="34">
        <v>21</v>
      </c>
      <c r="AO75" s="34">
        <f>H75*0.0930447430451281</f>
        <v>0</v>
      </c>
      <c r="AP75" s="34">
        <f>H75*(1-0.0930447430451281)</f>
        <v>0</v>
      </c>
      <c r="AQ75" s="29" t="s">
        <v>7</v>
      </c>
      <c r="AV75" s="34">
        <f>AW75+AX75</f>
        <v>0</v>
      </c>
      <c r="AW75" s="34">
        <f>G75*AO75</f>
        <v>0</v>
      </c>
      <c r="AX75" s="34">
        <f>G75*AP75</f>
        <v>0</v>
      </c>
      <c r="AY75" s="35" t="s">
        <v>1149</v>
      </c>
      <c r="AZ75" s="35" t="s">
        <v>1169</v>
      </c>
      <c r="BA75" s="28" t="s">
        <v>1176</v>
      </c>
      <c r="BC75" s="34">
        <f>AW75+AX75</f>
        <v>0</v>
      </c>
      <c r="BD75" s="34">
        <f>H75/(100-BE75)*100</f>
        <v>0</v>
      </c>
      <c r="BE75" s="34">
        <v>0</v>
      </c>
      <c r="BF75" s="34">
        <f>75</f>
        <v>75</v>
      </c>
      <c r="BH75" s="18">
        <f>G75*AO75</f>
        <v>0</v>
      </c>
      <c r="BI75" s="18">
        <f>G75*AP75</f>
        <v>0</v>
      </c>
      <c r="BJ75" s="18">
        <f>G75*H75</f>
        <v>0</v>
      </c>
    </row>
    <row r="76" spans="1:62" x14ac:dyDescent="0.2">
      <c r="C76" s="131" t="s">
        <v>758</v>
      </c>
      <c r="D76" s="132"/>
      <c r="E76" s="132"/>
      <c r="H76" s="80"/>
    </row>
    <row r="77" spans="1:62" x14ac:dyDescent="0.2">
      <c r="A77" s="5" t="s">
        <v>39</v>
      </c>
      <c r="B77" s="5" t="s">
        <v>398</v>
      </c>
      <c r="C77" s="135" t="s">
        <v>759</v>
      </c>
      <c r="D77" s="136"/>
      <c r="E77" s="136"/>
      <c r="F77" s="5" t="s">
        <v>1100</v>
      </c>
      <c r="G77" s="18">
        <v>90.805999999999997</v>
      </c>
      <c r="H77" s="79">
        <v>0</v>
      </c>
      <c r="I77" s="18">
        <f>G77*AO77</f>
        <v>0</v>
      </c>
      <c r="J77" s="18">
        <f>G77*AP77</f>
        <v>0</v>
      </c>
      <c r="K77" s="18">
        <f>G77*H77</f>
        <v>0</v>
      </c>
      <c r="L77" s="29" t="s">
        <v>1127</v>
      </c>
      <c r="Z77" s="34">
        <f>IF(AQ77="5",BJ77,0)</f>
        <v>0</v>
      </c>
      <c r="AB77" s="34">
        <f>IF(AQ77="1",BH77,0)</f>
        <v>0</v>
      </c>
      <c r="AC77" s="34">
        <f>IF(AQ77="1",BI77,0)</f>
        <v>0</v>
      </c>
      <c r="AD77" s="34">
        <f>IF(AQ77="7",BH77,0)</f>
        <v>0</v>
      </c>
      <c r="AE77" s="34">
        <f>IF(AQ77="7",BI77,0)</f>
        <v>0</v>
      </c>
      <c r="AF77" s="34">
        <f>IF(AQ77="2",BH77,0)</f>
        <v>0</v>
      </c>
      <c r="AG77" s="34">
        <f>IF(AQ77="2",BI77,0)</f>
        <v>0</v>
      </c>
      <c r="AH77" s="34">
        <f>IF(AQ77="0",BJ77,0)</f>
        <v>0</v>
      </c>
      <c r="AI77" s="28" t="s">
        <v>1137</v>
      </c>
      <c r="AJ77" s="18">
        <f>IF(AN77=0,K77,0)</f>
        <v>0</v>
      </c>
      <c r="AK77" s="18">
        <f>IF(AN77=15,K77,0)</f>
        <v>0</v>
      </c>
      <c r="AL77" s="18">
        <f>IF(AN77=21,K77,0)</f>
        <v>0</v>
      </c>
      <c r="AN77" s="34">
        <v>21</v>
      </c>
      <c r="AO77" s="34">
        <f>H77*0.0930918471388399</f>
        <v>0</v>
      </c>
      <c r="AP77" s="34">
        <f>H77*(1-0.0930918471388399)</f>
        <v>0</v>
      </c>
      <c r="AQ77" s="29" t="s">
        <v>7</v>
      </c>
      <c r="AV77" s="34">
        <f>AW77+AX77</f>
        <v>0</v>
      </c>
      <c r="AW77" s="34">
        <f>G77*AO77</f>
        <v>0</v>
      </c>
      <c r="AX77" s="34">
        <f>G77*AP77</f>
        <v>0</v>
      </c>
      <c r="AY77" s="35" t="s">
        <v>1149</v>
      </c>
      <c r="AZ77" s="35" t="s">
        <v>1169</v>
      </c>
      <c r="BA77" s="28" t="s">
        <v>1176</v>
      </c>
      <c r="BC77" s="34">
        <f>AW77+AX77</f>
        <v>0</v>
      </c>
      <c r="BD77" s="34">
        <f>H77/(100-BE77)*100</f>
        <v>0</v>
      </c>
      <c r="BE77" s="34">
        <v>0</v>
      </c>
      <c r="BF77" s="34">
        <f>77</f>
        <v>77</v>
      </c>
      <c r="BH77" s="18">
        <f>G77*AO77</f>
        <v>0</v>
      </c>
      <c r="BI77" s="18">
        <f>G77*AP77</f>
        <v>0</v>
      </c>
      <c r="BJ77" s="18">
        <f>G77*H77</f>
        <v>0</v>
      </c>
    </row>
    <row r="78" spans="1:62" x14ac:dyDescent="0.2">
      <c r="C78" s="131" t="s">
        <v>760</v>
      </c>
      <c r="D78" s="132"/>
      <c r="E78" s="132"/>
      <c r="H78" s="80"/>
    </row>
    <row r="79" spans="1:62" x14ac:dyDescent="0.2">
      <c r="A79" s="4"/>
      <c r="B79" s="14" t="s">
        <v>103</v>
      </c>
      <c r="C79" s="133" t="s">
        <v>761</v>
      </c>
      <c r="D79" s="134"/>
      <c r="E79" s="134"/>
      <c r="F79" s="4" t="s">
        <v>6</v>
      </c>
      <c r="G79" s="4" t="s">
        <v>6</v>
      </c>
      <c r="H79" s="4" t="s">
        <v>6</v>
      </c>
      <c r="I79" s="37">
        <f>SUM(I80:I84)</f>
        <v>0</v>
      </c>
      <c r="J79" s="37">
        <f>SUM(J80:J84)</f>
        <v>0</v>
      </c>
      <c r="K79" s="37">
        <f>SUM(K80:K84)</f>
        <v>0</v>
      </c>
      <c r="L79" s="28"/>
      <c r="AI79" s="28" t="s">
        <v>1137</v>
      </c>
      <c r="AS79" s="37">
        <f>SUM(AJ80:AJ84)</f>
        <v>0</v>
      </c>
      <c r="AT79" s="37">
        <f>SUM(AK80:AK84)</f>
        <v>0</v>
      </c>
      <c r="AU79" s="37">
        <f>SUM(AL80:AL84)</f>
        <v>0</v>
      </c>
    </row>
    <row r="80" spans="1:62" x14ac:dyDescent="0.2">
      <c r="A80" s="5" t="s">
        <v>40</v>
      </c>
      <c r="B80" s="5" t="s">
        <v>399</v>
      </c>
      <c r="C80" s="135" t="s">
        <v>762</v>
      </c>
      <c r="D80" s="136"/>
      <c r="E80" s="136"/>
      <c r="F80" s="5" t="s">
        <v>1100</v>
      </c>
      <c r="G80" s="18">
        <v>110.14</v>
      </c>
      <c r="H80" s="79">
        <v>0</v>
      </c>
      <c r="I80" s="18">
        <f>G80*AO80</f>
        <v>0</v>
      </c>
      <c r="J80" s="18">
        <f>G80*AP80</f>
        <v>0</v>
      </c>
      <c r="K80" s="18">
        <f>G80*H80</f>
        <v>0</v>
      </c>
      <c r="L80" s="29" t="s">
        <v>1127</v>
      </c>
      <c r="Z80" s="34">
        <f>IF(AQ80="5",BJ80,0)</f>
        <v>0</v>
      </c>
      <c r="AB80" s="34">
        <f>IF(AQ80="1",BH80,0)</f>
        <v>0</v>
      </c>
      <c r="AC80" s="34">
        <f>IF(AQ80="1",BI80,0)</f>
        <v>0</v>
      </c>
      <c r="AD80" s="34">
        <f>IF(AQ80="7",BH80,0)</f>
        <v>0</v>
      </c>
      <c r="AE80" s="34">
        <f>IF(AQ80="7",BI80,0)</f>
        <v>0</v>
      </c>
      <c r="AF80" s="34">
        <f>IF(AQ80="2",BH80,0)</f>
        <v>0</v>
      </c>
      <c r="AG80" s="34">
        <f>IF(AQ80="2",BI80,0)</f>
        <v>0</v>
      </c>
      <c r="AH80" s="34">
        <f>IF(AQ80="0",BJ80,0)</f>
        <v>0</v>
      </c>
      <c r="AI80" s="28" t="s">
        <v>1137</v>
      </c>
      <c r="AJ80" s="18">
        <f>IF(AN80=0,K80,0)</f>
        <v>0</v>
      </c>
      <c r="AK80" s="18">
        <f>IF(AN80=15,K80,0)</f>
        <v>0</v>
      </c>
      <c r="AL80" s="18">
        <f>IF(AN80=21,K80,0)</f>
        <v>0</v>
      </c>
      <c r="AN80" s="34">
        <v>21</v>
      </c>
      <c r="AO80" s="34">
        <f>H80*0</f>
        <v>0</v>
      </c>
      <c r="AP80" s="34">
        <f>H80*(1-0)</f>
        <v>0</v>
      </c>
      <c r="AQ80" s="29" t="s">
        <v>7</v>
      </c>
      <c r="AV80" s="34">
        <f>AW80+AX80</f>
        <v>0</v>
      </c>
      <c r="AW80" s="34">
        <f>G80*AO80</f>
        <v>0</v>
      </c>
      <c r="AX80" s="34">
        <f>G80*AP80</f>
        <v>0</v>
      </c>
      <c r="AY80" s="35" t="s">
        <v>1150</v>
      </c>
      <c r="AZ80" s="35" t="s">
        <v>1169</v>
      </c>
      <c r="BA80" s="28" t="s">
        <v>1176</v>
      </c>
      <c r="BC80" s="34">
        <f>AW80+AX80</f>
        <v>0</v>
      </c>
      <c r="BD80" s="34">
        <f>H80/(100-BE80)*100</f>
        <v>0</v>
      </c>
      <c r="BE80" s="34">
        <v>0</v>
      </c>
      <c r="BF80" s="34">
        <f>80</f>
        <v>80</v>
      </c>
      <c r="BH80" s="18">
        <f>G80*AO80</f>
        <v>0</v>
      </c>
      <c r="BI80" s="18">
        <f>G80*AP80</f>
        <v>0</v>
      </c>
      <c r="BJ80" s="18">
        <f>G80*H80</f>
        <v>0</v>
      </c>
    </row>
    <row r="81" spans="1:62" x14ac:dyDescent="0.2">
      <c r="C81" s="131" t="s">
        <v>763</v>
      </c>
      <c r="D81" s="132"/>
      <c r="E81" s="132"/>
      <c r="H81" s="80"/>
    </row>
    <row r="82" spans="1:62" x14ac:dyDescent="0.2">
      <c r="A82" s="5" t="s">
        <v>41</v>
      </c>
      <c r="B82" s="5" t="s">
        <v>400</v>
      </c>
      <c r="C82" s="135" t="s">
        <v>764</v>
      </c>
      <c r="D82" s="136"/>
      <c r="E82" s="136"/>
      <c r="F82" s="5" t="s">
        <v>1100</v>
      </c>
      <c r="G82" s="18">
        <v>155.24799999999999</v>
      </c>
      <c r="H82" s="79">
        <v>0</v>
      </c>
      <c r="I82" s="18">
        <f>G82*AO82</f>
        <v>0</v>
      </c>
      <c r="J82" s="18">
        <f>G82*AP82</f>
        <v>0</v>
      </c>
      <c r="K82" s="18">
        <f>G82*H82</f>
        <v>0</v>
      </c>
      <c r="L82" s="29" t="s">
        <v>1127</v>
      </c>
      <c r="Z82" s="34">
        <f>IF(AQ82="5",BJ82,0)</f>
        <v>0</v>
      </c>
      <c r="AB82" s="34">
        <f>IF(AQ82="1",BH82,0)</f>
        <v>0</v>
      </c>
      <c r="AC82" s="34">
        <f>IF(AQ82="1",BI82,0)</f>
        <v>0</v>
      </c>
      <c r="AD82" s="34">
        <f>IF(AQ82="7",BH82,0)</f>
        <v>0</v>
      </c>
      <c r="AE82" s="34">
        <f>IF(AQ82="7",BI82,0)</f>
        <v>0</v>
      </c>
      <c r="AF82" s="34">
        <f>IF(AQ82="2",BH82,0)</f>
        <v>0</v>
      </c>
      <c r="AG82" s="34">
        <f>IF(AQ82="2",BI82,0)</f>
        <v>0</v>
      </c>
      <c r="AH82" s="34">
        <f>IF(AQ82="0",BJ82,0)</f>
        <v>0</v>
      </c>
      <c r="AI82" s="28" t="s">
        <v>1137</v>
      </c>
      <c r="AJ82" s="18">
        <f>IF(AN82=0,K82,0)</f>
        <v>0</v>
      </c>
      <c r="AK82" s="18">
        <f>IF(AN82=15,K82,0)</f>
        <v>0</v>
      </c>
      <c r="AL82" s="18">
        <f>IF(AN82=21,K82,0)</f>
        <v>0</v>
      </c>
      <c r="AN82" s="34">
        <v>21</v>
      </c>
      <c r="AO82" s="34">
        <f>H82*0</f>
        <v>0</v>
      </c>
      <c r="AP82" s="34">
        <f>H82*(1-0)</f>
        <v>0</v>
      </c>
      <c r="AQ82" s="29" t="s">
        <v>7</v>
      </c>
      <c r="AV82" s="34">
        <f>AW82+AX82</f>
        <v>0</v>
      </c>
      <c r="AW82" s="34">
        <f>G82*AO82</f>
        <v>0</v>
      </c>
      <c r="AX82" s="34">
        <f>G82*AP82</f>
        <v>0</v>
      </c>
      <c r="AY82" s="35" t="s">
        <v>1150</v>
      </c>
      <c r="AZ82" s="35" t="s">
        <v>1169</v>
      </c>
      <c r="BA82" s="28" t="s">
        <v>1176</v>
      </c>
      <c r="BC82" s="34">
        <f>AW82+AX82</f>
        <v>0</v>
      </c>
      <c r="BD82" s="34">
        <f>H82/(100-BE82)*100</f>
        <v>0</v>
      </c>
      <c r="BE82" s="34">
        <v>0</v>
      </c>
      <c r="BF82" s="34">
        <f>82</f>
        <v>82</v>
      </c>
      <c r="BH82" s="18">
        <f>G82*AO82</f>
        <v>0</v>
      </c>
      <c r="BI82" s="18">
        <f>G82*AP82</f>
        <v>0</v>
      </c>
      <c r="BJ82" s="18">
        <f>G82*H82</f>
        <v>0</v>
      </c>
    </row>
    <row r="83" spans="1:62" x14ac:dyDescent="0.2">
      <c r="C83" s="131" t="s">
        <v>765</v>
      </c>
      <c r="D83" s="132"/>
      <c r="E83" s="132"/>
      <c r="H83" s="80"/>
    </row>
    <row r="84" spans="1:62" x14ac:dyDescent="0.2">
      <c r="A84" s="5" t="s">
        <v>42</v>
      </c>
      <c r="B84" s="5" t="s">
        <v>401</v>
      </c>
      <c r="C84" s="135" t="s">
        <v>766</v>
      </c>
      <c r="D84" s="136"/>
      <c r="E84" s="136"/>
      <c r="F84" s="5" t="s">
        <v>1100</v>
      </c>
      <c r="G84" s="18">
        <v>178.97</v>
      </c>
      <c r="H84" s="79">
        <v>0</v>
      </c>
      <c r="I84" s="18">
        <f>G84*AO84</f>
        <v>0</v>
      </c>
      <c r="J84" s="18">
        <f>G84*AP84</f>
        <v>0</v>
      </c>
      <c r="K84" s="18">
        <f>G84*H84</f>
        <v>0</v>
      </c>
      <c r="L84" s="29" t="s">
        <v>1127</v>
      </c>
      <c r="Z84" s="34">
        <f>IF(AQ84="5",BJ84,0)</f>
        <v>0</v>
      </c>
      <c r="AB84" s="34">
        <f>IF(AQ84="1",BH84,0)</f>
        <v>0</v>
      </c>
      <c r="AC84" s="34">
        <f>IF(AQ84="1",BI84,0)</f>
        <v>0</v>
      </c>
      <c r="AD84" s="34">
        <f>IF(AQ84="7",BH84,0)</f>
        <v>0</v>
      </c>
      <c r="AE84" s="34">
        <f>IF(AQ84="7",BI84,0)</f>
        <v>0</v>
      </c>
      <c r="AF84" s="34">
        <f>IF(AQ84="2",BH84,0)</f>
        <v>0</v>
      </c>
      <c r="AG84" s="34">
        <f>IF(AQ84="2",BI84,0)</f>
        <v>0</v>
      </c>
      <c r="AH84" s="34">
        <f>IF(AQ84="0",BJ84,0)</f>
        <v>0</v>
      </c>
      <c r="AI84" s="28" t="s">
        <v>1137</v>
      </c>
      <c r="AJ84" s="18">
        <f>IF(AN84=0,K84,0)</f>
        <v>0</v>
      </c>
      <c r="AK84" s="18">
        <f>IF(AN84=15,K84,0)</f>
        <v>0</v>
      </c>
      <c r="AL84" s="18">
        <f>IF(AN84=21,K84,0)</f>
        <v>0</v>
      </c>
      <c r="AN84" s="34">
        <v>21</v>
      </c>
      <c r="AO84" s="34">
        <f>H84*0</f>
        <v>0</v>
      </c>
      <c r="AP84" s="34">
        <f>H84*(1-0)</f>
        <v>0</v>
      </c>
      <c r="AQ84" s="29" t="s">
        <v>7</v>
      </c>
      <c r="AV84" s="34">
        <f>AW84+AX84</f>
        <v>0</v>
      </c>
      <c r="AW84" s="34">
        <f>G84*AO84</f>
        <v>0</v>
      </c>
      <c r="AX84" s="34">
        <f>G84*AP84</f>
        <v>0</v>
      </c>
      <c r="AY84" s="35" t="s">
        <v>1150</v>
      </c>
      <c r="AZ84" s="35" t="s">
        <v>1169</v>
      </c>
      <c r="BA84" s="28" t="s">
        <v>1176</v>
      </c>
      <c r="BC84" s="34">
        <f>AW84+AX84</f>
        <v>0</v>
      </c>
      <c r="BD84" s="34">
        <f>H84/(100-BE84)*100</f>
        <v>0</v>
      </c>
      <c r="BE84" s="34">
        <v>0</v>
      </c>
      <c r="BF84" s="34">
        <f>84</f>
        <v>84</v>
      </c>
      <c r="BH84" s="18">
        <f>G84*AO84</f>
        <v>0</v>
      </c>
      <c r="BI84" s="18">
        <f>G84*AP84</f>
        <v>0</v>
      </c>
      <c r="BJ84" s="18">
        <f>G84*H84</f>
        <v>0</v>
      </c>
    </row>
    <row r="85" spans="1:62" x14ac:dyDescent="0.2">
      <c r="C85" s="131" t="s">
        <v>767</v>
      </c>
      <c r="D85" s="132"/>
      <c r="E85" s="132"/>
      <c r="H85" s="80"/>
    </row>
    <row r="86" spans="1:62" x14ac:dyDescent="0.2">
      <c r="A86" s="4"/>
      <c r="B86" s="14" t="s">
        <v>402</v>
      </c>
      <c r="C86" s="133" t="s">
        <v>768</v>
      </c>
      <c r="D86" s="134"/>
      <c r="E86" s="134"/>
      <c r="F86" s="4" t="s">
        <v>6</v>
      </c>
      <c r="G86" s="4" t="s">
        <v>6</v>
      </c>
      <c r="H86" s="4" t="s">
        <v>6</v>
      </c>
      <c r="I86" s="37">
        <f>SUM(I87:I97)</f>
        <v>0</v>
      </c>
      <c r="J86" s="37">
        <f>SUM(J87:J97)</f>
        <v>0</v>
      </c>
      <c r="K86" s="37">
        <f>SUM(K87:K97)</f>
        <v>0</v>
      </c>
      <c r="L86" s="28"/>
      <c r="AI86" s="28" t="s">
        <v>1137</v>
      </c>
      <c r="AS86" s="37">
        <f>SUM(AJ87:AJ97)</f>
        <v>0</v>
      </c>
      <c r="AT86" s="37">
        <f>SUM(AK87:AK97)</f>
        <v>0</v>
      </c>
      <c r="AU86" s="37">
        <f>SUM(AL87:AL97)</f>
        <v>0</v>
      </c>
    </row>
    <row r="87" spans="1:62" x14ac:dyDescent="0.2">
      <c r="A87" s="5" t="s">
        <v>43</v>
      </c>
      <c r="B87" s="5" t="s">
        <v>403</v>
      </c>
      <c r="C87" s="135" t="s">
        <v>769</v>
      </c>
      <c r="D87" s="136"/>
      <c r="E87" s="136"/>
      <c r="F87" s="5" t="s">
        <v>1102</v>
      </c>
      <c r="G87" s="18">
        <v>23.356999999999999</v>
      </c>
      <c r="H87" s="79">
        <v>0</v>
      </c>
      <c r="I87" s="18">
        <f t="shared" ref="I87:I95" si="0">G87*AO87</f>
        <v>0</v>
      </c>
      <c r="J87" s="18">
        <f t="shared" ref="J87:J95" si="1">G87*AP87</f>
        <v>0</v>
      </c>
      <c r="K87" s="18">
        <f t="shared" ref="K87:K95" si="2">G87*H87</f>
        <v>0</v>
      </c>
      <c r="L87" s="29" t="s">
        <v>1127</v>
      </c>
      <c r="Z87" s="34">
        <f t="shared" ref="Z87:Z95" si="3">IF(AQ87="5",BJ87,0)</f>
        <v>0</v>
      </c>
      <c r="AB87" s="34">
        <f t="shared" ref="AB87:AB95" si="4">IF(AQ87="1",BH87,0)</f>
        <v>0</v>
      </c>
      <c r="AC87" s="34">
        <f t="shared" ref="AC87:AC95" si="5">IF(AQ87="1",BI87,0)</f>
        <v>0</v>
      </c>
      <c r="AD87" s="34">
        <f t="shared" ref="AD87:AD95" si="6">IF(AQ87="7",BH87,0)</f>
        <v>0</v>
      </c>
      <c r="AE87" s="34">
        <f t="shared" ref="AE87:AE95" si="7">IF(AQ87="7",BI87,0)</f>
        <v>0</v>
      </c>
      <c r="AF87" s="34">
        <f t="shared" ref="AF87:AF95" si="8">IF(AQ87="2",BH87,0)</f>
        <v>0</v>
      </c>
      <c r="AG87" s="34">
        <f t="shared" ref="AG87:AG95" si="9">IF(AQ87="2",BI87,0)</f>
        <v>0</v>
      </c>
      <c r="AH87" s="34">
        <f t="shared" ref="AH87:AH95" si="10">IF(AQ87="0",BJ87,0)</f>
        <v>0</v>
      </c>
      <c r="AI87" s="28" t="s">
        <v>1137</v>
      </c>
      <c r="AJ87" s="18">
        <f t="shared" ref="AJ87:AJ95" si="11">IF(AN87=0,K87,0)</f>
        <v>0</v>
      </c>
      <c r="AK87" s="18">
        <f t="shared" ref="AK87:AK95" si="12">IF(AN87=15,K87,0)</f>
        <v>0</v>
      </c>
      <c r="AL87" s="18">
        <f t="shared" ref="AL87:AL95" si="13">IF(AN87=21,K87,0)</f>
        <v>0</v>
      </c>
      <c r="AN87" s="34">
        <v>21</v>
      </c>
      <c r="AO87" s="34">
        <f t="shared" ref="AO87:AO95" si="14">H87*0</f>
        <v>0</v>
      </c>
      <c r="AP87" s="34">
        <f t="shared" ref="AP87:AP95" si="15">H87*(1-0)</f>
        <v>0</v>
      </c>
      <c r="AQ87" s="29" t="s">
        <v>11</v>
      </c>
      <c r="AV87" s="34">
        <f t="shared" ref="AV87:AV95" si="16">AW87+AX87</f>
        <v>0</v>
      </c>
      <c r="AW87" s="34">
        <f t="shared" ref="AW87:AW95" si="17">G87*AO87</f>
        <v>0</v>
      </c>
      <c r="AX87" s="34">
        <f t="shared" ref="AX87:AX95" si="18">G87*AP87</f>
        <v>0</v>
      </c>
      <c r="AY87" s="35" t="s">
        <v>1151</v>
      </c>
      <c r="AZ87" s="35" t="s">
        <v>1169</v>
      </c>
      <c r="BA87" s="28" t="s">
        <v>1176</v>
      </c>
      <c r="BC87" s="34">
        <f t="shared" ref="BC87:BC95" si="19">AW87+AX87</f>
        <v>0</v>
      </c>
      <c r="BD87" s="34">
        <f t="shared" ref="BD87:BD95" si="20">H87/(100-BE87)*100</f>
        <v>0</v>
      </c>
      <c r="BE87" s="34">
        <v>0</v>
      </c>
      <c r="BF87" s="34">
        <f>87</f>
        <v>87</v>
      </c>
      <c r="BH87" s="18">
        <f t="shared" ref="BH87:BH95" si="21">G87*AO87</f>
        <v>0</v>
      </c>
      <c r="BI87" s="18">
        <f t="shared" ref="BI87:BI95" si="22">G87*AP87</f>
        <v>0</v>
      </c>
      <c r="BJ87" s="18">
        <f t="shared" ref="BJ87:BJ95" si="23">G87*H87</f>
        <v>0</v>
      </c>
    </row>
    <row r="88" spans="1:62" x14ac:dyDescent="0.2">
      <c r="A88" s="5" t="s">
        <v>44</v>
      </c>
      <c r="B88" s="5" t="s">
        <v>404</v>
      </c>
      <c r="C88" s="135" t="s">
        <v>770</v>
      </c>
      <c r="D88" s="136"/>
      <c r="E88" s="136"/>
      <c r="F88" s="5" t="s">
        <v>1102</v>
      </c>
      <c r="G88" s="18">
        <v>49.771999999999998</v>
      </c>
      <c r="H88" s="79">
        <v>0</v>
      </c>
      <c r="I88" s="18">
        <f t="shared" si="0"/>
        <v>0</v>
      </c>
      <c r="J88" s="18">
        <f t="shared" si="1"/>
        <v>0</v>
      </c>
      <c r="K88" s="18">
        <f t="shared" si="2"/>
        <v>0</v>
      </c>
      <c r="L88" s="29" t="s">
        <v>1127</v>
      </c>
      <c r="Z88" s="34">
        <f t="shared" si="3"/>
        <v>0</v>
      </c>
      <c r="AB88" s="34">
        <f t="shared" si="4"/>
        <v>0</v>
      </c>
      <c r="AC88" s="34">
        <f t="shared" si="5"/>
        <v>0</v>
      </c>
      <c r="AD88" s="34">
        <f t="shared" si="6"/>
        <v>0</v>
      </c>
      <c r="AE88" s="34">
        <f t="shared" si="7"/>
        <v>0</v>
      </c>
      <c r="AF88" s="34">
        <f t="shared" si="8"/>
        <v>0</v>
      </c>
      <c r="AG88" s="34">
        <f t="shared" si="9"/>
        <v>0</v>
      </c>
      <c r="AH88" s="34">
        <f t="shared" si="10"/>
        <v>0</v>
      </c>
      <c r="AI88" s="28" t="s">
        <v>1137</v>
      </c>
      <c r="AJ88" s="18">
        <f t="shared" si="11"/>
        <v>0</v>
      </c>
      <c r="AK88" s="18">
        <f t="shared" si="12"/>
        <v>0</v>
      </c>
      <c r="AL88" s="18">
        <f t="shared" si="13"/>
        <v>0</v>
      </c>
      <c r="AN88" s="34">
        <v>21</v>
      </c>
      <c r="AO88" s="34">
        <f t="shared" si="14"/>
        <v>0</v>
      </c>
      <c r="AP88" s="34">
        <f t="shared" si="15"/>
        <v>0</v>
      </c>
      <c r="AQ88" s="29" t="s">
        <v>11</v>
      </c>
      <c r="AV88" s="34">
        <f t="shared" si="16"/>
        <v>0</v>
      </c>
      <c r="AW88" s="34">
        <f t="shared" si="17"/>
        <v>0</v>
      </c>
      <c r="AX88" s="34">
        <f t="shared" si="18"/>
        <v>0</v>
      </c>
      <c r="AY88" s="35" t="s">
        <v>1151</v>
      </c>
      <c r="AZ88" s="35" t="s">
        <v>1169</v>
      </c>
      <c r="BA88" s="28" t="s">
        <v>1176</v>
      </c>
      <c r="BC88" s="34">
        <f t="shared" si="19"/>
        <v>0</v>
      </c>
      <c r="BD88" s="34">
        <f t="shared" si="20"/>
        <v>0</v>
      </c>
      <c r="BE88" s="34">
        <v>0</v>
      </c>
      <c r="BF88" s="34">
        <f>88</f>
        <v>88</v>
      </c>
      <c r="BH88" s="18">
        <f t="shared" si="21"/>
        <v>0</v>
      </c>
      <c r="BI88" s="18">
        <f t="shared" si="22"/>
        <v>0</v>
      </c>
      <c r="BJ88" s="18">
        <f t="shared" si="23"/>
        <v>0</v>
      </c>
    </row>
    <row r="89" spans="1:62" x14ac:dyDescent="0.2">
      <c r="A89" s="5" t="s">
        <v>45</v>
      </c>
      <c r="B89" s="5" t="s">
        <v>405</v>
      </c>
      <c r="C89" s="135" t="s">
        <v>771</v>
      </c>
      <c r="D89" s="136"/>
      <c r="E89" s="136"/>
      <c r="F89" s="5" t="s">
        <v>1102</v>
      </c>
      <c r="G89" s="18">
        <v>149.316</v>
      </c>
      <c r="H89" s="79">
        <v>0</v>
      </c>
      <c r="I89" s="18">
        <f t="shared" si="0"/>
        <v>0</v>
      </c>
      <c r="J89" s="18">
        <f t="shared" si="1"/>
        <v>0</v>
      </c>
      <c r="K89" s="18">
        <f t="shared" si="2"/>
        <v>0</v>
      </c>
      <c r="L89" s="29" t="s">
        <v>1127</v>
      </c>
      <c r="Z89" s="34">
        <f t="shared" si="3"/>
        <v>0</v>
      </c>
      <c r="AB89" s="34">
        <f t="shared" si="4"/>
        <v>0</v>
      </c>
      <c r="AC89" s="34">
        <f t="shared" si="5"/>
        <v>0</v>
      </c>
      <c r="AD89" s="34">
        <f t="shared" si="6"/>
        <v>0</v>
      </c>
      <c r="AE89" s="34">
        <f t="shared" si="7"/>
        <v>0</v>
      </c>
      <c r="AF89" s="34">
        <f t="shared" si="8"/>
        <v>0</v>
      </c>
      <c r="AG89" s="34">
        <f t="shared" si="9"/>
        <v>0</v>
      </c>
      <c r="AH89" s="34">
        <f t="shared" si="10"/>
        <v>0</v>
      </c>
      <c r="AI89" s="28" t="s">
        <v>1137</v>
      </c>
      <c r="AJ89" s="18">
        <f t="shared" si="11"/>
        <v>0</v>
      </c>
      <c r="AK89" s="18">
        <f t="shared" si="12"/>
        <v>0</v>
      </c>
      <c r="AL89" s="18">
        <f t="shared" si="13"/>
        <v>0</v>
      </c>
      <c r="AN89" s="34">
        <v>21</v>
      </c>
      <c r="AO89" s="34">
        <f t="shared" si="14"/>
        <v>0</v>
      </c>
      <c r="AP89" s="34">
        <f t="shared" si="15"/>
        <v>0</v>
      </c>
      <c r="AQ89" s="29" t="s">
        <v>11</v>
      </c>
      <c r="AV89" s="34">
        <f t="shared" si="16"/>
        <v>0</v>
      </c>
      <c r="AW89" s="34">
        <f t="shared" si="17"/>
        <v>0</v>
      </c>
      <c r="AX89" s="34">
        <f t="shared" si="18"/>
        <v>0</v>
      </c>
      <c r="AY89" s="35" t="s">
        <v>1151</v>
      </c>
      <c r="AZ89" s="35" t="s">
        <v>1169</v>
      </c>
      <c r="BA89" s="28" t="s">
        <v>1176</v>
      </c>
      <c r="BC89" s="34">
        <f t="shared" si="19"/>
        <v>0</v>
      </c>
      <c r="BD89" s="34">
        <f t="shared" si="20"/>
        <v>0</v>
      </c>
      <c r="BE89" s="34">
        <v>0</v>
      </c>
      <c r="BF89" s="34">
        <f>89</f>
        <v>89</v>
      </c>
      <c r="BH89" s="18">
        <f t="shared" si="21"/>
        <v>0</v>
      </c>
      <c r="BI89" s="18">
        <f t="shared" si="22"/>
        <v>0</v>
      </c>
      <c r="BJ89" s="18">
        <f t="shared" si="23"/>
        <v>0</v>
      </c>
    </row>
    <row r="90" spans="1:62" x14ac:dyDescent="0.2">
      <c r="A90" s="5" t="s">
        <v>46</v>
      </c>
      <c r="B90" s="5" t="s">
        <v>406</v>
      </c>
      <c r="C90" s="135" t="s">
        <v>772</v>
      </c>
      <c r="D90" s="136"/>
      <c r="E90" s="136"/>
      <c r="F90" s="5" t="s">
        <v>1102</v>
      </c>
      <c r="G90" s="18">
        <v>49.771999999999998</v>
      </c>
      <c r="H90" s="79">
        <v>0</v>
      </c>
      <c r="I90" s="18">
        <f t="shared" si="0"/>
        <v>0</v>
      </c>
      <c r="J90" s="18">
        <f t="shared" si="1"/>
        <v>0</v>
      </c>
      <c r="K90" s="18">
        <f t="shared" si="2"/>
        <v>0</v>
      </c>
      <c r="L90" s="29" t="s">
        <v>1127</v>
      </c>
      <c r="Z90" s="34">
        <f t="shared" si="3"/>
        <v>0</v>
      </c>
      <c r="AB90" s="34">
        <f t="shared" si="4"/>
        <v>0</v>
      </c>
      <c r="AC90" s="34">
        <f t="shared" si="5"/>
        <v>0</v>
      </c>
      <c r="AD90" s="34">
        <f t="shared" si="6"/>
        <v>0</v>
      </c>
      <c r="AE90" s="34">
        <f t="shared" si="7"/>
        <v>0</v>
      </c>
      <c r="AF90" s="34">
        <f t="shared" si="8"/>
        <v>0</v>
      </c>
      <c r="AG90" s="34">
        <f t="shared" si="9"/>
        <v>0</v>
      </c>
      <c r="AH90" s="34">
        <f t="shared" si="10"/>
        <v>0</v>
      </c>
      <c r="AI90" s="28" t="s">
        <v>1137</v>
      </c>
      <c r="AJ90" s="18">
        <f t="shared" si="11"/>
        <v>0</v>
      </c>
      <c r="AK90" s="18">
        <f t="shared" si="12"/>
        <v>0</v>
      </c>
      <c r="AL90" s="18">
        <f t="shared" si="13"/>
        <v>0</v>
      </c>
      <c r="AN90" s="34">
        <v>21</v>
      </c>
      <c r="AO90" s="34">
        <f t="shared" si="14"/>
        <v>0</v>
      </c>
      <c r="AP90" s="34">
        <f t="shared" si="15"/>
        <v>0</v>
      </c>
      <c r="AQ90" s="29" t="s">
        <v>11</v>
      </c>
      <c r="AV90" s="34">
        <f t="shared" si="16"/>
        <v>0</v>
      </c>
      <c r="AW90" s="34">
        <f t="shared" si="17"/>
        <v>0</v>
      </c>
      <c r="AX90" s="34">
        <f t="shared" si="18"/>
        <v>0</v>
      </c>
      <c r="AY90" s="35" t="s">
        <v>1151</v>
      </c>
      <c r="AZ90" s="35" t="s">
        <v>1169</v>
      </c>
      <c r="BA90" s="28" t="s">
        <v>1176</v>
      </c>
      <c r="BC90" s="34">
        <f t="shared" si="19"/>
        <v>0</v>
      </c>
      <c r="BD90" s="34">
        <f t="shared" si="20"/>
        <v>0</v>
      </c>
      <c r="BE90" s="34">
        <v>0</v>
      </c>
      <c r="BF90" s="34">
        <f>90</f>
        <v>90</v>
      </c>
      <c r="BH90" s="18">
        <f t="shared" si="21"/>
        <v>0</v>
      </c>
      <c r="BI90" s="18">
        <f t="shared" si="22"/>
        <v>0</v>
      </c>
      <c r="BJ90" s="18">
        <f t="shared" si="23"/>
        <v>0</v>
      </c>
    </row>
    <row r="91" spans="1:62" x14ac:dyDescent="0.2">
      <c r="A91" s="5" t="s">
        <v>47</v>
      </c>
      <c r="B91" s="5" t="s">
        <v>407</v>
      </c>
      <c r="C91" s="135" t="s">
        <v>773</v>
      </c>
      <c r="D91" s="136"/>
      <c r="E91" s="136"/>
      <c r="F91" s="5" t="s">
        <v>1102</v>
      </c>
      <c r="G91" s="18">
        <v>348.404</v>
      </c>
      <c r="H91" s="79">
        <v>0</v>
      </c>
      <c r="I91" s="18">
        <f t="shared" si="0"/>
        <v>0</v>
      </c>
      <c r="J91" s="18">
        <f t="shared" si="1"/>
        <v>0</v>
      </c>
      <c r="K91" s="18">
        <f t="shared" si="2"/>
        <v>0</v>
      </c>
      <c r="L91" s="29" t="s">
        <v>1127</v>
      </c>
      <c r="Z91" s="34">
        <f t="shared" si="3"/>
        <v>0</v>
      </c>
      <c r="AB91" s="34">
        <f t="shared" si="4"/>
        <v>0</v>
      </c>
      <c r="AC91" s="34">
        <f t="shared" si="5"/>
        <v>0</v>
      </c>
      <c r="AD91" s="34">
        <f t="shared" si="6"/>
        <v>0</v>
      </c>
      <c r="AE91" s="34">
        <f t="shared" si="7"/>
        <v>0</v>
      </c>
      <c r="AF91" s="34">
        <f t="shared" si="8"/>
        <v>0</v>
      </c>
      <c r="AG91" s="34">
        <f t="shared" si="9"/>
        <v>0</v>
      </c>
      <c r="AH91" s="34">
        <f t="shared" si="10"/>
        <v>0</v>
      </c>
      <c r="AI91" s="28" t="s">
        <v>1137</v>
      </c>
      <c r="AJ91" s="18">
        <f t="shared" si="11"/>
        <v>0</v>
      </c>
      <c r="AK91" s="18">
        <f t="shared" si="12"/>
        <v>0</v>
      </c>
      <c r="AL91" s="18">
        <f t="shared" si="13"/>
        <v>0</v>
      </c>
      <c r="AN91" s="34">
        <v>21</v>
      </c>
      <c r="AO91" s="34">
        <f t="shared" si="14"/>
        <v>0</v>
      </c>
      <c r="AP91" s="34">
        <f t="shared" si="15"/>
        <v>0</v>
      </c>
      <c r="AQ91" s="29" t="s">
        <v>11</v>
      </c>
      <c r="AV91" s="34">
        <f t="shared" si="16"/>
        <v>0</v>
      </c>
      <c r="AW91" s="34">
        <f t="shared" si="17"/>
        <v>0</v>
      </c>
      <c r="AX91" s="34">
        <f t="shared" si="18"/>
        <v>0</v>
      </c>
      <c r="AY91" s="35" t="s">
        <v>1151</v>
      </c>
      <c r="AZ91" s="35" t="s">
        <v>1169</v>
      </c>
      <c r="BA91" s="28" t="s">
        <v>1176</v>
      </c>
      <c r="BC91" s="34">
        <f t="shared" si="19"/>
        <v>0</v>
      </c>
      <c r="BD91" s="34">
        <f t="shared" si="20"/>
        <v>0</v>
      </c>
      <c r="BE91" s="34">
        <v>0</v>
      </c>
      <c r="BF91" s="34">
        <f>91</f>
        <v>91</v>
      </c>
      <c r="BH91" s="18">
        <f t="shared" si="21"/>
        <v>0</v>
      </c>
      <c r="BI91" s="18">
        <f t="shared" si="22"/>
        <v>0</v>
      </c>
      <c r="BJ91" s="18">
        <f t="shared" si="23"/>
        <v>0</v>
      </c>
    </row>
    <row r="92" spans="1:62" x14ac:dyDescent="0.2">
      <c r="A92" s="5" t="s">
        <v>48</v>
      </c>
      <c r="B92" s="5" t="s">
        <v>408</v>
      </c>
      <c r="C92" s="135" t="s">
        <v>774</v>
      </c>
      <c r="D92" s="136"/>
      <c r="E92" s="136"/>
      <c r="F92" s="5" t="s">
        <v>1102</v>
      </c>
      <c r="G92" s="18">
        <v>49.771999999999998</v>
      </c>
      <c r="H92" s="79">
        <v>0</v>
      </c>
      <c r="I92" s="18">
        <f t="shared" si="0"/>
        <v>0</v>
      </c>
      <c r="J92" s="18">
        <f t="shared" si="1"/>
        <v>0</v>
      </c>
      <c r="K92" s="18">
        <f t="shared" si="2"/>
        <v>0</v>
      </c>
      <c r="L92" s="29" t="s">
        <v>1127</v>
      </c>
      <c r="Z92" s="34">
        <f t="shared" si="3"/>
        <v>0</v>
      </c>
      <c r="AB92" s="34">
        <f t="shared" si="4"/>
        <v>0</v>
      </c>
      <c r="AC92" s="34">
        <f t="shared" si="5"/>
        <v>0</v>
      </c>
      <c r="AD92" s="34">
        <f t="shared" si="6"/>
        <v>0</v>
      </c>
      <c r="AE92" s="34">
        <f t="shared" si="7"/>
        <v>0</v>
      </c>
      <c r="AF92" s="34">
        <f t="shared" si="8"/>
        <v>0</v>
      </c>
      <c r="AG92" s="34">
        <f t="shared" si="9"/>
        <v>0</v>
      </c>
      <c r="AH92" s="34">
        <f t="shared" si="10"/>
        <v>0</v>
      </c>
      <c r="AI92" s="28" t="s">
        <v>1137</v>
      </c>
      <c r="AJ92" s="18">
        <f t="shared" si="11"/>
        <v>0</v>
      </c>
      <c r="AK92" s="18">
        <f t="shared" si="12"/>
        <v>0</v>
      </c>
      <c r="AL92" s="18">
        <f t="shared" si="13"/>
        <v>0</v>
      </c>
      <c r="AN92" s="34">
        <v>21</v>
      </c>
      <c r="AO92" s="34">
        <f t="shared" si="14"/>
        <v>0</v>
      </c>
      <c r="AP92" s="34">
        <f t="shared" si="15"/>
        <v>0</v>
      </c>
      <c r="AQ92" s="29" t="s">
        <v>11</v>
      </c>
      <c r="AV92" s="34">
        <f t="shared" si="16"/>
        <v>0</v>
      </c>
      <c r="AW92" s="34">
        <f t="shared" si="17"/>
        <v>0</v>
      </c>
      <c r="AX92" s="34">
        <f t="shared" si="18"/>
        <v>0</v>
      </c>
      <c r="AY92" s="35" t="s">
        <v>1151</v>
      </c>
      <c r="AZ92" s="35" t="s">
        <v>1169</v>
      </c>
      <c r="BA92" s="28" t="s">
        <v>1176</v>
      </c>
      <c r="BC92" s="34">
        <f t="shared" si="19"/>
        <v>0</v>
      </c>
      <c r="BD92" s="34">
        <f t="shared" si="20"/>
        <v>0</v>
      </c>
      <c r="BE92" s="34">
        <v>0</v>
      </c>
      <c r="BF92" s="34">
        <f>92</f>
        <v>92</v>
      </c>
      <c r="BH92" s="18">
        <f t="shared" si="21"/>
        <v>0</v>
      </c>
      <c r="BI92" s="18">
        <f t="shared" si="22"/>
        <v>0</v>
      </c>
      <c r="BJ92" s="18">
        <f t="shared" si="23"/>
        <v>0</v>
      </c>
    </row>
    <row r="93" spans="1:62" x14ac:dyDescent="0.2">
      <c r="A93" s="5" t="s">
        <v>49</v>
      </c>
      <c r="B93" s="5" t="s">
        <v>409</v>
      </c>
      <c r="C93" s="135" t="s">
        <v>775</v>
      </c>
      <c r="D93" s="136"/>
      <c r="E93" s="136"/>
      <c r="F93" s="5" t="s">
        <v>1102</v>
      </c>
      <c r="G93" s="18">
        <v>49.771999999999998</v>
      </c>
      <c r="H93" s="79">
        <v>0</v>
      </c>
      <c r="I93" s="18">
        <f t="shared" si="0"/>
        <v>0</v>
      </c>
      <c r="J93" s="18">
        <f t="shared" si="1"/>
        <v>0</v>
      </c>
      <c r="K93" s="18">
        <f t="shared" si="2"/>
        <v>0</v>
      </c>
      <c r="L93" s="29" t="s">
        <v>1127</v>
      </c>
      <c r="Z93" s="34">
        <f t="shared" si="3"/>
        <v>0</v>
      </c>
      <c r="AB93" s="34">
        <f t="shared" si="4"/>
        <v>0</v>
      </c>
      <c r="AC93" s="34">
        <f t="shared" si="5"/>
        <v>0</v>
      </c>
      <c r="AD93" s="34">
        <f t="shared" si="6"/>
        <v>0</v>
      </c>
      <c r="AE93" s="34">
        <f t="shared" si="7"/>
        <v>0</v>
      </c>
      <c r="AF93" s="34">
        <f t="shared" si="8"/>
        <v>0</v>
      </c>
      <c r="AG93" s="34">
        <f t="shared" si="9"/>
        <v>0</v>
      </c>
      <c r="AH93" s="34">
        <f t="shared" si="10"/>
        <v>0</v>
      </c>
      <c r="AI93" s="28" t="s">
        <v>1137</v>
      </c>
      <c r="AJ93" s="18">
        <f t="shared" si="11"/>
        <v>0</v>
      </c>
      <c r="AK93" s="18">
        <f t="shared" si="12"/>
        <v>0</v>
      </c>
      <c r="AL93" s="18">
        <f t="shared" si="13"/>
        <v>0</v>
      </c>
      <c r="AN93" s="34">
        <v>21</v>
      </c>
      <c r="AO93" s="34">
        <f t="shared" si="14"/>
        <v>0</v>
      </c>
      <c r="AP93" s="34">
        <f t="shared" si="15"/>
        <v>0</v>
      </c>
      <c r="AQ93" s="29" t="s">
        <v>11</v>
      </c>
      <c r="AV93" s="34">
        <f t="shared" si="16"/>
        <v>0</v>
      </c>
      <c r="AW93" s="34">
        <f t="shared" si="17"/>
        <v>0</v>
      </c>
      <c r="AX93" s="34">
        <f t="shared" si="18"/>
        <v>0</v>
      </c>
      <c r="AY93" s="35" t="s">
        <v>1151</v>
      </c>
      <c r="AZ93" s="35" t="s">
        <v>1169</v>
      </c>
      <c r="BA93" s="28" t="s">
        <v>1176</v>
      </c>
      <c r="BC93" s="34">
        <f t="shared" si="19"/>
        <v>0</v>
      </c>
      <c r="BD93" s="34">
        <f t="shared" si="20"/>
        <v>0</v>
      </c>
      <c r="BE93" s="34">
        <v>0</v>
      </c>
      <c r="BF93" s="34">
        <f>93</f>
        <v>93</v>
      </c>
      <c r="BH93" s="18">
        <f t="shared" si="21"/>
        <v>0</v>
      </c>
      <c r="BI93" s="18">
        <f t="shared" si="22"/>
        <v>0</v>
      </c>
      <c r="BJ93" s="18">
        <f t="shared" si="23"/>
        <v>0</v>
      </c>
    </row>
    <row r="94" spans="1:62" x14ac:dyDescent="0.2">
      <c r="A94" s="5" t="s">
        <v>50</v>
      </c>
      <c r="B94" s="5" t="s">
        <v>410</v>
      </c>
      <c r="C94" s="135" t="s">
        <v>776</v>
      </c>
      <c r="D94" s="136"/>
      <c r="E94" s="136"/>
      <c r="F94" s="5" t="s">
        <v>1102</v>
      </c>
      <c r="G94" s="18">
        <v>49.771999999999998</v>
      </c>
      <c r="H94" s="79">
        <v>0</v>
      </c>
      <c r="I94" s="18">
        <f t="shared" si="0"/>
        <v>0</v>
      </c>
      <c r="J94" s="18">
        <f t="shared" si="1"/>
        <v>0</v>
      </c>
      <c r="K94" s="18">
        <f t="shared" si="2"/>
        <v>0</v>
      </c>
      <c r="L94" s="29" t="s">
        <v>1127</v>
      </c>
      <c r="Z94" s="34">
        <f t="shared" si="3"/>
        <v>0</v>
      </c>
      <c r="AB94" s="34">
        <f t="shared" si="4"/>
        <v>0</v>
      </c>
      <c r="AC94" s="34">
        <f t="shared" si="5"/>
        <v>0</v>
      </c>
      <c r="AD94" s="34">
        <f t="shared" si="6"/>
        <v>0</v>
      </c>
      <c r="AE94" s="34">
        <f t="shared" si="7"/>
        <v>0</v>
      </c>
      <c r="AF94" s="34">
        <f t="shared" si="8"/>
        <v>0</v>
      </c>
      <c r="AG94" s="34">
        <f t="shared" si="9"/>
        <v>0</v>
      </c>
      <c r="AH94" s="34">
        <f t="shared" si="10"/>
        <v>0</v>
      </c>
      <c r="AI94" s="28" t="s">
        <v>1137</v>
      </c>
      <c r="AJ94" s="18">
        <f t="shared" si="11"/>
        <v>0</v>
      </c>
      <c r="AK94" s="18">
        <f t="shared" si="12"/>
        <v>0</v>
      </c>
      <c r="AL94" s="18">
        <f t="shared" si="13"/>
        <v>0</v>
      </c>
      <c r="AN94" s="34">
        <v>21</v>
      </c>
      <c r="AO94" s="34">
        <f t="shared" si="14"/>
        <v>0</v>
      </c>
      <c r="AP94" s="34">
        <f t="shared" si="15"/>
        <v>0</v>
      </c>
      <c r="AQ94" s="29" t="s">
        <v>11</v>
      </c>
      <c r="AV94" s="34">
        <f t="shared" si="16"/>
        <v>0</v>
      </c>
      <c r="AW94" s="34">
        <f t="shared" si="17"/>
        <v>0</v>
      </c>
      <c r="AX94" s="34">
        <f t="shared" si="18"/>
        <v>0</v>
      </c>
      <c r="AY94" s="35" t="s">
        <v>1151</v>
      </c>
      <c r="AZ94" s="35" t="s">
        <v>1169</v>
      </c>
      <c r="BA94" s="28" t="s">
        <v>1176</v>
      </c>
      <c r="BC94" s="34">
        <f t="shared" si="19"/>
        <v>0</v>
      </c>
      <c r="BD94" s="34">
        <f t="shared" si="20"/>
        <v>0</v>
      </c>
      <c r="BE94" s="34">
        <v>0</v>
      </c>
      <c r="BF94" s="34">
        <f>94</f>
        <v>94</v>
      </c>
      <c r="BH94" s="18">
        <f t="shared" si="21"/>
        <v>0</v>
      </c>
      <c r="BI94" s="18">
        <f t="shared" si="22"/>
        <v>0</v>
      </c>
      <c r="BJ94" s="18">
        <f t="shared" si="23"/>
        <v>0</v>
      </c>
    </row>
    <row r="95" spans="1:62" x14ac:dyDescent="0.2">
      <c r="A95" s="5" t="s">
        <v>51</v>
      </c>
      <c r="B95" s="5" t="s">
        <v>411</v>
      </c>
      <c r="C95" s="135" t="s">
        <v>777</v>
      </c>
      <c r="D95" s="136"/>
      <c r="E95" s="136"/>
      <c r="F95" s="5" t="s">
        <v>1102</v>
      </c>
      <c r="G95" s="18">
        <v>47.569000000000003</v>
      </c>
      <c r="H95" s="79">
        <v>0</v>
      </c>
      <c r="I95" s="18">
        <f t="shared" si="0"/>
        <v>0</v>
      </c>
      <c r="J95" s="18">
        <f t="shared" si="1"/>
        <v>0</v>
      </c>
      <c r="K95" s="18">
        <f t="shared" si="2"/>
        <v>0</v>
      </c>
      <c r="L95" s="29" t="s">
        <v>1127</v>
      </c>
      <c r="Z95" s="34">
        <f t="shared" si="3"/>
        <v>0</v>
      </c>
      <c r="AB95" s="34">
        <f t="shared" si="4"/>
        <v>0</v>
      </c>
      <c r="AC95" s="34">
        <f t="shared" si="5"/>
        <v>0</v>
      </c>
      <c r="AD95" s="34">
        <f t="shared" si="6"/>
        <v>0</v>
      </c>
      <c r="AE95" s="34">
        <f t="shared" si="7"/>
        <v>0</v>
      </c>
      <c r="AF95" s="34">
        <f t="shared" si="8"/>
        <v>0</v>
      </c>
      <c r="AG95" s="34">
        <f t="shared" si="9"/>
        <v>0</v>
      </c>
      <c r="AH95" s="34">
        <f t="shared" si="10"/>
        <v>0</v>
      </c>
      <c r="AI95" s="28" t="s">
        <v>1137</v>
      </c>
      <c r="AJ95" s="18">
        <f t="shared" si="11"/>
        <v>0</v>
      </c>
      <c r="AK95" s="18">
        <f t="shared" si="12"/>
        <v>0</v>
      </c>
      <c r="AL95" s="18">
        <f t="shared" si="13"/>
        <v>0</v>
      </c>
      <c r="AN95" s="34">
        <v>21</v>
      </c>
      <c r="AO95" s="34">
        <f t="shared" si="14"/>
        <v>0</v>
      </c>
      <c r="AP95" s="34">
        <f t="shared" si="15"/>
        <v>0</v>
      </c>
      <c r="AQ95" s="29" t="s">
        <v>11</v>
      </c>
      <c r="AV95" s="34">
        <f t="shared" si="16"/>
        <v>0</v>
      </c>
      <c r="AW95" s="34">
        <f t="shared" si="17"/>
        <v>0</v>
      </c>
      <c r="AX95" s="34">
        <f t="shared" si="18"/>
        <v>0</v>
      </c>
      <c r="AY95" s="35" t="s">
        <v>1151</v>
      </c>
      <c r="AZ95" s="35" t="s">
        <v>1169</v>
      </c>
      <c r="BA95" s="28" t="s">
        <v>1176</v>
      </c>
      <c r="BC95" s="34">
        <f t="shared" si="19"/>
        <v>0</v>
      </c>
      <c r="BD95" s="34">
        <f t="shared" si="20"/>
        <v>0</v>
      </c>
      <c r="BE95" s="34">
        <v>0</v>
      </c>
      <c r="BF95" s="34">
        <f>95</f>
        <v>95</v>
      </c>
      <c r="BH95" s="18">
        <f t="shared" si="21"/>
        <v>0</v>
      </c>
      <c r="BI95" s="18">
        <f t="shared" si="22"/>
        <v>0</v>
      </c>
      <c r="BJ95" s="18">
        <f t="shared" si="23"/>
        <v>0</v>
      </c>
    </row>
    <row r="96" spans="1:62" ht="36.75" customHeight="1" x14ac:dyDescent="0.2">
      <c r="C96" s="131" t="s">
        <v>778</v>
      </c>
      <c r="D96" s="132"/>
      <c r="E96" s="132"/>
      <c r="H96" s="80"/>
    </row>
    <row r="97" spans="1:62" x14ac:dyDescent="0.2">
      <c r="A97" s="5" t="s">
        <v>52</v>
      </c>
      <c r="B97" s="5" t="s">
        <v>412</v>
      </c>
      <c r="C97" s="135" t="s">
        <v>779</v>
      </c>
      <c r="D97" s="136"/>
      <c r="E97" s="136"/>
      <c r="F97" s="5" t="s">
        <v>1102</v>
      </c>
      <c r="G97" s="18">
        <v>2.2029999999999998</v>
      </c>
      <c r="H97" s="79">
        <v>0</v>
      </c>
      <c r="I97" s="18">
        <f>G97*AO97</f>
        <v>0</v>
      </c>
      <c r="J97" s="18">
        <f>G97*AP97</f>
        <v>0</v>
      </c>
      <c r="K97" s="18">
        <f>G97*H97</f>
        <v>0</v>
      </c>
      <c r="L97" s="29" t="s">
        <v>1127</v>
      </c>
      <c r="Z97" s="34">
        <f>IF(AQ97="5",BJ97,0)</f>
        <v>0</v>
      </c>
      <c r="AB97" s="34">
        <f>IF(AQ97="1",BH97,0)</f>
        <v>0</v>
      </c>
      <c r="AC97" s="34">
        <f>IF(AQ97="1",BI97,0)</f>
        <v>0</v>
      </c>
      <c r="AD97" s="34">
        <f>IF(AQ97="7",BH97,0)</f>
        <v>0</v>
      </c>
      <c r="AE97" s="34">
        <f>IF(AQ97="7",BI97,0)</f>
        <v>0</v>
      </c>
      <c r="AF97" s="34">
        <f>IF(AQ97="2",BH97,0)</f>
        <v>0</v>
      </c>
      <c r="AG97" s="34">
        <f>IF(AQ97="2",BI97,0)</f>
        <v>0</v>
      </c>
      <c r="AH97" s="34">
        <f>IF(AQ97="0",BJ97,0)</f>
        <v>0</v>
      </c>
      <c r="AI97" s="28" t="s">
        <v>1137</v>
      </c>
      <c r="AJ97" s="18">
        <f>IF(AN97=0,K97,0)</f>
        <v>0</v>
      </c>
      <c r="AK97" s="18">
        <f>IF(AN97=15,K97,0)</f>
        <v>0</v>
      </c>
      <c r="AL97" s="18">
        <f>IF(AN97=21,K97,0)</f>
        <v>0</v>
      </c>
      <c r="AN97" s="34">
        <v>21</v>
      </c>
      <c r="AO97" s="34">
        <f>H97*0</f>
        <v>0</v>
      </c>
      <c r="AP97" s="34">
        <f>H97*(1-0)</f>
        <v>0</v>
      </c>
      <c r="AQ97" s="29" t="s">
        <v>11</v>
      </c>
      <c r="AV97" s="34">
        <f>AW97+AX97</f>
        <v>0</v>
      </c>
      <c r="AW97" s="34">
        <f>G97*AO97</f>
        <v>0</v>
      </c>
      <c r="AX97" s="34">
        <f>G97*AP97</f>
        <v>0</v>
      </c>
      <c r="AY97" s="35" t="s">
        <v>1151</v>
      </c>
      <c r="AZ97" s="35" t="s">
        <v>1169</v>
      </c>
      <c r="BA97" s="28" t="s">
        <v>1176</v>
      </c>
      <c r="BC97" s="34">
        <f>AW97+AX97</f>
        <v>0</v>
      </c>
      <c r="BD97" s="34">
        <f>H97/(100-BE97)*100</f>
        <v>0</v>
      </c>
      <c r="BE97" s="34">
        <v>0</v>
      </c>
      <c r="BF97" s="34">
        <f>97</f>
        <v>97</v>
      </c>
      <c r="BH97" s="18">
        <f>G97*AO97</f>
        <v>0</v>
      </c>
      <c r="BI97" s="18">
        <f>G97*AP97</f>
        <v>0</v>
      </c>
      <c r="BJ97" s="18">
        <f>G97*H97</f>
        <v>0</v>
      </c>
    </row>
    <row r="98" spans="1:62" x14ac:dyDescent="0.2">
      <c r="A98" s="4"/>
      <c r="B98" s="14" t="s">
        <v>413</v>
      </c>
      <c r="C98" s="133" t="s">
        <v>780</v>
      </c>
      <c r="D98" s="134"/>
      <c r="E98" s="134"/>
      <c r="F98" s="4" t="s">
        <v>6</v>
      </c>
      <c r="G98" s="4" t="s">
        <v>6</v>
      </c>
      <c r="H98" s="4" t="s">
        <v>6</v>
      </c>
      <c r="I98" s="37">
        <f>SUM(I99:I99)</f>
        <v>0</v>
      </c>
      <c r="J98" s="37">
        <f>SUM(J99:J99)</f>
        <v>0</v>
      </c>
      <c r="K98" s="37">
        <f>SUM(K99:K99)</f>
        <v>0</v>
      </c>
      <c r="L98" s="28"/>
      <c r="AI98" s="28" t="s">
        <v>1137</v>
      </c>
      <c r="AS98" s="37">
        <f>SUM(AJ99:AJ99)</f>
        <v>0</v>
      </c>
      <c r="AT98" s="37">
        <f>SUM(AK99:AK99)</f>
        <v>0</v>
      </c>
      <c r="AU98" s="37">
        <f>SUM(AL99:AL99)</f>
        <v>0</v>
      </c>
    </row>
    <row r="99" spans="1:62" x14ac:dyDescent="0.2">
      <c r="A99" s="5" t="s">
        <v>53</v>
      </c>
      <c r="B99" s="5" t="s">
        <v>414</v>
      </c>
      <c r="C99" s="135" t="s">
        <v>781</v>
      </c>
      <c r="D99" s="136"/>
      <c r="E99" s="136"/>
      <c r="F99" s="5" t="s">
        <v>1102</v>
      </c>
      <c r="G99" s="18">
        <v>43.604199999999999</v>
      </c>
      <c r="H99" s="79">
        <v>0</v>
      </c>
      <c r="I99" s="18">
        <f>G99*AO99</f>
        <v>0</v>
      </c>
      <c r="J99" s="18">
        <f>G99*AP99</f>
        <v>0</v>
      </c>
      <c r="K99" s="18">
        <f>G99*H99</f>
        <v>0</v>
      </c>
      <c r="L99" s="29" t="s">
        <v>1127</v>
      </c>
      <c r="Z99" s="34">
        <f>IF(AQ99="5",BJ99,0)</f>
        <v>0</v>
      </c>
      <c r="AB99" s="34">
        <f>IF(AQ99="1",BH99,0)</f>
        <v>0</v>
      </c>
      <c r="AC99" s="34">
        <f>IF(AQ99="1",BI99,0)</f>
        <v>0</v>
      </c>
      <c r="AD99" s="34">
        <f>IF(AQ99="7",BH99,0)</f>
        <v>0</v>
      </c>
      <c r="AE99" s="34">
        <f>IF(AQ99="7",BI99,0)</f>
        <v>0</v>
      </c>
      <c r="AF99" s="34">
        <f>IF(AQ99="2",BH99,0)</f>
        <v>0</v>
      </c>
      <c r="AG99" s="34">
        <f>IF(AQ99="2",BI99,0)</f>
        <v>0</v>
      </c>
      <c r="AH99" s="34">
        <f>IF(AQ99="0",BJ99,0)</f>
        <v>0</v>
      </c>
      <c r="AI99" s="28" t="s">
        <v>1137</v>
      </c>
      <c r="AJ99" s="18">
        <f>IF(AN99=0,K99,0)</f>
        <v>0</v>
      </c>
      <c r="AK99" s="18">
        <f>IF(AN99=15,K99,0)</f>
        <v>0</v>
      </c>
      <c r="AL99" s="18">
        <f>IF(AN99=21,K99,0)</f>
        <v>0</v>
      </c>
      <c r="AN99" s="34">
        <v>21</v>
      </c>
      <c r="AO99" s="34">
        <f>H99*0</f>
        <v>0</v>
      </c>
      <c r="AP99" s="34">
        <f>H99*(1-0)</f>
        <v>0</v>
      </c>
      <c r="AQ99" s="29" t="s">
        <v>11</v>
      </c>
      <c r="AV99" s="34">
        <f>AW99+AX99</f>
        <v>0</v>
      </c>
      <c r="AW99" s="34">
        <f>G99*AO99</f>
        <v>0</v>
      </c>
      <c r="AX99" s="34">
        <f>G99*AP99</f>
        <v>0</v>
      </c>
      <c r="AY99" s="35" t="s">
        <v>1152</v>
      </c>
      <c r="AZ99" s="35" t="s">
        <v>1169</v>
      </c>
      <c r="BA99" s="28" t="s">
        <v>1176</v>
      </c>
      <c r="BC99" s="34">
        <f>AW99+AX99</f>
        <v>0</v>
      </c>
      <c r="BD99" s="34">
        <f>H99/(100-BE99)*100</f>
        <v>0</v>
      </c>
      <c r="BE99" s="34">
        <v>0</v>
      </c>
      <c r="BF99" s="34">
        <f>99</f>
        <v>99</v>
      </c>
      <c r="BH99" s="18">
        <f>G99*AO99</f>
        <v>0</v>
      </c>
      <c r="BI99" s="18">
        <f>G99*AP99</f>
        <v>0</v>
      </c>
      <c r="BJ99" s="18">
        <f>G99*H99</f>
        <v>0</v>
      </c>
    </row>
    <row r="100" spans="1:62" x14ac:dyDescent="0.2">
      <c r="A100" s="4"/>
      <c r="B100" s="14" t="s">
        <v>415</v>
      </c>
      <c r="C100" s="133" t="s">
        <v>782</v>
      </c>
      <c r="D100" s="134"/>
      <c r="E100" s="134"/>
      <c r="F100" s="4" t="s">
        <v>6</v>
      </c>
      <c r="G100" s="4" t="s">
        <v>6</v>
      </c>
      <c r="H100" s="4" t="s">
        <v>6</v>
      </c>
      <c r="I100" s="37">
        <f>SUM(I101:I148)</f>
        <v>0</v>
      </c>
      <c r="J100" s="37">
        <f>SUM(J101:J148)</f>
        <v>0</v>
      </c>
      <c r="K100" s="37">
        <f>SUM(K101:K148)</f>
        <v>0</v>
      </c>
      <c r="L100" s="28"/>
      <c r="AI100" s="28" t="s">
        <v>1137</v>
      </c>
      <c r="AS100" s="37">
        <f>SUM(AJ101:AJ148)</f>
        <v>0</v>
      </c>
      <c r="AT100" s="37">
        <f>SUM(AK101:AK148)</f>
        <v>0</v>
      </c>
      <c r="AU100" s="37">
        <f>SUM(AL101:AL148)</f>
        <v>0</v>
      </c>
    </row>
    <row r="101" spans="1:62" x14ac:dyDescent="0.2">
      <c r="A101" s="5" t="s">
        <v>54</v>
      </c>
      <c r="B101" s="5" t="s">
        <v>416</v>
      </c>
      <c r="C101" s="135" t="s">
        <v>783</v>
      </c>
      <c r="D101" s="136"/>
      <c r="E101" s="136"/>
      <c r="F101" s="5" t="s">
        <v>1101</v>
      </c>
      <c r="G101" s="18">
        <v>5.2</v>
      </c>
      <c r="H101" s="79">
        <v>0</v>
      </c>
      <c r="I101" s="18">
        <f t="shared" ref="I101:I148" si="24">G101*AO101</f>
        <v>0</v>
      </c>
      <c r="J101" s="18">
        <f t="shared" ref="J101:J148" si="25">G101*AP101</f>
        <v>0</v>
      </c>
      <c r="K101" s="18">
        <f t="shared" ref="K101:K148" si="26">G101*H101</f>
        <v>0</v>
      </c>
      <c r="L101" s="29" t="s">
        <v>1127</v>
      </c>
      <c r="Z101" s="34">
        <f t="shared" ref="Z101:Z148" si="27">IF(AQ101="5",BJ101,0)</f>
        <v>0</v>
      </c>
      <c r="AB101" s="34">
        <f t="shared" ref="AB101:AB148" si="28">IF(AQ101="1",BH101,0)</f>
        <v>0</v>
      </c>
      <c r="AC101" s="34">
        <f t="shared" ref="AC101:AC148" si="29">IF(AQ101="1",BI101,0)</f>
        <v>0</v>
      </c>
      <c r="AD101" s="34">
        <f t="shared" ref="AD101:AD148" si="30">IF(AQ101="7",BH101,0)</f>
        <v>0</v>
      </c>
      <c r="AE101" s="34">
        <f t="shared" ref="AE101:AE148" si="31">IF(AQ101="7",BI101,0)</f>
        <v>0</v>
      </c>
      <c r="AF101" s="34">
        <f t="shared" ref="AF101:AF148" si="32">IF(AQ101="2",BH101,0)</f>
        <v>0</v>
      </c>
      <c r="AG101" s="34">
        <f t="shared" ref="AG101:AG148" si="33">IF(AQ101="2",BI101,0)</f>
        <v>0</v>
      </c>
      <c r="AH101" s="34">
        <f t="shared" ref="AH101:AH148" si="34">IF(AQ101="0",BJ101,0)</f>
        <v>0</v>
      </c>
      <c r="AI101" s="28" t="s">
        <v>1137</v>
      </c>
      <c r="AJ101" s="18">
        <f t="shared" ref="AJ101:AJ148" si="35">IF(AN101=0,K101,0)</f>
        <v>0</v>
      </c>
      <c r="AK101" s="18">
        <f t="shared" ref="AK101:AK148" si="36">IF(AN101=15,K101,0)</f>
        <v>0</v>
      </c>
      <c r="AL101" s="18">
        <f t="shared" ref="AL101:AL148" si="37">IF(AN101=21,K101,0)</f>
        <v>0</v>
      </c>
      <c r="AN101" s="34">
        <v>21</v>
      </c>
      <c r="AO101" s="34">
        <f t="shared" ref="AO101:AO148" si="38">H101*0</f>
        <v>0</v>
      </c>
      <c r="AP101" s="34">
        <f t="shared" ref="AP101:AP148" si="39">H101*(1-0)</f>
        <v>0</v>
      </c>
      <c r="AQ101" s="29" t="s">
        <v>13</v>
      </c>
      <c r="AV101" s="34">
        <f t="shared" ref="AV101:AV148" si="40">AW101+AX101</f>
        <v>0</v>
      </c>
      <c r="AW101" s="34">
        <f t="shared" ref="AW101:AW148" si="41">G101*AO101</f>
        <v>0</v>
      </c>
      <c r="AX101" s="34">
        <f t="shared" ref="AX101:AX148" si="42">G101*AP101</f>
        <v>0</v>
      </c>
      <c r="AY101" s="35" t="s">
        <v>1153</v>
      </c>
      <c r="AZ101" s="35" t="s">
        <v>1170</v>
      </c>
      <c r="BA101" s="28" t="s">
        <v>1176</v>
      </c>
      <c r="BC101" s="34">
        <f t="shared" ref="BC101:BC148" si="43">AW101+AX101</f>
        <v>0</v>
      </c>
      <c r="BD101" s="34">
        <f t="shared" ref="BD101:BD148" si="44">H101/(100-BE101)*100</f>
        <v>0</v>
      </c>
      <c r="BE101" s="34">
        <v>0</v>
      </c>
      <c r="BF101" s="34">
        <f>101</f>
        <v>101</v>
      </c>
      <c r="BH101" s="18">
        <f t="shared" ref="BH101:BH148" si="45">G101*AO101</f>
        <v>0</v>
      </c>
      <c r="BI101" s="18">
        <f t="shared" ref="BI101:BI148" si="46">G101*AP101</f>
        <v>0</v>
      </c>
      <c r="BJ101" s="18">
        <f t="shared" ref="BJ101:BJ148" si="47">G101*H101</f>
        <v>0</v>
      </c>
    </row>
    <row r="102" spans="1:62" x14ac:dyDescent="0.2">
      <c r="A102" s="5" t="s">
        <v>55</v>
      </c>
      <c r="B102" s="5" t="s">
        <v>417</v>
      </c>
      <c r="C102" s="135" t="s">
        <v>784</v>
      </c>
      <c r="D102" s="136"/>
      <c r="E102" s="136"/>
      <c r="F102" s="5" t="s">
        <v>1101</v>
      </c>
      <c r="G102" s="18">
        <v>105.5</v>
      </c>
      <c r="H102" s="79">
        <v>0</v>
      </c>
      <c r="I102" s="18">
        <f t="shared" si="24"/>
        <v>0</v>
      </c>
      <c r="J102" s="18">
        <f t="shared" si="25"/>
        <v>0</v>
      </c>
      <c r="K102" s="18">
        <f t="shared" si="26"/>
        <v>0</v>
      </c>
      <c r="L102" s="29" t="s">
        <v>1127</v>
      </c>
      <c r="Z102" s="34">
        <f t="shared" si="27"/>
        <v>0</v>
      </c>
      <c r="AB102" s="34">
        <f t="shared" si="28"/>
        <v>0</v>
      </c>
      <c r="AC102" s="34">
        <f t="shared" si="29"/>
        <v>0</v>
      </c>
      <c r="AD102" s="34">
        <f t="shared" si="30"/>
        <v>0</v>
      </c>
      <c r="AE102" s="34">
        <f t="shared" si="31"/>
        <v>0</v>
      </c>
      <c r="AF102" s="34">
        <f t="shared" si="32"/>
        <v>0</v>
      </c>
      <c r="AG102" s="34">
        <f t="shared" si="33"/>
        <v>0</v>
      </c>
      <c r="AH102" s="34">
        <f t="shared" si="34"/>
        <v>0</v>
      </c>
      <c r="AI102" s="28" t="s">
        <v>1137</v>
      </c>
      <c r="AJ102" s="18">
        <f t="shared" si="35"/>
        <v>0</v>
      </c>
      <c r="AK102" s="18">
        <f t="shared" si="36"/>
        <v>0</v>
      </c>
      <c r="AL102" s="18">
        <f t="shared" si="37"/>
        <v>0</v>
      </c>
      <c r="AN102" s="34">
        <v>21</v>
      </c>
      <c r="AO102" s="34">
        <f t="shared" si="38"/>
        <v>0</v>
      </c>
      <c r="AP102" s="34">
        <f t="shared" si="39"/>
        <v>0</v>
      </c>
      <c r="AQ102" s="29" t="s">
        <v>13</v>
      </c>
      <c r="AV102" s="34">
        <f t="shared" si="40"/>
        <v>0</v>
      </c>
      <c r="AW102" s="34">
        <f t="shared" si="41"/>
        <v>0</v>
      </c>
      <c r="AX102" s="34">
        <f t="shared" si="42"/>
        <v>0</v>
      </c>
      <c r="AY102" s="35" t="s">
        <v>1153</v>
      </c>
      <c r="AZ102" s="35" t="s">
        <v>1170</v>
      </c>
      <c r="BA102" s="28" t="s">
        <v>1176</v>
      </c>
      <c r="BC102" s="34">
        <f t="shared" si="43"/>
        <v>0</v>
      </c>
      <c r="BD102" s="34">
        <f t="shared" si="44"/>
        <v>0</v>
      </c>
      <c r="BE102" s="34">
        <v>0</v>
      </c>
      <c r="BF102" s="34">
        <f>102</f>
        <v>102</v>
      </c>
      <c r="BH102" s="18">
        <f t="shared" si="45"/>
        <v>0</v>
      </c>
      <c r="BI102" s="18">
        <f t="shared" si="46"/>
        <v>0</v>
      </c>
      <c r="BJ102" s="18">
        <f t="shared" si="47"/>
        <v>0</v>
      </c>
    </row>
    <row r="103" spans="1:62" x14ac:dyDescent="0.2">
      <c r="A103" s="5" t="s">
        <v>56</v>
      </c>
      <c r="B103" s="5" t="s">
        <v>418</v>
      </c>
      <c r="C103" s="135" t="s">
        <v>785</v>
      </c>
      <c r="D103" s="136"/>
      <c r="E103" s="136"/>
      <c r="F103" s="5" t="s">
        <v>1103</v>
      </c>
      <c r="G103" s="18">
        <v>16</v>
      </c>
      <c r="H103" s="79">
        <v>0</v>
      </c>
      <c r="I103" s="18">
        <f t="shared" si="24"/>
        <v>0</v>
      </c>
      <c r="J103" s="18">
        <f t="shared" si="25"/>
        <v>0</v>
      </c>
      <c r="K103" s="18">
        <f t="shared" si="26"/>
        <v>0</v>
      </c>
      <c r="L103" s="29" t="s">
        <v>1127</v>
      </c>
      <c r="Z103" s="34">
        <f t="shared" si="27"/>
        <v>0</v>
      </c>
      <c r="AB103" s="34">
        <f t="shared" si="28"/>
        <v>0</v>
      </c>
      <c r="AC103" s="34">
        <f t="shared" si="29"/>
        <v>0</v>
      </c>
      <c r="AD103" s="34">
        <f t="shared" si="30"/>
        <v>0</v>
      </c>
      <c r="AE103" s="34">
        <f t="shared" si="31"/>
        <v>0</v>
      </c>
      <c r="AF103" s="34">
        <f t="shared" si="32"/>
        <v>0</v>
      </c>
      <c r="AG103" s="34">
        <f t="shared" si="33"/>
        <v>0</v>
      </c>
      <c r="AH103" s="34">
        <f t="shared" si="34"/>
        <v>0</v>
      </c>
      <c r="AI103" s="28" t="s">
        <v>1137</v>
      </c>
      <c r="AJ103" s="18">
        <f t="shared" si="35"/>
        <v>0</v>
      </c>
      <c r="AK103" s="18">
        <f t="shared" si="36"/>
        <v>0</v>
      </c>
      <c r="AL103" s="18">
        <f t="shared" si="37"/>
        <v>0</v>
      </c>
      <c r="AN103" s="34">
        <v>21</v>
      </c>
      <c r="AO103" s="34">
        <f t="shared" si="38"/>
        <v>0</v>
      </c>
      <c r="AP103" s="34">
        <f t="shared" si="39"/>
        <v>0</v>
      </c>
      <c r="AQ103" s="29" t="s">
        <v>13</v>
      </c>
      <c r="AV103" s="34">
        <f t="shared" si="40"/>
        <v>0</v>
      </c>
      <c r="AW103" s="34">
        <f t="shared" si="41"/>
        <v>0</v>
      </c>
      <c r="AX103" s="34">
        <f t="shared" si="42"/>
        <v>0</v>
      </c>
      <c r="AY103" s="35" t="s">
        <v>1153</v>
      </c>
      <c r="AZ103" s="35" t="s">
        <v>1170</v>
      </c>
      <c r="BA103" s="28" t="s">
        <v>1176</v>
      </c>
      <c r="BC103" s="34">
        <f t="shared" si="43"/>
        <v>0</v>
      </c>
      <c r="BD103" s="34">
        <f t="shared" si="44"/>
        <v>0</v>
      </c>
      <c r="BE103" s="34">
        <v>0</v>
      </c>
      <c r="BF103" s="34">
        <f>103</f>
        <v>103</v>
      </c>
      <c r="BH103" s="18">
        <f t="shared" si="45"/>
        <v>0</v>
      </c>
      <c r="BI103" s="18">
        <f t="shared" si="46"/>
        <v>0</v>
      </c>
      <c r="BJ103" s="18">
        <f t="shared" si="47"/>
        <v>0</v>
      </c>
    </row>
    <row r="104" spans="1:62" x14ac:dyDescent="0.2">
      <c r="A104" s="5" t="s">
        <v>57</v>
      </c>
      <c r="B104" s="5" t="s">
        <v>419</v>
      </c>
      <c r="C104" s="135" t="s">
        <v>786</v>
      </c>
      <c r="D104" s="136"/>
      <c r="E104" s="136"/>
      <c r="F104" s="5" t="s">
        <v>1103</v>
      </c>
      <c r="G104" s="18">
        <v>12</v>
      </c>
      <c r="H104" s="79">
        <v>0</v>
      </c>
      <c r="I104" s="18">
        <f t="shared" si="24"/>
        <v>0</v>
      </c>
      <c r="J104" s="18">
        <f t="shared" si="25"/>
        <v>0</v>
      </c>
      <c r="K104" s="18">
        <f t="shared" si="26"/>
        <v>0</v>
      </c>
      <c r="L104" s="29" t="s">
        <v>1127</v>
      </c>
      <c r="Z104" s="34">
        <f t="shared" si="27"/>
        <v>0</v>
      </c>
      <c r="AB104" s="34">
        <f t="shared" si="28"/>
        <v>0</v>
      </c>
      <c r="AC104" s="34">
        <f t="shared" si="29"/>
        <v>0</v>
      </c>
      <c r="AD104" s="34">
        <f t="shared" si="30"/>
        <v>0</v>
      </c>
      <c r="AE104" s="34">
        <f t="shared" si="31"/>
        <v>0</v>
      </c>
      <c r="AF104" s="34">
        <f t="shared" si="32"/>
        <v>0</v>
      </c>
      <c r="AG104" s="34">
        <f t="shared" si="33"/>
        <v>0</v>
      </c>
      <c r="AH104" s="34">
        <f t="shared" si="34"/>
        <v>0</v>
      </c>
      <c r="AI104" s="28" t="s">
        <v>1137</v>
      </c>
      <c r="AJ104" s="18">
        <f t="shared" si="35"/>
        <v>0</v>
      </c>
      <c r="AK104" s="18">
        <f t="shared" si="36"/>
        <v>0</v>
      </c>
      <c r="AL104" s="18">
        <f t="shared" si="37"/>
        <v>0</v>
      </c>
      <c r="AN104" s="34">
        <v>21</v>
      </c>
      <c r="AO104" s="34">
        <f t="shared" si="38"/>
        <v>0</v>
      </c>
      <c r="AP104" s="34">
        <f t="shared" si="39"/>
        <v>0</v>
      </c>
      <c r="AQ104" s="29" t="s">
        <v>13</v>
      </c>
      <c r="AV104" s="34">
        <f t="shared" si="40"/>
        <v>0</v>
      </c>
      <c r="AW104" s="34">
        <f t="shared" si="41"/>
        <v>0</v>
      </c>
      <c r="AX104" s="34">
        <f t="shared" si="42"/>
        <v>0</v>
      </c>
      <c r="AY104" s="35" t="s">
        <v>1153</v>
      </c>
      <c r="AZ104" s="35" t="s">
        <v>1170</v>
      </c>
      <c r="BA104" s="28" t="s">
        <v>1176</v>
      </c>
      <c r="BC104" s="34">
        <f t="shared" si="43"/>
        <v>0</v>
      </c>
      <c r="BD104" s="34">
        <f t="shared" si="44"/>
        <v>0</v>
      </c>
      <c r="BE104" s="34">
        <v>0</v>
      </c>
      <c r="BF104" s="34">
        <f>104</f>
        <v>104</v>
      </c>
      <c r="BH104" s="18">
        <f t="shared" si="45"/>
        <v>0</v>
      </c>
      <c r="BI104" s="18">
        <f t="shared" si="46"/>
        <v>0</v>
      </c>
      <c r="BJ104" s="18">
        <f t="shared" si="47"/>
        <v>0</v>
      </c>
    </row>
    <row r="105" spans="1:62" x14ac:dyDescent="0.2">
      <c r="A105" s="5" t="s">
        <v>58</v>
      </c>
      <c r="B105" s="5" t="s">
        <v>420</v>
      </c>
      <c r="C105" s="135" t="s">
        <v>787</v>
      </c>
      <c r="D105" s="136"/>
      <c r="E105" s="136"/>
      <c r="F105" s="5" t="s">
        <v>1103</v>
      </c>
      <c r="G105" s="18">
        <v>2</v>
      </c>
      <c r="H105" s="79">
        <v>0</v>
      </c>
      <c r="I105" s="18">
        <f t="shared" si="24"/>
        <v>0</v>
      </c>
      <c r="J105" s="18">
        <f t="shared" si="25"/>
        <v>0</v>
      </c>
      <c r="K105" s="18">
        <f t="shared" si="26"/>
        <v>0</v>
      </c>
      <c r="L105" s="29" t="s">
        <v>1127</v>
      </c>
      <c r="Z105" s="34">
        <f t="shared" si="27"/>
        <v>0</v>
      </c>
      <c r="AB105" s="34">
        <f t="shared" si="28"/>
        <v>0</v>
      </c>
      <c r="AC105" s="34">
        <f t="shared" si="29"/>
        <v>0</v>
      </c>
      <c r="AD105" s="34">
        <f t="shared" si="30"/>
        <v>0</v>
      </c>
      <c r="AE105" s="34">
        <f t="shared" si="31"/>
        <v>0</v>
      </c>
      <c r="AF105" s="34">
        <f t="shared" si="32"/>
        <v>0</v>
      </c>
      <c r="AG105" s="34">
        <f t="shared" si="33"/>
        <v>0</v>
      </c>
      <c r="AH105" s="34">
        <f t="shared" si="34"/>
        <v>0</v>
      </c>
      <c r="AI105" s="28" t="s">
        <v>1137</v>
      </c>
      <c r="AJ105" s="18">
        <f t="shared" si="35"/>
        <v>0</v>
      </c>
      <c r="AK105" s="18">
        <f t="shared" si="36"/>
        <v>0</v>
      </c>
      <c r="AL105" s="18">
        <f t="shared" si="37"/>
        <v>0</v>
      </c>
      <c r="AN105" s="34">
        <v>21</v>
      </c>
      <c r="AO105" s="34">
        <f t="shared" si="38"/>
        <v>0</v>
      </c>
      <c r="AP105" s="34">
        <f t="shared" si="39"/>
        <v>0</v>
      </c>
      <c r="AQ105" s="29" t="s">
        <v>13</v>
      </c>
      <c r="AV105" s="34">
        <f t="shared" si="40"/>
        <v>0</v>
      </c>
      <c r="AW105" s="34">
        <f t="shared" si="41"/>
        <v>0</v>
      </c>
      <c r="AX105" s="34">
        <f t="shared" si="42"/>
        <v>0</v>
      </c>
      <c r="AY105" s="35" t="s">
        <v>1153</v>
      </c>
      <c r="AZ105" s="35" t="s">
        <v>1170</v>
      </c>
      <c r="BA105" s="28" t="s">
        <v>1176</v>
      </c>
      <c r="BC105" s="34">
        <f t="shared" si="43"/>
        <v>0</v>
      </c>
      <c r="BD105" s="34">
        <f t="shared" si="44"/>
        <v>0</v>
      </c>
      <c r="BE105" s="34">
        <v>0</v>
      </c>
      <c r="BF105" s="34">
        <f>105</f>
        <v>105</v>
      </c>
      <c r="BH105" s="18">
        <f t="shared" si="45"/>
        <v>0</v>
      </c>
      <c r="BI105" s="18">
        <f t="shared" si="46"/>
        <v>0</v>
      </c>
      <c r="BJ105" s="18">
        <f t="shared" si="47"/>
        <v>0</v>
      </c>
    </row>
    <row r="106" spans="1:62" x14ac:dyDescent="0.2">
      <c r="A106" s="5" t="s">
        <v>59</v>
      </c>
      <c r="B106" s="5" t="s">
        <v>421</v>
      </c>
      <c r="C106" s="135" t="s">
        <v>788</v>
      </c>
      <c r="D106" s="136"/>
      <c r="E106" s="136"/>
      <c r="F106" s="5" t="s">
        <v>1103</v>
      </c>
      <c r="G106" s="18">
        <v>8</v>
      </c>
      <c r="H106" s="79">
        <v>0</v>
      </c>
      <c r="I106" s="18">
        <f t="shared" si="24"/>
        <v>0</v>
      </c>
      <c r="J106" s="18">
        <f t="shared" si="25"/>
        <v>0</v>
      </c>
      <c r="K106" s="18">
        <f t="shared" si="26"/>
        <v>0</v>
      </c>
      <c r="L106" s="29" t="s">
        <v>1127</v>
      </c>
      <c r="Z106" s="34">
        <f t="shared" si="27"/>
        <v>0</v>
      </c>
      <c r="AB106" s="34">
        <f t="shared" si="28"/>
        <v>0</v>
      </c>
      <c r="AC106" s="34">
        <f t="shared" si="29"/>
        <v>0</v>
      </c>
      <c r="AD106" s="34">
        <f t="shared" si="30"/>
        <v>0</v>
      </c>
      <c r="AE106" s="34">
        <f t="shared" si="31"/>
        <v>0</v>
      </c>
      <c r="AF106" s="34">
        <f t="shared" si="32"/>
        <v>0</v>
      </c>
      <c r="AG106" s="34">
        <f t="shared" si="33"/>
        <v>0</v>
      </c>
      <c r="AH106" s="34">
        <f t="shared" si="34"/>
        <v>0</v>
      </c>
      <c r="AI106" s="28" t="s">
        <v>1137</v>
      </c>
      <c r="AJ106" s="18">
        <f t="shared" si="35"/>
        <v>0</v>
      </c>
      <c r="AK106" s="18">
        <f t="shared" si="36"/>
        <v>0</v>
      </c>
      <c r="AL106" s="18">
        <f t="shared" si="37"/>
        <v>0</v>
      </c>
      <c r="AN106" s="34">
        <v>21</v>
      </c>
      <c r="AO106" s="34">
        <f t="shared" si="38"/>
        <v>0</v>
      </c>
      <c r="AP106" s="34">
        <f t="shared" si="39"/>
        <v>0</v>
      </c>
      <c r="AQ106" s="29" t="s">
        <v>13</v>
      </c>
      <c r="AV106" s="34">
        <f t="shared" si="40"/>
        <v>0</v>
      </c>
      <c r="AW106" s="34">
        <f t="shared" si="41"/>
        <v>0</v>
      </c>
      <c r="AX106" s="34">
        <f t="shared" si="42"/>
        <v>0</v>
      </c>
      <c r="AY106" s="35" t="s">
        <v>1153</v>
      </c>
      <c r="AZ106" s="35" t="s">
        <v>1170</v>
      </c>
      <c r="BA106" s="28" t="s">
        <v>1176</v>
      </c>
      <c r="BC106" s="34">
        <f t="shared" si="43"/>
        <v>0</v>
      </c>
      <c r="BD106" s="34">
        <f t="shared" si="44"/>
        <v>0</v>
      </c>
      <c r="BE106" s="34">
        <v>0</v>
      </c>
      <c r="BF106" s="34">
        <f>106</f>
        <v>106</v>
      </c>
      <c r="BH106" s="18">
        <f t="shared" si="45"/>
        <v>0</v>
      </c>
      <c r="BI106" s="18">
        <f t="shared" si="46"/>
        <v>0</v>
      </c>
      <c r="BJ106" s="18">
        <f t="shared" si="47"/>
        <v>0</v>
      </c>
    </row>
    <row r="107" spans="1:62" x14ac:dyDescent="0.2">
      <c r="A107" s="5" t="s">
        <v>60</v>
      </c>
      <c r="B107" s="5" t="s">
        <v>422</v>
      </c>
      <c r="C107" s="135" t="s">
        <v>789</v>
      </c>
      <c r="D107" s="136"/>
      <c r="E107" s="136"/>
      <c r="F107" s="5" t="s">
        <v>1103</v>
      </c>
      <c r="G107" s="18">
        <v>2</v>
      </c>
      <c r="H107" s="79">
        <v>0</v>
      </c>
      <c r="I107" s="18">
        <f t="shared" si="24"/>
        <v>0</v>
      </c>
      <c r="J107" s="18">
        <f t="shared" si="25"/>
        <v>0</v>
      </c>
      <c r="K107" s="18">
        <f t="shared" si="26"/>
        <v>0</v>
      </c>
      <c r="L107" s="29" t="s">
        <v>1127</v>
      </c>
      <c r="Z107" s="34">
        <f t="shared" si="27"/>
        <v>0</v>
      </c>
      <c r="AB107" s="34">
        <f t="shared" si="28"/>
        <v>0</v>
      </c>
      <c r="AC107" s="34">
        <f t="shared" si="29"/>
        <v>0</v>
      </c>
      <c r="AD107" s="34">
        <f t="shared" si="30"/>
        <v>0</v>
      </c>
      <c r="AE107" s="34">
        <f t="shared" si="31"/>
        <v>0</v>
      </c>
      <c r="AF107" s="34">
        <f t="shared" si="32"/>
        <v>0</v>
      </c>
      <c r="AG107" s="34">
        <f t="shared" si="33"/>
        <v>0</v>
      </c>
      <c r="AH107" s="34">
        <f t="shared" si="34"/>
        <v>0</v>
      </c>
      <c r="AI107" s="28" t="s">
        <v>1137</v>
      </c>
      <c r="AJ107" s="18">
        <f t="shared" si="35"/>
        <v>0</v>
      </c>
      <c r="AK107" s="18">
        <f t="shared" si="36"/>
        <v>0</v>
      </c>
      <c r="AL107" s="18">
        <f t="shared" si="37"/>
        <v>0</v>
      </c>
      <c r="AN107" s="34">
        <v>21</v>
      </c>
      <c r="AO107" s="34">
        <f t="shared" si="38"/>
        <v>0</v>
      </c>
      <c r="AP107" s="34">
        <f t="shared" si="39"/>
        <v>0</v>
      </c>
      <c r="AQ107" s="29" t="s">
        <v>13</v>
      </c>
      <c r="AV107" s="34">
        <f t="shared" si="40"/>
        <v>0</v>
      </c>
      <c r="AW107" s="34">
        <f t="shared" si="41"/>
        <v>0</v>
      </c>
      <c r="AX107" s="34">
        <f t="shared" si="42"/>
        <v>0</v>
      </c>
      <c r="AY107" s="35" t="s">
        <v>1153</v>
      </c>
      <c r="AZ107" s="35" t="s">
        <v>1170</v>
      </c>
      <c r="BA107" s="28" t="s">
        <v>1176</v>
      </c>
      <c r="BC107" s="34">
        <f t="shared" si="43"/>
        <v>0</v>
      </c>
      <c r="BD107" s="34">
        <f t="shared" si="44"/>
        <v>0</v>
      </c>
      <c r="BE107" s="34">
        <v>0</v>
      </c>
      <c r="BF107" s="34">
        <f>107</f>
        <v>107</v>
      </c>
      <c r="BH107" s="18">
        <f t="shared" si="45"/>
        <v>0</v>
      </c>
      <c r="BI107" s="18">
        <f t="shared" si="46"/>
        <v>0</v>
      </c>
      <c r="BJ107" s="18">
        <f t="shared" si="47"/>
        <v>0</v>
      </c>
    </row>
    <row r="108" spans="1:62" x14ac:dyDescent="0.2">
      <c r="A108" s="5" t="s">
        <v>61</v>
      </c>
      <c r="B108" s="5" t="s">
        <v>423</v>
      </c>
      <c r="C108" s="135" t="s">
        <v>1329</v>
      </c>
      <c r="D108" s="136"/>
      <c r="E108" s="136"/>
      <c r="F108" s="5" t="s">
        <v>1101</v>
      </c>
      <c r="G108" s="18">
        <v>4.5</v>
      </c>
      <c r="H108" s="79">
        <v>0</v>
      </c>
      <c r="I108" s="18">
        <f t="shared" si="24"/>
        <v>0</v>
      </c>
      <c r="J108" s="18">
        <f t="shared" si="25"/>
        <v>0</v>
      </c>
      <c r="K108" s="18">
        <f t="shared" si="26"/>
        <v>0</v>
      </c>
      <c r="L108" s="29" t="s">
        <v>1127</v>
      </c>
      <c r="Z108" s="34">
        <f t="shared" si="27"/>
        <v>0</v>
      </c>
      <c r="AB108" s="34">
        <f t="shared" si="28"/>
        <v>0</v>
      </c>
      <c r="AC108" s="34">
        <f t="shared" si="29"/>
        <v>0</v>
      </c>
      <c r="AD108" s="34">
        <f t="shared" si="30"/>
        <v>0</v>
      </c>
      <c r="AE108" s="34">
        <f t="shared" si="31"/>
        <v>0</v>
      </c>
      <c r="AF108" s="34">
        <f t="shared" si="32"/>
        <v>0</v>
      </c>
      <c r="AG108" s="34">
        <f t="shared" si="33"/>
        <v>0</v>
      </c>
      <c r="AH108" s="34">
        <f t="shared" si="34"/>
        <v>0</v>
      </c>
      <c r="AI108" s="28" t="s">
        <v>1137</v>
      </c>
      <c r="AJ108" s="18">
        <f t="shared" si="35"/>
        <v>0</v>
      </c>
      <c r="AK108" s="18">
        <f t="shared" si="36"/>
        <v>0</v>
      </c>
      <c r="AL108" s="18">
        <f t="shared" si="37"/>
        <v>0</v>
      </c>
      <c r="AN108" s="34">
        <v>21</v>
      </c>
      <c r="AO108" s="34">
        <f t="shared" si="38"/>
        <v>0</v>
      </c>
      <c r="AP108" s="34">
        <f t="shared" si="39"/>
        <v>0</v>
      </c>
      <c r="AQ108" s="29" t="s">
        <v>13</v>
      </c>
      <c r="AV108" s="34">
        <f t="shared" si="40"/>
        <v>0</v>
      </c>
      <c r="AW108" s="34">
        <f t="shared" si="41"/>
        <v>0</v>
      </c>
      <c r="AX108" s="34">
        <f t="shared" si="42"/>
        <v>0</v>
      </c>
      <c r="AY108" s="35" t="s">
        <v>1153</v>
      </c>
      <c r="AZ108" s="35" t="s">
        <v>1170</v>
      </c>
      <c r="BA108" s="28" t="s">
        <v>1176</v>
      </c>
      <c r="BC108" s="34">
        <f t="shared" si="43"/>
        <v>0</v>
      </c>
      <c r="BD108" s="34">
        <f t="shared" si="44"/>
        <v>0</v>
      </c>
      <c r="BE108" s="34">
        <v>0</v>
      </c>
      <c r="BF108" s="34">
        <f>108</f>
        <v>108</v>
      </c>
      <c r="BH108" s="18">
        <f t="shared" si="45"/>
        <v>0</v>
      </c>
      <c r="BI108" s="18">
        <f t="shared" si="46"/>
        <v>0</v>
      </c>
      <c r="BJ108" s="18">
        <f t="shared" si="47"/>
        <v>0</v>
      </c>
    </row>
    <row r="109" spans="1:62" x14ac:dyDescent="0.2">
      <c r="A109" s="5" t="s">
        <v>62</v>
      </c>
      <c r="B109" s="5" t="s">
        <v>424</v>
      </c>
      <c r="C109" s="135" t="s">
        <v>1328</v>
      </c>
      <c r="D109" s="136"/>
      <c r="E109" s="136"/>
      <c r="F109" s="5" t="s">
        <v>1101</v>
      </c>
      <c r="G109" s="18">
        <v>5.5</v>
      </c>
      <c r="H109" s="79">
        <v>0</v>
      </c>
      <c r="I109" s="18">
        <f t="shared" si="24"/>
        <v>0</v>
      </c>
      <c r="J109" s="18">
        <f t="shared" si="25"/>
        <v>0</v>
      </c>
      <c r="K109" s="18">
        <f t="shared" si="26"/>
        <v>0</v>
      </c>
      <c r="L109" s="29" t="s">
        <v>1127</v>
      </c>
      <c r="Z109" s="34">
        <f t="shared" si="27"/>
        <v>0</v>
      </c>
      <c r="AB109" s="34">
        <f t="shared" si="28"/>
        <v>0</v>
      </c>
      <c r="AC109" s="34">
        <f t="shared" si="29"/>
        <v>0</v>
      </c>
      <c r="AD109" s="34">
        <f t="shared" si="30"/>
        <v>0</v>
      </c>
      <c r="AE109" s="34">
        <f t="shared" si="31"/>
        <v>0</v>
      </c>
      <c r="AF109" s="34">
        <f t="shared" si="32"/>
        <v>0</v>
      </c>
      <c r="AG109" s="34">
        <f t="shared" si="33"/>
        <v>0</v>
      </c>
      <c r="AH109" s="34">
        <f t="shared" si="34"/>
        <v>0</v>
      </c>
      <c r="AI109" s="28" t="s">
        <v>1137</v>
      </c>
      <c r="AJ109" s="18">
        <f t="shared" si="35"/>
        <v>0</v>
      </c>
      <c r="AK109" s="18">
        <f t="shared" si="36"/>
        <v>0</v>
      </c>
      <c r="AL109" s="18">
        <f t="shared" si="37"/>
        <v>0</v>
      </c>
      <c r="AN109" s="34">
        <v>21</v>
      </c>
      <c r="AO109" s="34">
        <f t="shared" si="38"/>
        <v>0</v>
      </c>
      <c r="AP109" s="34">
        <f t="shared" si="39"/>
        <v>0</v>
      </c>
      <c r="AQ109" s="29" t="s">
        <v>13</v>
      </c>
      <c r="AV109" s="34">
        <f t="shared" si="40"/>
        <v>0</v>
      </c>
      <c r="AW109" s="34">
        <f t="shared" si="41"/>
        <v>0</v>
      </c>
      <c r="AX109" s="34">
        <f t="shared" si="42"/>
        <v>0</v>
      </c>
      <c r="AY109" s="35" t="s">
        <v>1153</v>
      </c>
      <c r="AZ109" s="35" t="s">
        <v>1170</v>
      </c>
      <c r="BA109" s="28" t="s">
        <v>1176</v>
      </c>
      <c r="BC109" s="34">
        <f t="shared" si="43"/>
        <v>0</v>
      </c>
      <c r="BD109" s="34">
        <f t="shared" si="44"/>
        <v>0</v>
      </c>
      <c r="BE109" s="34">
        <v>0</v>
      </c>
      <c r="BF109" s="34">
        <f>109</f>
        <v>109</v>
      </c>
      <c r="BH109" s="18">
        <f t="shared" si="45"/>
        <v>0</v>
      </c>
      <c r="BI109" s="18">
        <f t="shared" si="46"/>
        <v>0</v>
      </c>
      <c r="BJ109" s="18">
        <f t="shared" si="47"/>
        <v>0</v>
      </c>
    </row>
    <row r="110" spans="1:62" x14ac:dyDescent="0.2">
      <c r="A110" s="5" t="s">
        <v>63</v>
      </c>
      <c r="B110" s="5" t="s">
        <v>425</v>
      </c>
      <c r="C110" s="135" t="s">
        <v>790</v>
      </c>
      <c r="D110" s="136"/>
      <c r="E110" s="136"/>
      <c r="F110" s="5" t="s">
        <v>1101</v>
      </c>
      <c r="G110" s="18">
        <v>4.5</v>
      </c>
      <c r="H110" s="79">
        <v>0</v>
      </c>
      <c r="I110" s="18">
        <f t="shared" si="24"/>
        <v>0</v>
      </c>
      <c r="J110" s="18">
        <f t="shared" si="25"/>
        <v>0</v>
      </c>
      <c r="K110" s="18">
        <f t="shared" si="26"/>
        <v>0</v>
      </c>
      <c r="L110" s="29" t="s">
        <v>1127</v>
      </c>
      <c r="Z110" s="34">
        <f t="shared" si="27"/>
        <v>0</v>
      </c>
      <c r="AB110" s="34">
        <f t="shared" si="28"/>
        <v>0</v>
      </c>
      <c r="AC110" s="34">
        <f t="shared" si="29"/>
        <v>0</v>
      </c>
      <c r="AD110" s="34">
        <f t="shared" si="30"/>
        <v>0</v>
      </c>
      <c r="AE110" s="34">
        <f t="shared" si="31"/>
        <v>0</v>
      </c>
      <c r="AF110" s="34">
        <f t="shared" si="32"/>
        <v>0</v>
      </c>
      <c r="AG110" s="34">
        <f t="shared" si="33"/>
        <v>0</v>
      </c>
      <c r="AH110" s="34">
        <f t="shared" si="34"/>
        <v>0</v>
      </c>
      <c r="AI110" s="28" t="s">
        <v>1137</v>
      </c>
      <c r="AJ110" s="18">
        <f t="shared" si="35"/>
        <v>0</v>
      </c>
      <c r="AK110" s="18">
        <f t="shared" si="36"/>
        <v>0</v>
      </c>
      <c r="AL110" s="18">
        <f t="shared" si="37"/>
        <v>0</v>
      </c>
      <c r="AN110" s="34">
        <v>21</v>
      </c>
      <c r="AO110" s="34">
        <f t="shared" si="38"/>
        <v>0</v>
      </c>
      <c r="AP110" s="34">
        <f t="shared" si="39"/>
        <v>0</v>
      </c>
      <c r="AQ110" s="29" t="s">
        <v>13</v>
      </c>
      <c r="AV110" s="34">
        <f t="shared" si="40"/>
        <v>0</v>
      </c>
      <c r="AW110" s="34">
        <f t="shared" si="41"/>
        <v>0</v>
      </c>
      <c r="AX110" s="34">
        <f t="shared" si="42"/>
        <v>0</v>
      </c>
      <c r="AY110" s="35" t="s">
        <v>1153</v>
      </c>
      <c r="AZ110" s="35" t="s">
        <v>1170</v>
      </c>
      <c r="BA110" s="28" t="s">
        <v>1176</v>
      </c>
      <c r="BC110" s="34">
        <f t="shared" si="43"/>
        <v>0</v>
      </c>
      <c r="BD110" s="34">
        <f t="shared" si="44"/>
        <v>0</v>
      </c>
      <c r="BE110" s="34">
        <v>0</v>
      </c>
      <c r="BF110" s="34">
        <f>110</f>
        <v>110</v>
      </c>
      <c r="BH110" s="18">
        <f t="shared" si="45"/>
        <v>0</v>
      </c>
      <c r="BI110" s="18">
        <f t="shared" si="46"/>
        <v>0</v>
      </c>
      <c r="BJ110" s="18">
        <f t="shared" si="47"/>
        <v>0</v>
      </c>
    </row>
    <row r="111" spans="1:62" x14ac:dyDescent="0.2">
      <c r="A111" s="5" t="s">
        <v>64</v>
      </c>
      <c r="B111" s="5" t="s">
        <v>426</v>
      </c>
      <c r="C111" s="135" t="s">
        <v>791</v>
      </c>
      <c r="D111" s="136"/>
      <c r="E111" s="136"/>
      <c r="F111" s="5" t="s">
        <v>1101</v>
      </c>
      <c r="G111" s="18">
        <v>43</v>
      </c>
      <c r="H111" s="79">
        <v>0</v>
      </c>
      <c r="I111" s="18">
        <f t="shared" si="24"/>
        <v>0</v>
      </c>
      <c r="J111" s="18">
        <f t="shared" si="25"/>
        <v>0</v>
      </c>
      <c r="K111" s="18">
        <f t="shared" si="26"/>
        <v>0</v>
      </c>
      <c r="L111" s="29" t="s">
        <v>1127</v>
      </c>
      <c r="Z111" s="34">
        <f t="shared" si="27"/>
        <v>0</v>
      </c>
      <c r="AB111" s="34">
        <f t="shared" si="28"/>
        <v>0</v>
      </c>
      <c r="AC111" s="34">
        <f t="shared" si="29"/>
        <v>0</v>
      </c>
      <c r="AD111" s="34">
        <f t="shared" si="30"/>
        <v>0</v>
      </c>
      <c r="AE111" s="34">
        <f t="shared" si="31"/>
        <v>0</v>
      </c>
      <c r="AF111" s="34">
        <f t="shared" si="32"/>
        <v>0</v>
      </c>
      <c r="AG111" s="34">
        <f t="shared" si="33"/>
        <v>0</v>
      </c>
      <c r="AH111" s="34">
        <f t="shared" si="34"/>
        <v>0</v>
      </c>
      <c r="AI111" s="28" t="s">
        <v>1137</v>
      </c>
      <c r="AJ111" s="18">
        <f t="shared" si="35"/>
        <v>0</v>
      </c>
      <c r="AK111" s="18">
        <f t="shared" si="36"/>
        <v>0</v>
      </c>
      <c r="AL111" s="18">
        <f t="shared" si="37"/>
        <v>0</v>
      </c>
      <c r="AN111" s="34">
        <v>21</v>
      </c>
      <c r="AO111" s="34">
        <f t="shared" si="38"/>
        <v>0</v>
      </c>
      <c r="AP111" s="34">
        <f t="shared" si="39"/>
        <v>0</v>
      </c>
      <c r="AQ111" s="29" t="s">
        <v>13</v>
      </c>
      <c r="AV111" s="34">
        <f t="shared" si="40"/>
        <v>0</v>
      </c>
      <c r="AW111" s="34">
        <f t="shared" si="41"/>
        <v>0</v>
      </c>
      <c r="AX111" s="34">
        <f t="shared" si="42"/>
        <v>0</v>
      </c>
      <c r="AY111" s="35" t="s">
        <v>1153</v>
      </c>
      <c r="AZ111" s="35" t="s">
        <v>1170</v>
      </c>
      <c r="BA111" s="28" t="s">
        <v>1176</v>
      </c>
      <c r="BC111" s="34">
        <f t="shared" si="43"/>
        <v>0</v>
      </c>
      <c r="BD111" s="34">
        <f t="shared" si="44"/>
        <v>0</v>
      </c>
      <c r="BE111" s="34">
        <v>0</v>
      </c>
      <c r="BF111" s="34">
        <f>111</f>
        <v>111</v>
      </c>
      <c r="BH111" s="18">
        <f t="shared" si="45"/>
        <v>0</v>
      </c>
      <c r="BI111" s="18">
        <f t="shared" si="46"/>
        <v>0</v>
      </c>
      <c r="BJ111" s="18">
        <f t="shared" si="47"/>
        <v>0</v>
      </c>
    </row>
    <row r="112" spans="1:62" x14ac:dyDescent="0.2">
      <c r="A112" s="5" t="s">
        <v>65</v>
      </c>
      <c r="B112" s="5" t="s">
        <v>427</v>
      </c>
      <c r="C112" s="135" t="s">
        <v>792</v>
      </c>
      <c r="D112" s="136"/>
      <c r="E112" s="136"/>
      <c r="F112" s="5" t="s">
        <v>1101</v>
      </c>
      <c r="G112" s="18">
        <v>21.5</v>
      </c>
      <c r="H112" s="79">
        <v>0</v>
      </c>
      <c r="I112" s="18">
        <f t="shared" si="24"/>
        <v>0</v>
      </c>
      <c r="J112" s="18">
        <f t="shared" si="25"/>
        <v>0</v>
      </c>
      <c r="K112" s="18">
        <f t="shared" si="26"/>
        <v>0</v>
      </c>
      <c r="L112" s="29" t="s">
        <v>1127</v>
      </c>
      <c r="Z112" s="34">
        <f t="shared" si="27"/>
        <v>0</v>
      </c>
      <c r="AB112" s="34">
        <f t="shared" si="28"/>
        <v>0</v>
      </c>
      <c r="AC112" s="34">
        <f t="shared" si="29"/>
        <v>0</v>
      </c>
      <c r="AD112" s="34">
        <f t="shared" si="30"/>
        <v>0</v>
      </c>
      <c r="AE112" s="34">
        <f t="shared" si="31"/>
        <v>0</v>
      </c>
      <c r="AF112" s="34">
        <f t="shared" si="32"/>
        <v>0</v>
      </c>
      <c r="AG112" s="34">
        <f t="shared" si="33"/>
        <v>0</v>
      </c>
      <c r="AH112" s="34">
        <f t="shared" si="34"/>
        <v>0</v>
      </c>
      <c r="AI112" s="28" t="s">
        <v>1137</v>
      </c>
      <c r="AJ112" s="18">
        <f t="shared" si="35"/>
        <v>0</v>
      </c>
      <c r="AK112" s="18">
        <f t="shared" si="36"/>
        <v>0</v>
      </c>
      <c r="AL112" s="18">
        <f t="shared" si="37"/>
        <v>0</v>
      </c>
      <c r="AN112" s="34">
        <v>21</v>
      </c>
      <c r="AO112" s="34">
        <f t="shared" si="38"/>
        <v>0</v>
      </c>
      <c r="AP112" s="34">
        <f t="shared" si="39"/>
        <v>0</v>
      </c>
      <c r="AQ112" s="29" t="s">
        <v>13</v>
      </c>
      <c r="AV112" s="34">
        <f t="shared" si="40"/>
        <v>0</v>
      </c>
      <c r="AW112" s="34">
        <f t="shared" si="41"/>
        <v>0</v>
      </c>
      <c r="AX112" s="34">
        <f t="shared" si="42"/>
        <v>0</v>
      </c>
      <c r="AY112" s="35" t="s">
        <v>1153</v>
      </c>
      <c r="AZ112" s="35" t="s">
        <v>1170</v>
      </c>
      <c r="BA112" s="28" t="s">
        <v>1176</v>
      </c>
      <c r="BC112" s="34">
        <f t="shared" si="43"/>
        <v>0</v>
      </c>
      <c r="BD112" s="34">
        <f t="shared" si="44"/>
        <v>0</v>
      </c>
      <c r="BE112" s="34">
        <v>0</v>
      </c>
      <c r="BF112" s="34">
        <f>112</f>
        <v>112</v>
      </c>
      <c r="BH112" s="18">
        <f t="shared" si="45"/>
        <v>0</v>
      </c>
      <c r="BI112" s="18">
        <f t="shared" si="46"/>
        <v>0</v>
      </c>
      <c r="BJ112" s="18">
        <f t="shared" si="47"/>
        <v>0</v>
      </c>
    </row>
    <row r="113" spans="1:62" x14ac:dyDescent="0.2">
      <c r="A113" s="5" t="s">
        <v>66</v>
      </c>
      <c r="B113" s="5" t="s">
        <v>428</v>
      </c>
      <c r="C113" s="135" t="s">
        <v>793</v>
      </c>
      <c r="D113" s="136"/>
      <c r="E113" s="136"/>
      <c r="F113" s="5" t="s">
        <v>1101</v>
      </c>
      <c r="G113" s="18">
        <v>87.5</v>
      </c>
      <c r="H113" s="79">
        <v>0</v>
      </c>
      <c r="I113" s="18">
        <f t="shared" si="24"/>
        <v>0</v>
      </c>
      <c r="J113" s="18">
        <f t="shared" si="25"/>
        <v>0</v>
      </c>
      <c r="K113" s="18">
        <f t="shared" si="26"/>
        <v>0</v>
      </c>
      <c r="L113" s="29" t="s">
        <v>1127</v>
      </c>
      <c r="Z113" s="34">
        <f t="shared" si="27"/>
        <v>0</v>
      </c>
      <c r="AB113" s="34">
        <f t="shared" si="28"/>
        <v>0</v>
      </c>
      <c r="AC113" s="34">
        <f t="shared" si="29"/>
        <v>0</v>
      </c>
      <c r="AD113" s="34">
        <f t="shared" si="30"/>
        <v>0</v>
      </c>
      <c r="AE113" s="34">
        <f t="shared" si="31"/>
        <v>0</v>
      </c>
      <c r="AF113" s="34">
        <f t="shared" si="32"/>
        <v>0</v>
      </c>
      <c r="AG113" s="34">
        <f t="shared" si="33"/>
        <v>0</v>
      </c>
      <c r="AH113" s="34">
        <f t="shared" si="34"/>
        <v>0</v>
      </c>
      <c r="AI113" s="28" t="s">
        <v>1137</v>
      </c>
      <c r="AJ113" s="18">
        <f t="shared" si="35"/>
        <v>0</v>
      </c>
      <c r="AK113" s="18">
        <f t="shared" si="36"/>
        <v>0</v>
      </c>
      <c r="AL113" s="18">
        <f t="shared" si="37"/>
        <v>0</v>
      </c>
      <c r="AN113" s="34">
        <v>21</v>
      </c>
      <c r="AO113" s="34">
        <f t="shared" si="38"/>
        <v>0</v>
      </c>
      <c r="AP113" s="34">
        <f t="shared" si="39"/>
        <v>0</v>
      </c>
      <c r="AQ113" s="29" t="s">
        <v>13</v>
      </c>
      <c r="AV113" s="34">
        <f t="shared" si="40"/>
        <v>0</v>
      </c>
      <c r="AW113" s="34">
        <f t="shared" si="41"/>
        <v>0</v>
      </c>
      <c r="AX113" s="34">
        <f t="shared" si="42"/>
        <v>0</v>
      </c>
      <c r="AY113" s="35" t="s">
        <v>1153</v>
      </c>
      <c r="AZ113" s="35" t="s">
        <v>1170</v>
      </c>
      <c r="BA113" s="28" t="s">
        <v>1176</v>
      </c>
      <c r="BC113" s="34">
        <f t="shared" si="43"/>
        <v>0</v>
      </c>
      <c r="BD113" s="34">
        <f t="shared" si="44"/>
        <v>0</v>
      </c>
      <c r="BE113" s="34">
        <v>0</v>
      </c>
      <c r="BF113" s="34">
        <f>113</f>
        <v>113</v>
      </c>
      <c r="BH113" s="18">
        <f t="shared" si="45"/>
        <v>0</v>
      </c>
      <c r="BI113" s="18">
        <f t="shared" si="46"/>
        <v>0</v>
      </c>
      <c r="BJ113" s="18">
        <f t="shared" si="47"/>
        <v>0</v>
      </c>
    </row>
    <row r="114" spans="1:62" x14ac:dyDescent="0.2">
      <c r="A114" s="5" t="s">
        <v>67</v>
      </c>
      <c r="B114" s="5" t="s">
        <v>429</v>
      </c>
      <c r="C114" s="135" t="s">
        <v>794</v>
      </c>
      <c r="D114" s="136"/>
      <c r="E114" s="136"/>
      <c r="F114" s="5" t="s">
        <v>1101</v>
      </c>
      <c r="G114" s="18">
        <v>4</v>
      </c>
      <c r="H114" s="79">
        <v>0</v>
      </c>
      <c r="I114" s="18">
        <f t="shared" si="24"/>
        <v>0</v>
      </c>
      <c r="J114" s="18">
        <f t="shared" si="25"/>
        <v>0</v>
      </c>
      <c r="K114" s="18">
        <f t="shared" si="26"/>
        <v>0</v>
      </c>
      <c r="L114" s="29" t="s">
        <v>1127</v>
      </c>
      <c r="Z114" s="34">
        <f t="shared" si="27"/>
        <v>0</v>
      </c>
      <c r="AB114" s="34">
        <f t="shared" si="28"/>
        <v>0</v>
      </c>
      <c r="AC114" s="34">
        <f t="shared" si="29"/>
        <v>0</v>
      </c>
      <c r="AD114" s="34">
        <f t="shared" si="30"/>
        <v>0</v>
      </c>
      <c r="AE114" s="34">
        <f t="shared" si="31"/>
        <v>0</v>
      </c>
      <c r="AF114" s="34">
        <f t="shared" si="32"/>
        <v>0</v>
      </c>
      <c r="AG114" s="34">
        <f t="shared" si="33"/>
        <v>0</v>
      </c>
      <c r="AH114" s="34">
        <f t="shared" si="34"/>
        <v>0</v>
      </c>
      <c r="AI114" s="28" t="s">
        <v>1137</v>
      </c>
      <c r="AJ114" s="18">
        <f t="shared" si="35"/>
        <v>0</v>
      </c>
      <c r="AK114" s="18">
        <f t="shared" si="36"/>
        <v>0</v>
      </c>
      <c r="AL114" s="18">
        <f t="shared" si="37"/>
        <v>0</v>
      </c>
      <c r="AN114" s="34">
        <v>21</v>
      </c>
      <c r="AO114" s="34">
        <f t="shared" si="38"/>
        <v>0</v>
      </c>
      <c r="AP114" s="34">
        <f t="shared" si="39"/>
        <v>0</v>
      </c>
      <c r="AQ114" s="29" t="s">
        <v>13</v>
      </c>
      <c r="AV114" s="34">
        <f t="shared" si="40"/>
        <v>0</v>
      </c>
      <c r="AW114" s="34">
        <f t="shared" si="41"/>
        <v>0</v>
      </c>
      <c r="AX114" s="34">
        <f t="shared" si="42"/>
        <v>0</v>
      </c>
      <c r="AY114" s="35" t="s">
        <v>1153</v>
      </c>
      <c r="AZ114" s="35" t="s">
        <v>1170</v>
      </c>
      <c r="BA114" s="28" t="s">
        <v>1176</v>
      </c>
      <c r="BC114" s="34">
        <f t="shared" si="43"/>
        <v>0</v>
      </c>
      <c r="BD114" s="34">
        <f t="shared" si="44"/>
        <v>0</v>
      </c>
      <c r="BE114" s="34">
        <v>0</v>
      </c>
      <c r="BF114" s="34">
        <f>114</f>
        <v>114</v>
      </c>
      <c r="BH114" s="18">
        <f t="shared" si="45"/>
        <v>0</v>
      </c>
      <c r="BI114" s="18">
        <f t="shared" si="46"/>
        <v>0</v>
      </c>
      <c r="BJ114" s="18">
        <f t="shared" si="47"/>
        <v>0</v>
      </c>
    </row>
    <row r="115" spans="1:62" x14ac:dyDescent="0.2">
      <c r="A115" s="5" t="s">
        <v>68</v>
      </c>
      <c r="B115" s="5" t="s">
        <v>430</v>
      </c>
      <c r="C115" s="135" t="s">
        <v>795</v>
      </c>
      <c r="D115" s="136"/>
      <c r="E115" s="136"/>
      <c r="F115" s="5" t="s">
        <v>1103</v>
      </c>
      <c r="G115" s="18">
        <v>54</v>
      </c>
      <c r="H115" s="79">
        <v>0</v>
      </c>
      <c r="I115" s="18">
        <f t="shared" si="24"/>
        <v>0</v>
      </c>
      <c r="J115" s="18">
        <f t="shared" si="25"/>
        <v>0</v>
      </c>
      <c r="K115" s="18">
        <f t="shared" si="26"/>
        <v>0</v>
      </c>
      <c r="L115" s="29" t="s">
        <v>1127</v>
      </c>
      <c r="Z115" s="34">
        <f t="shared" si="27"/>
        <v>0</v>
      </c>
      <c r="AB115" s="34">
        <f t="shared" si="28"/>
        <v>0</v>
      </c>
      <c r="AC115" s="34">
        <f t="shared" si="29"/>
        <v>0</v>
      </c>
      <c r="AD115" s="34">
        <f t="shared" si="30"/>
        <v>0</v>
      </c>
      <c r="AE115" s="34">
        <f t="shared" si="31"/>
        <v>0</v>
      </c>
      <c r="AF115" s="34">
        <f t="shared" si="32"/>
        <v>0</v>
      </c>
      <c r="AG115" s="34">
        <f t="shared" si="33"/>
        <v>0</v>
      </c>
      <c r="AH115" s="34">
        <f t="shared" si="34"/>
        <v>0</v>
      </c>
      <c r="AI115" s="28" t="s">
        <v>1137</v>
      </c>
      <c r="AJ115" s="18">
        <f t="shared" si="35"/>
        <v>0</v>
      </c>
      <c r="AK115" s="18">
        <f t="shared" si="36"/>
        <v>0</v>
      </c>
      <c r="AL115" s="18">
        <f t="shared" si="37"/>
        <v>0</v>
      </c>
      <c r="AN115" s="34">
        <v>21</v>
      </c>
      <c r="AO115" s="34">
        <f t="shared" si="38"/>
        <v>0</v>
      </c>
      <c r="AP115" s="34">
        <f t="shared" si="39"/>
        <v>0</v>
      </c>
      <c r="AQ115" s="29" t="s">
        <v>13</v>
      </c>
      <c r="AV115" s="34">
        <f t="shared" si="40"/>
        <v>0</v>
      </c>
      <c r="AW115" s="34">
        <f t="shared" si="41"/>
        <v>0</v>
      </c>
      <c r="AX115" s="34">
        <f t="shared" si="42"/>
        <v>0</v>
      </c>
      <c r="AY115" s="35" t="s">
        <v>1153</v>
      </c>
      <c r="AZ115" s="35" t="s">
        <v>1170</v>
      </c>
      <c r="BA115" s="28" t="s">
        <v>1176</v>
      </c>
      <c r="BC115" s="34">
        <f t="shared" si="43"/>
        <v>0</v>
      </c>
      <c r="BD115" s="34">
        <f t="shared" si="44"/>
        <v>0</v>
      </c>
      <c r="BE115" s="34">
        <v>0</v>
      </c>
      <c r="BF115" s="34">
        <f>115</f>
        <v>115</v>
      </c>
      <c r="BH115" s="18">
        <f t="shared" si="45"/>
        <v>0</v>
      </c>
      <c r="BI115" s="18">
        <f t="shared" si="46"/>
        <v>0</v>
      </c>
      <c r="BJ115" s="18">
        <f t="shared" si="47"/>
        <v>0</v>
      </c>
    </row>
    <row r="116" spans="1:62" x14ac:dyDescent="0.2">
      <c r="A116" s="5" t="s">
        <v>69</v>
      </c>
      <c r="B116" s="5" t="s">
        <v>431</v>
      </c>
      <c r="C116" s="135" t="s">
        <v>796</v>
      </c>
      <c r="D116" s="136"/>
      <c r="E116" s="136"/>
      <c r="F116" s="5" t="s">
        <v>1103</v>
      </c>
      <c r="G116" s="18">
        <v>2</v>
      </c>
      <c r="H116" s="79">
        <v>0</v>
      </c>
      <c r="I116" s="18">
        <f t="shared" si="24"/>
        <v>0</v>
      </c>
      <c r="J116" s="18">
        <f t="shared" si="25"/>
        <v>0</v>
      </c>
      <c r="K116" s="18">
        <f t="shared" si="26"/>
        <v>0</v>
      </c>
      <c r="L116" s="29" t="s">
        <v>1127</v>
      </c>
      <c r="Z116" s="34">
        <f t="shared" si="27"/>
        <v>0</v>
      </c>
      <c r="AB116" s="34">
        <f t="shared" si="28"/>
        <v>0</v>
      </c>
      <c r="AC116" s="34">
        <f t="shared" si="29"/>
        <v>0</v>
      </c>
      <c r="AD116" s="34">
        <f t="shared" si="30"/>
        <v>0</v>
      </c>
      <c r="AE116" s="34">
        <f t="shared" si="31"/>
        <v>0</v>
      </c>
      <c r="AF116" s="34">
        <f t="shared" si="32"/>
        <v>0</v>
      </c>
      <c r="AG116" s="34">
        <f t="shared" si="33"/>
        <v>0</v>
      </c>
      <c r="AH116" s="34">
        <f t="shared" si="34"/>
        <v>0</v>
      </c>
      <c r="AI116" s="28" t="s">
        <v>1137</v>
      </c>
      <c r="AJ116" s="18">
        <f t="shared" si="35"/>
        <v>0</v>
      </c>
      <c r="AK116" s="18">
        <f t="shared" si="36"/>
        <v>0</v>
      </c>
      <c r="AL116" s="18">
        <f t="shared" si="37"/>
        <v>0</v>
      </c>
      <c r="AN116" s="34">
        <v>21</v>
      </c>
      <c r="AO116" s="34">
        <f t="shared" si="38"/>
        <v>0</v>
      </c>
      <c r="AP116" s="34">
        <f t="shared" si="39"/>
        <v>0</v>
      </c>
      <c r="AQ116" s="29" t="s">
        <v>13</v>
      </c>
      <c r="AV116" s="34">
        <f t="shared" si="40"/>
        <v>0</v>
      </c>
      <c r="AW116" s="34">
        <f t="shared" si="41"/>
        <v>0</v>
      </c>
      <c r="AX116" s="34">
        <f t="shared" si="42"/>
        <v>0</v>
      </c>
      <c r="AY116" s="35" t="s">
        <v>1153</v>
      </c>
      <c r="AZ116" s="35" t="s">
        <v>1170</v>
      </c>
      <c r="BA116" s="28" t="s">
        <v>1176</v>
      </c>
      <c r="BC116" s="34">
        <f t="shared" si="43"/>
        <v>0</v>
      </c>
      <c r="BD116" s="34">
        <f t="shared" si="44"/>
        <v>0</v>
      </c>
      <c r="BE116" s="34">
        <v>0</v>
      </c>
      <c r="BF116" s="34">
        <f>116</f>
        <v>116</v>
      </c>
      <c r="BH116" s="18">
        <f t="shared" si="45"/>
        <v>0</v>
      </c>
      <c r="BI116" s="18">
        <f t="shared" si="46"/>
        <v>0</v>
      </c>
      <c r="BJ116" s="18">
        <f t="shared" si="47"/>
        <v>0</v>
      </c>
    </row>
    <row r="117" spans="1:62" x14ac:dyDescent="0.2">
      <c r="A117" s="5" t="s">
        <v>70</v>
      </c>
      <c r="B117" s="5" t="s">
        <v>432</v>
      </c>
      <c r="C117" s="135" t="s">
        <v>797</v>
      </c>
      <c r="D117" s="136"/>
      <c r="E117" s="136"/>
      <c r="F117" s="5" t="s">
        <v>1103</v>
      </c>
      <c r="G117" s="18">
        <v>7</v>
      </c>
      <c r="H117" s="79">
        <v>0</v>
      </c>
      <c r="I117" s="18">
        <f t="shared" si="24"/>
        <v>0</v>
      </c>
      <c r="J117" s="18">
        <f t="shared" si="25"/>
        <v>0</v>
      </c>
      <c r="K117" s="18">
        <f t="shared" si="26"/>
        <v>0</v>
      </c>
      <c r="L117" s="29" t="s">
        <v>1127</v>
      </c>
      <c r="Z117" s="34">
        <f t="shared" si="27"/>
        <v>0</v>
      </c>
      <c r="AB117" s="34">
        <f t="shared" si="28"/>
        <v>0</v>
      </c>
      <c r="AC117" s="34">
        <f t="shared" si="29"/>
        <v>0</v>
      </c>
      <c r="AD117" s="34">
        <f t="shared" si="30"/>
        <v>0</v>
      </c>
      <c r="AE117" s="34">
        <f t="shared" si="31"/>
        <v>0</v>
      </c>
      <c r="AF117" s="34">
        <f t="shared" si="32"/>
        <v>0</v>
      </c>
      <c r="AG117" s="34">
        <f t="shared" si="33"/>
        <v>0</v>
      </c>
      <c r="AH117" s="34">
        <f t="shared" si="34"/>
        <v>0</v>
      </c>
      <c r="AI117" s="28" t="s">
        <v>1137</v>
      </c>
      <c r="AJ117" s="18">
        <f t="shared" si="35"/>
        <v>0</v>
      </c>
      <c r="AK117" s="18">
        <f t="shared" si="36"/>
        <v>0</v>
      </c>
      <c r="AL117" s="18">
        <f t="shared" si="37"/>
        <v>0</v>
      </c>
      <c r="AN117" s="34">
        <v>21</v>
      </c>
      <c r="AO117" s="34">
        <f t="shared" si="38"/>
        <v>0</v>
      </c>
      <c r="AP117" s="34">
        <f t="shared" si="39"/>
        <v>0</v>
      </c>
      <c r="AQ117" s="29" t="s">
        <v>13</v>
      </c>
      <c r="AV117" s="34">
        <f t="shared" si="40"/>
        <v>0</v>
      </c>
      <c r="AW117" s="34">
        <f t="shared" si="41"/>
        <v>0</v>
      </c>
      <c r="AX117" s="34">
        <f t="shared" si="42"/>
        <v>0</v>
      </c>
      <c r="AY117" s="35" t="s">
        <v>1153</v>
      </c>
      <c r="AZ117" s="35" t="s">
        <v>1170</v>
      </c>
      <c r="BA117" s="28" t="s">
        <v>1176</v>
      </c>
      <c r="BC117" s="34">
        <f t="shared" si="43"/>
        <v>0</v>
      </c>
      <c r="BD117" s="34">
        <f t="shared" si="44"/>
        <v>0</v>
      </c>
      <c r="BE117" s="34">
        <v>0</v>
      </c>
      <c r="BF117" s="34">
        <f>117</f>
        <v>117</v>
      </c>
      <c r="BH117" s="18">
        <f t="shared" si="45"/>
        <v>0</v>
      </c>
      <c r="BI117" s="18">
        <f t="shared" si="46"/>
        <v>0</v>
      </c>
      <c r="BJ117" s="18">
        <f t="shared" si="47"/>
        <v>0</v>
      </c>
    </row>
    <row r="118" spans="1:62" x14ac:dyDescent="0.2">
      <c r="A118" s="5" t="s">
        <v>71</v>
      </c>
      <c r="B118" s="5" t="s">
        <v>433</v>
      </c>
      <c r="C118" s="135" t="s">
        <v>798</v>
      </c>
      <c r="D118" s="136"/>
      <c r="E118" s="136"/>
      <c r="F118" s="5" t="s">
        <v>1103</v>
      </c>
      <c r="G118" s="18">
        <v>9</v>
      </c>
      <c r="H118" s="79">
        <v>0</v>
      </c>
      <c r="I118" s="18">
        <f t="shared" si="24"/>
        <v>0</v>
      </c>
      <c r="J118" s="18">
        <f t="shared" si="25"/>
        <v>0</v>
      </c>
      <c r="K118" s="18">
        <f t="shared" si="26"/>
        <v>0</v>
      </c>
      <c r="L118" s="29" t="s">
        <v>1127</v>
      </c>
      <c r="Z118" s="34">
        <f t="shared" si="27"/>
        <v>0</v>
      </c>
      <c r="AB118" s="34">
        <f t="shared" si="28"/>
        <v>0</v>
      </c>
      <c r="AC118" s="34">
        <f t="shared" si="29"/>
        <v>0</v>
      </c>
      <c r="AD118" s="34">
        <f t="shared" si="30"/>
        <v>0</v>
      </c>
      <c r="AE118" s="34">
        <f t="shared" si="31"/>
        <v>0</v>
      </c>
      <c r="AF118" s="34">
        <f t="shared" si="32"/>
        <v>0</v>
      </c>
      <c r="AG118" s="34">
        <f t="shared" si="33"/>
        <v>0</v>
      </c>
      <c r="AH118" s="34">
        <f t="shared" si="34"/>
        <v>0</v>
      </c>
      <c r="AI118" s="28" t="s">
        <v>1137</v>
      </c>
      <c r="AJ118" s="18">
        <f t="shared" si="35"/>
        <v>0</v>
      </c>
      <c r="AK118" s="18">
        <f t="shared" si="36"/>
        <v>0</v>
      </c>
      <c r="AL118" s="18">
        <f t="shared" si="37"/>
        <v>0</v>
      </c>
      <c r="AN118" s="34">
        <v>21</v>
      </c>
      <c r="AO118" s="34">
        <f t="shared" si="38"/>
        <v>0</v>
      </c>
      <c r="AP118" s="34">
        <f t="shared" si="39"/>
        <v>0</v>
      </c>
      <c r="AQ118" s="29" t="s">
        <v>13</v>
      </c>
      <c r="AV118" s="34">
        <f t="shared" si="40"/>
        <v>0</v>
      </c>
      <c r="AW118" s="34">
        <f t="shared" si="41"/>
        <v>0</v>
      </c>
      <c r="AX118" s="34">
        <f t="shared" si="42"/>
        <v>0</v>
      </c>
      <c r="AY118" s="35" t="s">
        <v>1153</v>
      </c>
      <c r="AZ118" s="35" t="s">
        <v>1170</v>
      </c>
      <c r="BA118" s="28" t="s">
        <v>1176</v>
      </c>
      <c r="BC118" s="34">
        <f t="shared" si="43"/>
        <v>0</v>
      </c>
      <c r="BD118" s="34">
        <f t="shared" si="44"/>
        <v>0</v>
      </c>
      <c r="BE118" s="34">
        <v>0</v>
      </c>
      <c r="BF118" s="34">
        <f>118</f>
        <v>118</v>
      </c>
      <c r="BH118" s="18">
        <f t="shared" si="45"/>
        <v>0</v>
      </c>
      <c r="BI118" s="18">
        <f t="shared" si="46"/>
        <v>0</v>
      </c>
      <c r="BJ118" s="18">
        <f t="shared" si="47"/>
        <v>0</v>
      </c>
    </row>
    <row r="119" spans="1:62" x14ac:dyDescent="0.2">
      <c r="A119" s="5" t="s">
        <v>72</v>
      </c>
      <c r="B119" s="5" t="s">
        <v>434</v>
      </c>
      <c r="C119" s="135" t="s">
        <v>799</v>
      </c>
      <c r="D119" s="136"/>
      <c r="E119" s="136"/>
      <c r="F119" s="5" t="s">
        <v>1103</v>
      </c>
      <c r="G119" s="18">
        <v>18</v>
      </c>
      <c r="H119" s="79">
        <v>0</v>
      </c>
      <c r="I119" s="18">
        <f t="shared" si="24"/>
        <v>0</v>
      </c>
      <c r="J119" s="18">
        <f t="shared" si="25"/>
        <v>0</v>
      </c>
      <c r="K119" s="18">
        <f t="shared" si="26"/>
        <v>0</v>
      </c>
      <c r="L119" s="29" t="s">
        <v>1127</v>
      </c>
      <c r="Z119" s="34">
        <f t="shared" si="27"/>
        <v>0</v>
      </c>
      <c r="AB119" s="34">
        <f t="shared" si="28"/>
        <v>0</v>
      </c>
      <c r="AC119" s="34">
        <f t="shared" si="29"/>
        <v>0</v>
      </c>
      <c r="AD119" s="34">
        <f t="shared" si="30"/>
        <v>0</v>
      </c>
      <c r="AE119" s="34">
        <f t="shared" si="31"/>
        <v>0</v>
      </c>
      <c r="AF119" s="34">
        <f t="shared" si="32"/>
        <v>0</v>
      </c>
      <c r="AG119" s="34">
        <f t="shared" si="33"/>
        <v>0</v>
      </c>
      <c r="AH119" s="34">
        <f t="shared" si="34"/>
        <v>0</v>
      </c>
      <c r="AI119" s="28" t="s">
        <v>1137</v>
      </c>
      <c r="AJ119" s="18">
        <f t="shared" si="35"/>
        <v>0</v>
      </c>
      <c r="AK119" s="18">
        <f t="shared" si="36"/>
        <v>0</v>
      </c>
      <c r="AL119" s="18">
        <f t="shared" si="37"/>
        <v>0</v>
      </c>
      <c r="AN119" s="34">
        <v>21</v>
      </c>
      <c r="AO119" s="34">
        <f t="shared" si="38"/>
        <v>0</v>
      </c>
      <c r="AP119" s="34">
        <f t="shared" si="39"/>
        <v>0</v>
      </c>
      <c r="AQ119" s="29" t="s">
        <v>13</v>
      </c>
      <c r="AV119" s="34">
        <f t="shared" si="40"/>
        <v>0</v>
      </c>
      <c r="AW119" s="34">
        <f t="shared" si="41"/>
        <v>0</v>
      </c>
      <c r="AX119" s="34">
        <f t="shared" si="42"/>
        <v>0</v>
      </c>
      <c r="AY119" s="35" t="s">
        <v>1153</v>
      </c>
      <c r="AZ119" s="35" t="s">
        <v>1170</v>
      </c>
      <c r="BA119" s="28" t="s">
        <v>1176</v>
      </c>
      <c r="BC119" s="34">
        <f t="shared" si="43"/>
        <v>0</v>
      </c>
      <c r="BD119" s="34">
        <f t="shared" si="44"/>
        <v>0</v>
      </c>
      <c r="BE119" s="34">
        <v>0</v>
      </c>
      <c r="BF119" s="34">
        <f>119</f>
        <v>119</v>
      </c>
      <c r="BH119" s="18">
        <f t="shared" si="45"/>
        <v>0</v>
      </c>
      <c r="BI119" s="18">
        <f t="shared" si="46"/>
        <v>0</v>
      </c>
      <c r="BJ119" s="18">
        <f t="shared" si="47"/>
        <v>0</v>
      </c>
    </row>
    <row r="120" spans="1:62" x14ac:dyDescent="0.2">
      <c r="A120" s="5" t="s">
        <v>73</v>
      </c>
      <c r="B120" s="5" t="s">
        <v>435</v>
      </c>
      <c r="C120" s="135" t="s">
        <v>800</v>
      </c>
      <c r="D120" s="136"/>
      <c r="E120" s="136"/>
      <c r="F120" s="5" t="s">
        <v>1103</v>
      </c>
      <c r="G120" s="18">
        <v>2</v>
      </c>
      <c r="H120" s="79">
        <v>0</v>
      </c>
      <c r="I120" s="18">
        <f t="shared" si="24"/>
        <v>0</v>
      </c>
      <c r="J120" s="18">
        <f t="shared" si="25"/>
        <v>0</v>
      </c>
      <c r="K120" s="18">
        <f t="shared" si="26"/>
        <v>0</v>
      </c>
      <c r="L120" s="29" t="s">
        <v>1127</v>
      </c>
      <c r="Z120" s="34">
        <f t="shared" si="27"/>
        <v>0</v>
      </c>
      <c r="AB120" s="34">
        <f t="shared" si="28"/>
        <v>0</v>
      </c>
      <c r="AC120" s="34">
        <f t="shared" si="29"/>
        <v>0</v>
      </c>
      <c r="AD120" s="34">
        <f t="shared" si="30"/>
        <v>0</v>
      </c>
      <c r="AE120" s="34">
        <f t="shared" si="31"/>
        <v>0</v>
      </c>
      <c r="AF120" s="34">
        <f t="shared" si="32"/>
        <v>0</v>
      </c>
      <c r="AG120" s="34">
        <f t="shared" si="33"/>
        <v>0</v>
      </c>
      <c r="AH120" s="34">
        <f t="shared" si="34"/>
        <v>0</v>
      </c>
      <c r="AI120" s="28" t="s">
        <v>1137</v>
      </c>
      <c r="AJ120" s="18">
        <f t="shared" si="35"/>
        <v>0</v>
      </c>
      <c r="AK120" s="18">
        <f t="shared" si="36"/>
        <v>0</v>
      </c>
      <c r="AL120" s="18">
        <f t="shared" si="37"/>
        <v>0</v>
      </c>
      <c r="AN120" s="34">
        <v>21</v>
      </c>
      <c r="AO120" s="34">
        <f t="shared" si="38"/>
        <v>0</v>
      </c>
      <c r="AP120" s="34">
        <f t="shared" si="39"/>
        <v>0</v>
      </c>
      <c r="AQ120" s="29" t="s">
        <v>13</v>
      </c>
      <c r="AV120" s="34">
        <f t="shared" si="40"/>
        <v>0</v>
      </c>
      <c r="AW120" s="34">
        <f t="shared" si="41"/>
        <v>0</v>
      </c>
      <c r="AX120" s="34">
        <f t="shared" si="42"/>
        <v>0</v>
      </c>
      <c r="AY120" s="35" t="s">
        <v>1153</v>
      </c>
      <c r="AZ120" s="35" t="s">
        <v>1170</v>
      </c>
      <c r="BA120" s="28" t="s">
        <v>1176</v>
      </c>
      <c r="BC120" s="34">
        <f t="shared" si="43"/>
        <v>0</v>
      </c>
      <c r="BD120" s="34">
        <f t="shared" si="44"/>
        <v>0</v>
      </c>
      <c r="BE120" s="34">
        <v>0</v>
      </c>
      <c r="BF120" s="34">
        <f>120</f>
        <v>120</v>
      </c>
      <c r="BH120" s="18">
        <f t="shared" si="45"/>
        <v>0</v>
      </c>
      <c r="BI120" s="18">
        <f t="shared" si="46"/>
        <v>0</v>
      </c>
      <c r="BJ120" s="18">
        <f t="shared" si="47"/>
        <v>0</v>
      </c>
    </row>
    <row r="121" spans="1:62" x14ac:dyDescent="0.2">
      <c r="A121" s="5" t="s">
        <v>74</v>
      </c>
      <c r="B121" s="5" t="s">
        <v>436</v>
      </c>
      <c r="C121" s="135" t="s">
        <v>801</v>
      </c>
      <c r="D121" s="136"/>
      <c r="E121" s="136"/>
      <c r="F121" s="5" t="s">
        <v>1103</v>
      </c>
      <c r="G121" s="18">
        <v>2</v>
      </c>
      <c r="H121" s="79">
        <v>0</v>
      </c>
      <c r="I121" s="18">
        <f t="shared" si="24"/>
        <v>0</v>
      </c>
      <c r="J121" s="18">
        <f t="shared" si="25"/>
        <v>0</v>
      </c>
      <c r="K121" s="18">
        <f t="shared" si="26"/>
        <v>0</v>
      </c>
      <c r="L121" s="29" t="s">
        <v>1127</v>
      </c>
      <c r="Z121" s="34">
        <f t="shared" si="27"/>
        <v>0</v>
      </c>
      <c r="AB121" s="34">
        <f t="shared" si="28"/>
        <v>0</v>
      </c>
      <c r="AC121" s="34">
        <f t="shared" si="29"/>
        <v>0</v>
      </c>
      <c r="AD121" s="34">
        <f t="shared" si="30"/>
        <v>0</v>
      </c>
      <c r="AE121" s="34">
        <f t="shared" si="31"/>
        <v>0</v>
      </c>
      <c r="AF121" s="34">
        <f t="shared" si="32"/>
        <v>0</v>
      </c>
      <c r="AG121" s="34">
        <f t="shared" si="33"/>
        <v>0</v>
      </c>
      <c r="AH121" s="34">
        <f t="shared" si="34"/>
        <v>0</v>
      </c>
      <c r="AI121" s="28" t="s">
        <v>1137</v>
      </c>
      <c r="AJ121" s="18">
        <f t="shared" si="35"/>
        <v>0</v>
      </c>
      <c r="AK121" s="18">
        <f t="shared" si="36"/>
        <v>0</v>
      </c>
      <c r="AL121" s="18">
        <f t="shared" si="37"/>
        <v>0</v>
      </c>
      <c r="AN121" s="34">
        <v>21</v>
      </c>
      <c r="AO121" s="34">
        <f t="shared" si="38"/>
        <v>0</v>
      </c>
      <c r="AP121" s="34">
        <f t="shared" si="39"/>
        <v>0</v>
      </c>
      <c r="AQ121" s="29" t="s">
        <v>13</v>
      </c>
      <c r="AV121" s="34">
        <f t="shared" si="40"/>
        <v>0</v>
      </c>
      <c r="AW121" s="34">
        <f t="shared" si="41"/>
        <v>0</v>
      </c>
      <c r="AX121" s="34">
        <f t="shared" si="42"/>
        <v>0</v>
      </c>
      <c r="AY121" s="35" t="s">
        <v>1153</v>
      </c>
      <c r="AZ121" s="35" t="s">
        <v>1170</v>
      </c>
      <c r="BA121" s="28" t="s">
        <v>1176</v>
      </c>
      <c r="BC121" s="34">
        <f t="shared" si="43"/>
        <v>0</v>
      </c>
      <c r="BD121" s="34">
        <f t="shared" si="44"/>
        <v>0</v>
      </c>
      <c r="BE121" s="34">
        <v>0</v>
      </c>
      <c r="BF121" s="34">
        <f>121</f>
        <v>121</v>
      </c>
      <c r="BH121" s="18">
        <f t="shared" si="45"/>
        <v>0</v>
      </c>
      <c r="BI121" s="18">
        <f t="shared" si="46"/>
        <v>0</v>
      </c>
      <c r="BJ121" s="18">
        <f t="shared" si="47"/>
        <v>0</v>
      </c>
    </row>
    <row r="122" spans="1:62" x14ac:dyDescent="0.2">
      <c r="A122" s="5" t="s">
        <v>75</v>
      </c>
      <c r="B122" s="5" t="s">
        <v>437</v>
      </c>
      <c r="C122" s="135" t="s">
        <v>802</v>
      </c>
      <c r="D122" s="136"/>
      <c r="E122" s="136"/>
      <c r="F122" s="5" t="s">
        <v>1103</v>
      </c>
      <c r="G122" s="18">
        <v>9</v>
      </c>
      <c r="H122" s="79">
        <v>0</v>
      </c>
      <c r="I122" s="18">
        <f t="shared" si="24"/>
        <v>0</v>
      </c>
      <c r="J122" s="18">
        <f t="shared" si="25"/>
        <v>0</v>
      </c>
      <c r="K122" s="18">
        <f t="shared" si="26"/>
        <v>0</v>
      </c>
      <c r="L122" s="29" t="s">
        <v>1127</v>
      </c>
      <c r="Z122" s="34">
        <f t="shared" si="27"/>
        <v>0</v>
      </c>
      <c r="AB122" s="34">
        <f t="shared" si="28"/>
        <v>0</v>
      </c>
      <c r="AC122" s="34">
        <f t="shared" si="29"/>
        <v>0</v>
      </c>
      <c r="AD122" s="34">
        <f t="shared" si="30"/>
        <v>0</v>
      </c>
      <c r="AE122" s="34">
        <f t="shared" si="31"/>
        <v>0</v>
      </c>
      <c r="AF122" s="34">
        <f t="shared" si="32"/>
        <v>0</v>
      </c>
      <c r="AG122" s="34">
        <f t="shared" si="33"/>
        <v>0</v>
      </c>
      <c r="AH122" s="34">
        <f t="shared" si="34"/>
        <v>0</v>
      </c>
      <c r="AI122" s="28" t="s">
        <v>1137</v>
      </c>
      <c r="AJ122" s="18">
        <f t="shared" si="35"/>
        <v>0</v>
      </c>
      <c r="AK122" s="18">
        <f t="shared" si="36"/>
        <v>0</v>
      </c>
      <c r="AL122" s="18">
        <f t="shared" si="37"/>
        <v>0</v>
      </c>
      <c r="AN122" s="34">
        <v>21</v>
      </c>
      <c r="AO122" s="34">
        <f t="shared" si="38"/>
        <v>0</v>
      </c>
      <c r="AP122" s="34">
        <f t="shared" si="39"/>
        <v>0</v>
      </c>
      <c r="AQ122" s="29" t="s">
        <v>13</v>
      </c>
      <c r="AV122" s="34">
        <f t="shared" si="40"/>
        <v>0</v>
      </c>
      <c r="AW122" s="34">
        <f t="shared" si="41"/>
        <v>0</v>
      </c>
      <c r="AX122" s="34">
        <f t="shared" si="42"/>
        <v>0</v>
      </c>
      <c r="AY122" s="35" t="s">
        <v>1153</v>
      </c>
      <c r="AZ122" s="35" t="s">
        <v>1170</v>
      </c>
      <c r="BA122" s="28" t="s">
        <v>1176</v>
      </c>
      <c r="BC122" s="34">
        <f t="shared" si="43"/>
        <v>0</v>
      </c>
      <c r="BD122" s="34">
        <f t="shared" si="44"/>
        <v>0</v>
      </c>
      <c r="BE122" s="34">
        <v>0</v>
      </c>
      <c r="BF122" s="34">
        <f>122</f>
        <v>122</v>
      </c>
      <c r="BH122" s="18">
        <f t="shared" si="45"/>
        <v>0</v>
      </c>
      <c r="BI122" s="18">
        <f t="shared" si="46"/>
        <v>0</v>
      </c>
      <c r="BJ122" s="18">
        <f t="shared" si="47"/>
        <v>0</v>
      </c>
    </row>
    <row r="123" spans="1:62" x14ac:dyDescent="0.2">
      <c r="A123" s="5" t="s">
        <v>76</v>
      </c>
      <c r="B123" s="5" t="s">
        <v>438</v>
      </c>
      <c r="C123" s="135" t="s">
        <v>803</v>
      </c>
      <c r="D123" s="136"/>
      <c r="E123" s="136"/>
      <c r="F123" s="5" t="s">
        <v>1103</v>
      </c>
      <c r="G123" s="18">
        <v>1</v>
      </c>
      <c r="H123" s="79">
        <v>0</v>
      </c>
      <c r="I123" s="18">
        <f t="shared" si="24"/>
        <v>0</v>
      </c>
      <c r="J123" s="18">
        <f t="shared" si="25"/>
        <v>0</v>
      </c>
      <c r="K123" s="18">
        <f t="shared" si="26"/>
        <v>0</v>
      </c>
      <c r="L123" s="29" t="s">
        <v>1127</v>
      </c>
      <c r="Z123" s="34">
        <f t="shared" si="27"/>
        <v>0</v>
      </c>
      <c r="AB123" s="34">
        <f t="shared" si="28"/>
        <v>0</v>
      </c>
      <c r="AC123" s="34">
        <f t="shared" si="29"/>
        <v>0</v>
      </c>
      <c r="AD123" s="34">
        <f t="shared" si="30"/>
        <v>0</v>
      </c>
      <c r="AE123" s="34">
        <f t="shared" si="31"/>
        <v>0</v>
      </c>
      <c r="AF123" s="34">
        <f t="shared" si="32"/>
        <v>0</v>
      </c>
      <c r="AG123" s="34">
        <f t="shared" si="33"/>
        <v>0</v>
      </c>
      <c r="AH123" s="34">
        <f t="shared" si="34"/>
        <v>0</v>
      </c>
      <c r="AI123" s="28" t="s">
        <v>1137</v>
      </c>
      <c r="AJ123" s="18">
        <f t="shared" si="35"/>
        <v>0</v>
      </c>
      <c r="AK123" s="18">
        <f t="shared" si="36"/>
        <v>0</v>
      </c>
      <c r="AL123" s="18">
        <f t="shared" si="37"/>
        <v>0</v>
      </c>
      <c r="AN123" s="34">
        <v>21</v>
      </c>
      <c r="AO123" s="34">
        <f t="shared" si="38"/>
        <v>0</v>
      </c>
      <c r="AP123" s="34">
        <f t="shared" si="39"/>
        <v>0</v>
      </c>
      <c r="AQ123" s="29" t="s">
        <v>13</v>
      </c>
      <c r="AV123" s="34">
        <f t="shared" si="40"/>
        <v>0</v>
      </c>
      <c r="AW123" s="34">
        <f t="shared" si="41"/>
        <v>0</v>
      </c>
      <c r="AX123" s="34">
        <f t="shared" si="42"/>
        <v>0</v>
      </c>
      <c r="AY123" s="35" t="s">
        <v>1153</v>
      </c>
      <c r="AZ123" s="35" t="s">
        <v>1170</v>
      </c>
      <c r="BA123" s="28" t="s">
        <v>1176</v>
      </c>
      <c r="BC123" s="34">
        <f t="shared" si="43"/>
        <v>0</v>
      </c>
      <c r="BD123" s="34">
        <f t="shared" si="44"/>
        <v>0</v>
      </c>
      <c r="BE123" s="34">
        <v>0</v>
      </c>
      <c r="BF123" s="34">
        <f>123</f>
        <v>123</v>
      </c>
      <c r="BH123" s="18">
        <f t="shared" si="45"/>
        <v>0</v>
      </c>
      <c r="BI123" s="18">
        <f t="shared" si="46"/>
        <v>0</v>
      </c>
      <c r="BJ123" s="18">
        <f t="shared" si="47"/>
        <v>0</v>
      </c>
    </row>
    <row r="124" spans="1:62" x14ac:dyDescent="0.2">
      <c r="A124" s="5" t="s">
        <v>77</v>
      </c>
      <c r="B124" s="5" t="s">
        <v>439</v>
      </c>
      <c r="C124" s="135" t="s">
        <v>804</v>
      </c>
      <c r="D124" s="136"/>
      <c r="E124" s="136"/>
      <c r="F124" s="5" t="s">
        <v>1103</v>
      </c>
      <c r="G124" s="18">
        <v>2</v>
      </c>
      <c r="H124" s="79">
        <v>0</v>
      </c>
      <c r="I124" s="18">
        <f t="shared" si="24"/>
        <v>0</v>
      </c>
      <c r="J124" s="18">
        <f t="shared" si="25"/>
        <v>0</v>
      </c>
      <c r="K124" s="18">
        <f t="shared" si="26"/>
        <v>0</v>
      </c>
      <c r="L124" s="29" t="s">
        <v>1127</v>
      </c>
      <c r="Z124" s="34">
        <f t="shared" si="27"/>
        <v>0</v>
      </c>
      <c r="AB124" s="34">
        <f t="shared" si="28"/>
        <v>0</v>
      </c>
      <c r="AC124" s="34">
        <f t="shared" si="29"/>
        <v>0</v>
      </c>
      <c r="AD124" s="34">
        <f t="shared" si="30"/>
        <v>0</v>
      </c>
      <c r="AE124" s="34">
        <f t="shared" si="31"/>
        <v>0</v>
      </c>
      <c r="AF124" s="34">
        <f t="shared" si="32"/>
        <v>0</v>
      </c>
      <c r="AG124" s="34">
        <f t="shared" si="33"/>
        <v>0</v>
      </c>
      <c r="AH124" s="34">
        <f t="shared" si="34"/>
        <v>0</v>
      </c>
      <c r="AI124" s="28" t="s">
        <v>1137</v>
      </c>
      <c r="AJ124" s="18">
        <f t="shared" si="35"/>
        <v>0</v>
      </c>
      <c r="AK124" s="18">
        <f t="shared" si="36"/>
        <v>0</v>
      </c>
      <c r="AL124" s="18">
        <f t="shared" si="37"/>
        <v>0</v>
      </c>
      <c r="AN124" s="34">
        <v>21</v>
      </c>
      <c r="AO124" s="34">
        <f t="shared" si="38"/>
        <v>0</v>
      </c>
      <c r="AP124" s="34">
        <f t="shared" si="39"/>
        <v>0</v>
      </c>
      <c r="AQ124" s="29" t="s">
        <v>13</v>
      </c>
      <c r="AV124" s="34">
        <f t="shared" si="40"/>
        <v>0</v>
      </c>
      <c r="AW124" s="34">
        <f t="shared" si="41"/>
        <v>0</v>
      </c>
      <c r="AX124" s="34">
        <f t="shared" si="42"/>
        <v>0</v>
      </c>
      <c r="AY124" s="35" t="s">
        <v>1153</v>
      </c>
      <c r="AZ124" s="35" t="s">
        <v>1170</v>
      </c>
      <c r="BA124" s="28" t="s">
        <v>1176</v>
      </c>
      <c r="BC124" s="34">
        <f t="shared" si="43"/>
        <v>0</v>
      </c>
      <c r="BD124" s="34">
        <f t="shared" si="44"/>
        <v>0</v>
      </c>
      <c r="BE124" s="34">
        <v>0</v>
      </c>
      <c r="BF124" s="34">
        <f>124</f>
        <v>124</v>
      </c>
      <c r="BH124" s="18">
        <f t="shared" si="45"/>
        <v>0</v>
      </c>
      <c r="BI124" s="18">
        <f t="shared" si="46"/>
        <v>0</v>
      </c>
      <c r="BJ124" s="18">
        <f t="shared" si="47"/>
        <v>0</v>
      </c>
    </row>
    <row r="125" spans="1:62" x14ac:dyDescent="0.2">
      <c r="A125" s="5" t="s">
        <v>78</v>
      </c>
      <c r="B125" s="5" t="s">
        <v>440</v>
      </c>
      <c r="C125" s="135" t="s">
        <v>805</v>
      </c>
      <c r="D125" s="136"/>
      <c r="E125" s="136"/>
      <c r="F125" s="5" t="s">
        <v>1103</v>
      </c>
      <c r="G125" s="18">
        <v>7</v>
      </c>
      <c r="H125" s="79">
        <v>0</v>
      </c>
      <c r="I125" s="18">
        <f t="shared" si="24"/>
        <v>0</v>
      </c>
      <c r="J125" s="18">
        <f t="shared" si="25"/>
        <v>0</v>
      </c>
      <c r="K125" s="18">
        <f t="shared" si="26"/>
        <v>0</v>
      </c>
      <c r="L125" s="29" t="s">
        <v>1127</v>
      </c>
      <c r="Z125" s="34">
        <f t="shared" si="27"/>
        <v>0</v>
      </c>
      <c r="AB125" s="34">
        <f t="shared" si="28"/>
        <v>0</v>
      </c>
      <c r="AC125" s="34">
        <f t="shared" si="29"/>
        <v>0</v>
      </c>
      <c r="AD125" s="34">
        <f t="shared" si="30"/>
        <v>0</v>
      </c>
      <c r="AE125" s="34">
        <f t="shared" si="31"/>
        <v>0</v>
      </c>
      <c r="AF125" s="34">
        <f t="shared" si="32"/>
        <v>0</v>
      </c>
      <c r="AG125" s="34">
        <f t="shared" si="33"/>
        <v>0</v>
      </c>
      <c r="AH125" s="34">
        <f t="shared" si="34"/>
        <v>0</v>
      </c>
      <c r="AI125" s="28" t="s">
        <v>1137</v>
      </c>
      <c r="AJ125" s="18">
        <f t="shared" si="35"/>
        <v>0</v>
      </c>
      <c r="AK125" s="18">
        <f t="shared" si="36"/>
        <v>0</v>
      </c>
      <c r="AL125" s="18">
        <f t="shared" si="37"/>
        <v>0</v>
      </c>
      <c r="AN125" s="34">
        <v>21</v>
      </c>
      <c r="AO125" s="34">
        <f t="shared" si="38"/>
        <v>0</v>
      </c>
      <c r="AP125" s="34">
        <f t="shared" si="39"/>
        <v>0</v>
      </c>
      <c r="AQ125" s="29" t="s">
        <v>13</v>
      </c>
      <c r="AV125" s="34">
        <f t="shared" si="40"/>
        <v>0</v>
      </c>
      <c r="AW125" s="34">
        <f t="shared" si="41"/>
        <v>0</v>
      </c>
      <c r="AX125" s="34">
        <f t="shared" si="42"/>
        <v>0</v>
      </c>
      <c r="AY125" s="35" t="s">
        <v>1153</v>
      </c>
      <c r="AZ125" s="35" t="s">
        <v>1170</v>
      </c>
      <c r="BA125" s="28" t="s">
        <v>1176</v>
      </c>
      <c r="BC125" s="34">
        <f t="shared" si="43"/>
        <v>0</v>
      </c>
      <c r="BD125" s="34">
        <f t="shared" si="44"/>
        <v>0</v>
      </c>
      <c r="BE125" s="34">
        <v>0</v>
      </c>
      <c r="BF125" s="34">
        <f>125</f>
        <v>125</v>
      </c>
      <c r="BH125" s="18">
        <f t="shared" si="45"/>
        <v>0</v>
      </c>
      <c r="BI125" s="18">
        <f t="shared" si="46"/>
        <v>0</v>
      </c>
      <c r="BJ125" s="18">
        <f t="shared" si="47"/>
        <v>0</v>
      </c>
    </row>
    <row r="126" spans="1:62" x14ac:dyDescent="0.2">
      <c r="A126" s="5" t="s">
        <v>79</v>
      </c>
      <c r="B126" s="5" t="s">
        <v>441</v>
      </c>
      <c r="C126" s="135" t="s">
        <v>806</v>
      </c>
      <c r="D126" s="136"/>
      <c r="E126" s="136"/>
      <c r="F126" s="5" t="s">
        <v>1103</v>
      </c>
      <c r="G126" s="18">
        <v>1</v>
      </c>
      <c r="H126" s="79">
        <v>0</v>
      </c>
      <c r="I126" s="18">
        <f t="shared" si="24"/>
        <v>0</v>
      </c>
      <c r="J126" s="18">
        <f t="shared" si="25"/>
        <v>0</v>
      </c>
      <c r="K126" s="18">
        <f t="shared" si="26"/>
        <v>0</v>
      </c>
      <c r="L126" s="29" t="s">
        <v>1127</v>
      </c>
      <c r="Z126" s="34">
        <f t="shared" si="27"/>
        <v>0</v>
      </c>
      <c r="AB126" s="34">
        <f t="shared" si="28"/>
        <v>0</v>
      </c>
      <c r="AC126" s="34">
        <f t="shared" si="29"/>
        <v>0</v>
      </c>
      <c r="AD126" s="34">
        <f t="shared" si="30"/>
        <v>0</v>
      </c>
      <c r="AE126" s="34">
        <f t="shared" si="31"/>
        <v>0</v>
      </c>
      <c r="AF126" s="34">
        <f t="shared" si="32"/>
        <v>0</v>
      </c>
      <c r="AG126" s="34">
        <f t="shared" si="33"/>
        <v>0</v>
      </c>
      <c r="AH126" s="34">
        <f t="shared" si="34"/>
        <v>0</v>
      </c>
      <c r="AI126" s="28" t="s">
        <v>1137</v>
      </c>
      <c r="AJ126" s="18">
        <f t="shared" si="35"/>
        <v>0</v>
      </c>
      <c r="AK126" s="18">
        <f t="shared" si="36"/>
        <v>0</v>
      </c>
      <c r="AL126" s="18">
        <f t="shared" si="37"/>
        <v>0</v>
      </c>
      <c r="AN126" s="34">
        <v>21</v>
      </c>
      <c r="AO126" s="34">
        <f t="shared" si="38"/>
        <v>0</v>
      </c>
      <c r="AP126" s="34">
        <f t="shared" si="39"/>
        <v>0</v>
      </c>
      <c r="AQ126" s="29" t="s">
        <v>13</v>
      </c>
      <c r="AV126" s="34">
        <f t="shared" si="40"/>
        <v>0</v>
      </c>
      <c r="AW126" s="34">
        <f t="shared" si="41"/>
        <v>0</v>
      </c>
      <c r="AX126" s="34">
        <f t="shared" si="42"/>
        <v>0</v>
      </c>
      <c r="AY126" s="35" t="s">
        <v>1153</v>
      </c>
      <c r="AZ126" s="35" t="s">
        <v>1170</v>
      </c>
      <c r="BA126" s="28" t="s">
        <v>1176</v>
      </c>
      <c r="BC126" s="34">
        <f t="shared" si="43"/>
        <v>0</v>
      </c>
      <c r="BD126" s="34">
        <f t="shared" si="44"/>
        <v>0</v>
      </c>
      <c r="BE126" s="34">
        <v>0</v>
      </c>
      <c r="BF126" s="34">
        <f>126</f>
        <v>126</v>
      </c>
      <c r="BH126" s="18">
        <f t="shared" si="45"/>
        <v>0</v>
      </c>
      <c r="BI126" s="18">
        <f t="shared" si="46"/>
        <v>0</v>
      </c>
      <c r="BJ126" s="18">
        <f t="shared" si="47"/>
        <v>0</v>
      </c>
    </row>
    <row r="127" spans="1:62" x14ac:dyDescent="0.2">
      <c r="A127" s="5" t="s">
        <v>80</v>
      </c>
      <c r="B127" s="5" t="s">
        <v>442</v>
      </c>
      <c r="C127" s="135" t="s">
        <v>807</v>
      </c>
      <c r="D127" s="136"/>
      <c r="E127" s="136"/>
      <c r="F127" s="5" t="s">
        <v>1103</v>
      </c>
      <c r="G127" s="18">
        <v>2</v>
      </c>
      <c r="H127" s="79">
        <v>0</v>
      </c>
      <c r="I127" s="18">
        <f t="shared" si="24"/>
        <v>0</v>
      </c>
      <c r="J127" s="18">
        <f t="shared" si="25"/>
        <v>0</v>
      </c>
      <c r="K127" s="18">
        <f t="shared" si="26"/>
        <v>0</v>
      </c>
      <c r="L127" s="29" t="s">
        <v>1127</v>
      </c>
      <c r="Z127" s="34">
        <f t="shared" si="27"/>
        <v>0</v>
      </c>
      <c r="AB127" s="34">
        <f t="shared" si="28"/>
        <v>0</v>
      </c>
      <c r="AC127" s="34">
        <f t="shared" si="29"/>
        <v>0</v>
      </c>
      <c r="AD127" s="34">
        <f t="shared" si="30"/>
        <v>0</v>
      </c>
      <c r="AE127" s="34">
        <f t="shared" si="31"/>
        <v>0</v>
      </c>
      <c r="AF127" s="34">
        <f t="shared" si="32"/>
        <v>0</v>
      </c>
      <c r="AG127" s="34">
        <f t="shared" si="33"/>
        <v>0</v>
      </c>
      <c r="AH127" s="34">
        <f t="shared" si="34"/>
        <v>0</v>
      </c>
      <c r="AI127" s="28" t="s">
        <v>1137</v>
      </c>
      <c r="AJ127" s="18">
        <f t="shared" si="35"/>
        <v>0</v>
      </c>
      <c r="AK127" s="18">
        <f t="shared" si="36"/>
        <v>0</v>
      </c>
      <c r="AL127" s="18">
        <f t="shared" si="37"/>
        <v>0</v>
      </c>
      <c r="AN127" s="34">
        <v>21</v>
      </c>
      <c r="AO127" s="34">
        <f t="shared" si="38"/>
        <v>0</v>
      </c>
      <c r="AP127" s="34">
        <f t="shared" si="39"/>
        <v>0</v>
      </c>
      <c r="AQ127" s="29" t="s">
        <v>13</v>
      </c>
      <c r="AV127" s="34">
        <f t="shared" si="40"/>
        <v>0</v>
      </c>
      <c r="AW127" s="34">
        <f t="shared" si="41"/>
        <v>0</v>
      </c>
      <c r="AX127" s="34">
        <f t="shared" si="42"/>
        <v>0</v>
      </c>
      <c r="AY127" s="35" t="s">
        <v>1153</v>
      </c>
      <c r="AZ127" s="35" t="s">
        <v>1170</v>
      </c>
      <c r="BA127" s="28" t="s">
        <v>1176</v>
      </c>
      <c r="BC127" s="34">
        <f t="shared" si="43"/>
        <v>0</v>
      </c>
      <c r="BD127" s="34">
        <f t="shared" si="44"/>
        <v>0</v>
      </c>
      <c r="BE127" s="34">
        <v>0</v>
      </c>
      <c r="BF127" s="34">
        <f>127</f>
        <v>127</v>
      </c>
      <c r="BH127" s="18">
        <f t="shared" si="45"/>
        <v>0</v>
      </c>
      <c r="BI127" s="18">
        <f t="shared" si="46"/>
        <v>0</v>
      </c>
      <c r="BJ127" s="18">
        <f t="shared" si="47"/>
        <v>0</v>
      </c>
    </row>
    <row r="128" spans="1:62" x14ac:dyDescent="0.2">
      <c r="A128" s="5" t="s">
        <v>81</v>
      </c>
      <c r="B128" s="5" t="s">
        <v>443</v>
      </c>
      <c r="C128" s="135" t="s">
        <v>808</v>
      </c>
      <c r="D128" s="136"/>
      <c r="E128" s="136"/>
      <c r="F128" s="5" t="s">
        <v>1103</v>
      </c>
      <c r="G128" s="18">
        <v>4</v>
      </c>
      <c r="H128" s="79">
        <v>0</v>
      </c>
      <c r="I128" s="18">
        <f t="shared" si="24"/>
        <v>0</v>
      </c>
      <c r="J128" s="18">
        <f t="shared" si="25"/>
        <v>0</v>
      </c>
      <c r="K128" s="18">
        <f t="shared" si="26"/>
        <v>0</v>
      </c>
      <c r="L128" s="29" t="s">
        <v>1127</v>
      </c>
      <c r="Z128" s="34">
        <f t="shared" si="27"/>
        <v>0</v>
      </c>
      <c r="AB128" s="34">
        <f t="shared" si="28"/>
        <v>0</v>
      </c>
      <c r="AC128" s="34">
        <f t="shared" si="29"/>
        <v>0</v>
      </c>
      <c r="AD128" s="34">
        <f t="shared" si="30"/>
        <v>0</v>
      </c>
      <c r="AE128" s="34">
        <f t="shared" si="31"/>
        <v>0</v>
      </c>
      <c r="AF128" s="34">
        <f t="shared" si="32"/>
        <v>0</v>
      </c>
      <c r="AG128" s="34">
        <f t="shared" si="33"/>
        <v>0</v>
      </c>
      <c r="AH128" s="34">
        <f t="shared" si="34"/>
        <v>0</v>
      </c>
      <c r="AI128" s="28" t="s">
        <v>1137</v>
      </c>
      <c r="AJ128" s="18">
        <f t="shared" si="35"/>
        <v>0</v>
      </c>
      <c r="AK128" s="18">
        <f t="shared" si="36"/>
        <v>0</v>
      </c>
      <c r="AL128" s="18">
        <f t="shared" si="37"/>
        <v>0</v>
      </c>
      <c r="AN128" s="34">
        <v>21</v>
      </c>
      <c r="AO128" s="34">
        <f t="shared" si="38"/>
        <v>0</v>
      </c>
      <c r="AP128" s="34">
        <f t="shared" si="39"/>
        <v>0</v>
      </c>
      <c r="AQ128" s="29" t="s">
        <v>13</v>
      </c>
      <c r="AV128" s="34">
        <f t="shared" si="40"/>
        <v>0</v>
      </c>
      <c r="AW128" s="34">
        <f t="shared" si="41"/>
        <v>0</v>
      </c>
      <c r="AX128" s="34">
        <f t="shared" si="42"/>
        <v>0</v>
      </c>
      <c r="AY128" s="35" t="s">
        <v>1153</v>
      </c>
      <c r="AZ128" s="35" t="s">
        <v>1170</v>
      </c>
      <c r="BA128" s="28" t="s">
        <v>1176</v>
      </c>
      <c r="BC128" s="34">
        <f t="shared" si="43"/>
        <v>0</v>
      </c>
      <c r="BD128" s="34">
        <f t="shared" si="44"/>
        <v>0</v>
      </c>
      <c r="BE128" s="34">
        <v>0</v>
      </c>
      <c r="BF128" s="34">
        <f>128</f>
        <v>128</v>
      </c>
      <c r="BH128" s="18">
        <f t="shared" si="45"/>
        <v>0</v>
      </c>
      <c r="BI128" s="18">
        <f t="shared" si="46"/>
        <v>0</v>
      </c>
      <c r="BJ128" s="18">
        <f t="shared" si="47"/>
        <v>0</v>
      </c>
    </row>
    <row r="129" spans="1:62" x14ac:dyDescent="0.2">
      <c r="A129" s="5" t="s">
        <v>82</v>
      </c>
      <c r="B129" s="5" t="s">
        <v>444</v>
      </c>
      <c r="C129" s="135" t="s">
        <v>809</v>
      </c>
      <c r="D129" s="136"/>
      <c r="E129" s="136"/>
      <c r="F129" s="5" t="s">
        <v>1103</v>
      </c>
      <c r="G129" s="18">
        <v>3</v>
      </c>
      <c r="H129" s="79">
        <v>0</v>
      </c>
      <c r="I129" s="18">
        <f t="shared" si="24"/>
        <v>0</v>
      </c>
      <c r="J129" s="18">
        <f t="shared" si="25"/>
        <v>0</v>
      </c>
      <c r="K129" s="18">
        <f t="shared" si="26"/>
        <v>0</v>
      </c>
      <c r="L129" s="29" t="s">
        <v>1127</v>
      </c>
      <c r="Z129" s="34">
        <f t="shared" si="27"/>
        <v>0</v>
      </c>
      <c r="AB129" s="34">
        <f t="shared" si="28"/>
        <v>0</v>
      </c>
      <c r="AC129" s="34">
        <f t="shared" si="29"/>
        <v>0</v>
      </c>
      <c r="AD129" s="34">
        <f t="shared" si="30"/>
        <v>0</v>
      </c>
      <c r="AE129" s="34">
        <f t="shared" si="31"/>
        <v>0</v>
      </c>
      <c r="AF129" s="34">
        <f t="shared" si="32"/>
        <v>0</v>
      </c>
      <c r="AG129" s="34">
        <f t="shared" si="33"/>
        <v>0</v>
      </c>
      <c r="AH129" s="34">
        <f t="shared" si="34"/>
        <v>0</v>
      </c>
      <c r="AI129" s="28" t="s">
        <v>1137</v>
      </c>
      <c r="AJ129" s="18">
        <f t="shared" si="35"/>
        <v>0</v>
      </c>
      <c r="AK129" s="18">
        <f t="shared" si="36"/>
        <v>0</v>
      </c>
      <c r="AL129" s="18">
        <f t="shared" si="37"/>
        <v>0</v>
      </c>
      <c r="AN129" s="34">
        <v>21</v>
      </c>
      <c r="AO129" s="34">
        <f t="shared" si="38"/>
        <v>0</v>
      </c>
      <c r="AP129" s="34">
        <f t="shared" si="39"/>
        <v>0</v>
      </c>
      <c r="AQ129" s="29" t="s">
        <v>13</v>
      </c>
      <c r="AV129" s="34">
        <f t="shared" si="40"/>
        <v>0</v>
      </c>
      <c r="AW129" s="34">
        <f t="shared" si="41"/>
        <v>0</v>
      </c>
      <c r="AX129" s="34">
        <f t="shared" si="42"/>
        <v>0</v>
      </c>
      <c r="AY129" s="35" t="s">
        <v>1153</v>
      </c>
      <c r="AZ129" s="35" t="s">
        <v>1170</v>
      </c>
      <c r="BA129" s="28" t="s">
        <v>1176</v>
      </c>
      <c r="BC129" s="34">
        <f t="shared" si="43"/>
        <v>0</v>
      </c>
      <c r="BD129" s="34">
        <f t="shared" si="44"/>
        <v>0</v>
      </c>
      <c r="BE129" s="34">
        <v>0</v>
      </c>
      <c r="BF129" s="34">
        <f>129</f>
        <v>129</v>
      </c>
      <c r="BH129" s="18">
        <f t="shared" si="45"/>
        <v>0</v>
      </c>
      <c r="BI129" s="18">
        <f t="shared" si="46"/>
        <v>0</v>
      </c>
      <c r="BJ129" s="18">
        <f t="shared" si="47"/>
        <v>0</v>
      </c>
    </row>
    <row r="130" spans="1:62" x14ac:dyDescent="0.2">
      <c r="A130" s="5" t="s">
        <v>83</v>
      </c>
      <c r="B130" s="5" t="s">
        <v>445</v>
      </c>
      <c r="C130" s="135" t="s">
        <v>810</v>
      </c>
      <c r="D130" s="136"/>
      <c r="E130" s="136"/>
      <c r="F130" s="5" t="s">
        <v>1103</v>
      </c>
      <c r="G130" s="18">
        <v>3</v>
      </c>
      <c r="H130" s="79">
        <v>0</v>
      </c>
      <c r="I130" s="18">
        <f t="shared" si="24"/>
        <v>0</v>
      </c>
      <c r="J130" s="18">
        <f t="shared" si="25"/>
        <v>0</v>
      </c>
      <c r="K130" s="18">
        <f t="shared" si="26"/>
        <v>0</v>
      </c>
      <c r="L130" s="29" t="s">
        <v>1127</v>
      </c>
      <c r="Z130" s="34">
        <f t="shared" si="27"/>
        <v>0</v>
      </c>
      <c r="AB130" s="34">
        <f t="shared" si="28"/>
        <v>0</v>
      </c>
      <c r="AC130" s="34">
        <f t="shared" si="29"/>
        <v>0</v>
      </c>
      <c r="AD130" s="34">
        <f t="shared" si="30"/>
        <v>0</v>
      </c>
      <c r="AE130" s="34">
        <f t="shared" si="31"/>
        <v>0</v>
      </c>
      <c r="AF130" s="34">
        <f t="shared" si="32"/>
        <v>0</v>
      </c>
      <c r="AG130" s="34">
        <f t="shared" si="33"/>
        <v>0</v>
      </c>
      <c r="AH130" s="34">
        <f t="shared" si="34"/>
        <v>0</v>
      </c>
      <c r="AI130" s="28" t="s">
        <v>1137</v>
      </c>
      <c r="AJ130" s="18">
        <f t="shared" si="35"/>
        <v>0</v>
      </c>
      <c r="AK130" s="18">
        <f t="shared" si="36"/>
        <v>0</v>
      </c>
      <c r="AL130" s="18">
        <f t="shared" si="37"/>
        <v>0</v>
      </c>
      <c r="AN130" s="34">
        <v>21</v>
      </c>
      <c r="AO130" s="34">
        <f t="shared" si="38"/>
        <v>0</v>
      </c>
      <c r="AP130" s="34">
        <f t="shared" si="39"/>
        <v>0</v>
      </c>
      <c r="AQ130" s="29" t="s">
        <v>13</v>
      </c>
      <c r="AV130" s="34">
        <f t="shared" si="40"/>
        <v>0</v>
      </c>
      <c r="AW130" s="34">
        <f t="shared" si="41"/>
        <v>0</v>
      </c>
      <c r="AX130" s="34">
        <f t="shared" si="42"/>
        <v>0</v>
      </c>
      <c r="AY130" s="35" t="s">
        <v>1153</v>
      </c>
      <c r="AZ130" s="35" t="s">
        <v>1170</v>
      </c>
      <c r="BA130" s="28" t="s">
        <v>1176</v>
      </c>
      <c r="BC130" s="34">
        <f t="shared" si="43"/>
        <v>0</v>
      </c>
      <c r="BD130" s="34">
        <f t="shared" si="44"/>
        <v>0</v>
      </c>
      <c r="BE130" s="34">
        <v>0</v>
      </c>
      <c r="BF130" s="34">
        <f>130</f>
        <v>130</v>
      </c>
      <c r="BH130" s="18">
        <f t="shared" si="45"/>
        <v>0</v>
      </c>
      <c r="BI130" s="18">
        <f t="shared" si="46"/>
        <v>0</v>
      </c>
      <c r="BJ130" s="18">
        <f t="shared" si="47"/>
        <v>0</v>
      </c>
    </row>
    <row r="131" spans="1:62" x14ac:dyDescent="0.2">
      <c r="A131" s="5" t="s">
        <v>84</v>
      </c>
      <c r="B131" s="5" t="s">
        <v>446</v>
      </c>
      <c r="C131" s="135" t="s">
        <v>811</v>
      </c>
      <c r="D131" s="136"/>
      <c r="E131" s="136"/>
      <c r="F131" s="5" t="s">
        <v>1103</v>
      </c>
      <c r="G131" s="18">
        <v>4</v>
      </c>
      <c r="H131" s="79">
        <v>0</v>
      </c>
      <c r="I131" s="18">
        <f t="shared" si="24"/>
        <v>0</v>
      </c>
      <c r="J131" s="18">
        <f t="shared" si="25"/>
        <v>0</v>
      </c>
      <c r="K131" s="18">
        <f t="shared" si="26"/>
        <v>0</v>
      </c>
      <c r="L131" s="29" t="s">
        <v>1127</v>
      </c>
      <c r="Z131" s="34">
        <f t="shared" si="27"/>
        <v>0</v>
      </c>
      <c r="AB131" s="34">
        <f t="shared" si="28"/>
        <v>0</v>
      </c>
      <c r="AC131" s="34">
        <f t="shared" si="29"/>
        <v>0</v>
      </c>
      <c r="AD131" s="34">
        <f t="shared" si="30"/>
        <v>0</v>
      </c>
      <c r="AE131" s="34">
        <f t="shared" si="31"/>
        <v>0</v>
      </c>
      <c r="AF131" s="34">
        <f t="shared" si="32"/>
        <v>0</v>
      </c>
      <c r="AG131" s="34">
        <f t="shared" si="33"/>
        <v>0</v>
      </c>
      <c r="AH131" s="34">
        <f t="shared" si="34"/>
        <v>0</v>
      </c>
      <c r="AI131" s="28" t="s">
        <v>1137</v>
      </c>
      <c r="AJ131" s="18">
        <f t="shared" si="35"/>
        <v>0</v>
      </c>
      <c r="AK131" s="18">
        <f t="shared" si="36"/>
        <v>0</v>
      </c>
      <c r="AL131" s="18">
        <f t="shared" si="37"/>
        <v>0</v>
      </c>
      <c r="AN131" s="34">
        <v>21</v>
      </c>
      <c r="AO131" s="34">
        <f t="shared" si="38"/>
        <v>0</v>
      </c>
      <c r="AP131" s="34">
        <f t="shared" si="39"/>
        <v>0</v>
      </c>
      <c r="AQ131" s="29" t="s">
        <v>13</v>
      </c>
      <c r="AV131" s="34">
        <f t="shared" si="40"/>
        <v>0</v>
      </c>
      <c r="AW131" s="34">
        <f t="shared" si="41"/>
        <v>0</v>
      </c>
      <c r="AX131" s="34">
        <f t="shared" si="42"/>
        <v>0</v>
      </c>
      <c r="AY131" s="35" t="s">
        <v>1153</v>
      </c>
      <c r="AZ131" s="35" t="s">
        <v>1170</v>
      </c>
      <c r="BA131" s="28" t="s">
        <v>1176</v>
      </c>
      <c r="BC131" s="34">
        <f t="shared" si="43"/>
        <v>0</v>
      </c>
      <c r="BD131" s="34">
        <f t="shared" si="44"/>
        <v>0</v>
      </c>
      <c r="BE131" s="34">
        <v>0</v>
      </c>
      <c r="BF131" s="34">
        <f>131</f>
        <v>131</v>
      </c>
      <c r="BH131" s="18">
        <f t="shared" si="45"/>
        <v>0</v>
      </c>
      <c r="BI131" s="18">
        <f t="shared" si="46"/>
        <v>0</v>
      </c>
      <c r="BJ131" s="18">
        <f t="shared" si="47"/>
        <v>0</v>
      </c>
    </row>
    <row r="132" spans="1:62" x14ac:dyDescent="0.2">
      <c r="A132" s="5" t="s">
        <v>85</v>
      </c>
      <c r="B132" s="5" t="s">
        <v>447</v>
      </c>
      <c r="C132" s="135" t="s">
        <v>812</v>
      </c>
      <c r="D132" s="136"/>
      <c r="E132" s="136"/>
      <c r="F132" s="5" t="s">
        <v>1103</v>
      </c>
      <c r="G132" s="18">
        <v>2</v>
      </c>
      <c r="H132" s="79">
        <v>0</v>
      </c>
      <c r="I132" s="18">
        <f t="shared" si="24"/>
        <v>0</v>
      </c>
      <c r="J132" s="18">
        <f t="shared" si="25"/>
        <v>0</v>
      </c>
      <c r="K132" s="18">
        <f t="shared" si="26"/>
        <v>0</v>
      </c>
      <c r="L132" s="29" t="s">
        <v>1127</v>
      </c>
      <c r="Z132" s="34">
        <f t="shared" si="27"/>
        <v>0</v>
      </c>
      <c r="AB132" s="34">
        <f t="shared" si="28"/>
        <v>0</v>
      </c>
      <c r="AC132" s="34">
        <f t="shared" si="29"/>
        <v>0</v>
      </c>
      <c r="AD132" s="34">
        <f t="shared" si="30"/>
        <v>0</v>
      </c>
      <c r="AE132" s="34">
        <f t="shared" si="31"/>
        <v>0</v>
      </c>
      <c r="AF132" s="34">
        <f t="shared" si="32"/>
        <v>0</v>
      </c>
      <c r="AG132" s="34">
        <f t="shared" si="33"/>
        <v>0</v>
      </c>
      <c r="AH132" s="34">
        <f t="shared" si="34"/>
        <v>0</v>
      </c>
      <c r="AI132" s="28" t="s">
        <v>1137</v>
      </c>
      <c r="AJ132" s="18">
        <f t="shared" si="35"/>
        <v>0</v>
      </c>
      <c r="AK132" s="18">
        <f t="shared" si="36"/>
        <v>0</v>
      </c>
      <c r="AL132" s="18">
        <f t="shared" si="37"/>
        <v>0</v>
      </c>
      <c r="AN132" s="34">
        <v>21</v>
      </c>
      <c r="AO132" s="34">
        <f t="shared" si="38"/>
        <v>0</v>
      </c>
      <c r="AP132" s="34">
        <f t="shared" si="39"/>
        <v>0</v>
      </c>
      <c r="AQ132" s="29" t="s">
        <v>13</v>
      </c>
      <c r="AV132" s="34">
        <f t="shared" si="40"/>
        <v>0</v>
      </c>
      <c r="AW132" s="34">
        <f t="shared" si="41"/>
        <v>0</v>
      </c>
      <c r="AX132" s="34">
        <f t="shared" si="42"/>
        <v>0</v>
      </c>
      <c r="AY132" s="35" t="s">
        <v>1153</v>
      </c>
      <c r="AZ132" s="35" t="s">
        <v>1170</v>
      </c>
      <c r="BA132" s="28" t="s">
        <v>1176</v>
      </c>
      <c r="BC132" s="34">
        <f t="shared" si="43"/>
        <v>0</v>
      </c>
      <c r="BD132" s="34">
        <f t="shared" si="44"/>
        <v>0</v>
      </c>
      <c r="BE132" s="34">
        <v>0</v>
      </c>
      <c r="BF132" s="34">
        <f>132</f>
        <v>132</v>
      </c>
      <c r="BH132" s="18">
        <f t="shared" si="45"/>
        <v>0</v>
      </c>
      <c r="BI132" s="18">
        <f t="shared" si="46"/>
        <v>0</v>
      </c>
      <c r="BJ132" s="18">
        <f t="shared" si="47"/>
        <v>0</v>
      </c>
    </row>
    <row r="133" spans="1:62" x14ac:dyDescent="0.2">
      <c r="A133" s="5" t="s">
        <v>86</v>
      </c>
      <c r="B133" s="5" t="s">
        <v>448</v>
      </c>
      <c r="C133" s="135" t="s">
        <v>813</v>
      </c>
      <c r="D133" s="136"/>
      <c r="E133" s="136"/>
      <c r="F133" s="5" t="s">
        <v>1103</v>
      </c>
      <c r="G133" s="18">
        <v>2</v>
      </c>
      <c r="H133" s="79">
        <v>0</v>
      </c>
      <c r="I133" s="18">
        <f t="shared" si="24"/>
        <v>0</v>
      </c>
      <c r="J133" s="18">
        <f t="shared" si="25"/>
        <v>0</v>
      </c>
      <c r="K133" s="18">
        <f t="shared" si="26"/>
        <v>0</v>
      </c>
      <c r="L133" s="29" t="s">
        <v>1127</v>
      </c>
      <c r="Z133" s="34">
        <f t="shared" si="27"/>
        <v>0</v>
      </c>
      <c r="AB133" s="34">
        <f t="shared" si="28"/>
        <v>0</v>
      </c>
      <c r="AC133" s="34">
        <f t="shared" si="29"/>
        <v>0</v>
      </c>
      <c r="AD133" s="34">
        <f t="shared" si="30"/>
        <v>0</v>
      </c>
      <c r="AE133" s="34">
        <f t="shared" si="31"/>
        <v>0</v>
      </c>
      <c r="AF133" s="34">
        <f t="shared" si="32"/>
        <v>0</v>
      </c>
      <c r="AG133" s="34">
        <f t="shared" si="33"/>
        <v>0</v>
      </c>
      <c r="AH133" s="34">
        <f t="shared" si="34"/>
        <v>0</v>
      </c>
      <c r="AI133" s="28" t="s">
        <v>1137</v>
      </c>
      <c r="AJ133" s="18">
        <f t="shared" si="35"/>
        <v>0</v>
      </c>
      <c r="AK133" s="18">
        <f t="shared" si="36"/>
        <v>0</v>
      </c>
      <c r="AL133" s="18">
        <f t="shared" si="37"/>
        <v>0</v>
      </c>
      <c r="AN133" s="34">
        <v>21</v>
      </c>
      <c r="AO133" s="34">
        <f t="shared" si="38"/>
        <v>0</v>
      </c>
      <c r="AP133" s="34">
        <f t="shared" si="39"/>
        <v>0</v>
      </c>
      <c r="AQ133" s="29" t="s">
        <v>13</v>
      </c>
      <c r="AV133" s="34">
        <f t="shared" si="40"/>
        <v>0</v>
      </c>
      <c r="AW133" s="34">
        <f t="shared" si="41"/>
        <v>0</v>
      </c>
      <c r="AX133" s="34">
        <f t="shared" si="42"/>
        <v>0</v>
      </c>
      <c r="AY133" s="35" t="s">
        <v>1153</v>
      </c>
      <c r="AZ133" s="35" t="s">
        <v>1170</v>
      </c>
      <c r="BA133" s="28" t="s">
        <v>1176</v>
      </c>
      <c r="BC133" s="34">
        <f t="shared" si="43"/>
        <v>0</v>
      </c>
      <c r="BD133" s="34">
        <f t="shared" si="44"/>
        <v>0</v>
      </c>
      <c r="BE133" s="34">
        <v>0</v>
      </c>
      <c r="BF133" s="34">
        <f>133</f>
        <v>133</v>
      </c>
      <c r="BH133" s="18">
        <f t="shared" si="45"/>
        <v>0</v>
      </c>
      <c r="BI133" s="18">
        <f t="shared" si="46"/>
        <v>0</v>
      </c>
      <c r="BJ133" s="18">
        <f t="shared" si="47"/>
        <v>0</v>
      </c>
    </row>
    <row r="134" spans="1:62" x14ac:dyDescent="0.2">
      <c r="A134" s="5" t="s">
        <v>87</v>
      </c>
      <c r="B134" s="5" t="s">
        <v>449</v>
      </c>
      <c r="C134" s="135" t="s">
        <v>814</v>
      </c>
      <c r="D134" s="136"/>
      <c r="E134" s="136"/>
      <c r="F134" s="5" t="s">
        <v>1103</v>
      </c>
      <c r="G134" s="18">
        <v>2</v>
      </c>
      <c r="H134" s="79">
        <v>0</v>
      </c>
      <c r="I134" s="18">
        <f t="shared" si="24"/>
        <v>0</v>
      </c>
      <c r="J134" s="18">
        <f t="shared" si="25"/>
        <v>0</v>
      </c>
      <c r="K134" s="18">
        <f t="shared" si="26"/>
        <v>0</v>
      </c>
      <c r="L134" s="29" t="s">
        <v>1127</v>
      </c>
      <c r="Z134" s="34">
        <f t="shared" si="27"/>
        <v>0</v>
      </c>
      <c r="AB134" s="34">
        <f t="shared" si="28"/>
        <v>0</v>
      </c>
      <c r="AC134" s="34">
        <f t="shared" si="29"/>
        <v>0</v>
      </c>
      <c r="AD134" s="34">
        <f t="shared" si="30"/>
        <v>0</v>
      </c>
      <c r="AE134" s="34">
        <f t="shared" si="31"/>
        <v>0</v>
      </c>
      <c r="AF134" s="34">
        <f t="shared" si="32"/>
        <v>0</v>
      </c>
      <c r="AG134" s="34">
        <f t="shared" si="33"/>
        <v>0</v>
      </c>
      <c r="AH134" s="34">
        <f t="shared" si="34"/>
        <v>0</v>
      </c>
      <c r="AI134" s="28" t="s">
        <v>1137</v>
      </c>
      <c r="AJ134" s="18">
        <f t="shared" si="35"/>
        <v>0</v>
      </c>
      <c r="AK134" s="18">
        <f t="shared" si="36"/>
        <v>0</v>
      </c>
      <c r="AL134" s="18">
        <f t="shared" si="37"/>
        <v>0</v>
      </c>
      <c r="AN134" s="34">
        <v>21</v>
      </c>
      <c r="AO134" s="34">
        <f t="shared" si="38"/>
        <v>0</v>
      </c>
      <c r="AP134" s="34">
        <f t="shared" si="39"/>
        <v>0</v>
      </c>
      <c r="AQ134" s="29" t="s">
        <v>13</v>
      </c>
      <c r="AV134" s="34">
        <f t="shared" si="40"/>
        <v>0</v>
      </c>
      <c r="AW134" s="34">
        <f t="shared" si="41"/>
        <v>0</v>
      </c>
      <c r="AX134" s="34">
        <f t="shared" si="42"/>
        <v>0</v>
      </c>
      <c r="AY134" s="35" t="s">
        <v>1153</v>
      </c>
      <c r="AZ134" s="35" t="s">
        <v>1170</v>
      </c>
      <c r="BA134" s="28" t="s">
        <v>1176</v>
      </c>
      <c r="BC134" s="34">
        <f t="shared" si="43"/>
        <v>0</v>
      </c>
      <c r="BD134" s="34">
        <f t="shared" si="44"/>
        <v>0</v>
      </c>
      <c r="BE134" s="34">
        <v>0</v>
      </c>
      <c r="BF134" s="34">
        <f>134</f>
        <v>134</v>
      </c>
      <c r="BH134" s="18">
        <f t="shared" si="45"/>
        <v>0</v>
      </c>
      <c r="BI134" s="18">
        <f t="shared" si="46"/>
        <v>0</v>
      </c>
      <c r="BJ134" s="18">
        <f t="shared" si="47"/>
        <v>0</v>
      </c>
    </row>
    <row r="135" spans="1:62" x14ac:dyDescent="0.2">
      <c r="A135" s="5" t="s">
        <v>88</v>
      </c>
      <c r="B135" s="5" t="s">
        <v>450</v>
      </c>
      <c r="C135" s="135" t="s">
        <v>815</v>
      </c>
      <c r="D135" s="136"/>
      <c r="E135" s="136"/>
      <c r="F135" s="5" t="s">
        <v>1103</v>
      </c>
      <c r="G135" s="18">
        <v>2</v>
      </c>
      <c r="H135" s="79">
        <v>0</v>
      </c>
      <c r="I135" s="18">
        <f t="shared" si="24"/>
        <v>0</v>
      </c>
      <c r="J135" s="18">
        <f t="shared" si="25"/>
        <v>0</v>
      </c>
      <c r="K135" s="18">
        <f t="shared" si="26"/>
        <v>0</v>
      </c>
      <c r="L135" s="29" t="s">
        <v>1127</v>
      </c>
      <c r="Z135" s="34">
        <f t="shared" si="27"/>
        <v>0</v>
      </c>
      <c r="AB135" s="34">
        <f t="shared" si="28"/>
        <v>0</v>
      </c>
      <c r="AC135" s="34">
        <f t="shared" si="29"/>
        <v>0</v>
      </c>
      <c r="AD135" s="34">
        <f t="shared" si="30"/>
        <v>0</v>
      </c>
      <c r="AE135" s="34">
        <f t="shared" si="31"/>
        <v>0</v>
      </c>
      <c r="AF135" s="34">
        <f t="shared" si="32"/>
        <v>0</v>
      </c>
      <c r="AG135" s="34">
        <f t="shared" si="33"/>
        <v>0</v>
      </c>
      <c r="AH135" s="34">
        <f t="shared" si="34"/>
        <v>0</v>
      </c>
      <c r="AI135" s="28" t="s">
        <v>1137</v>
      </c>
      <c r="AJ135" s="18">
        <f t="shared" si="35"/>
        <v>0</v>
      </c>
      <c r="AK135" s="18">
        <f t="shared" si="36"/>
        <v>0</v>
      </c>
      <c r="AL135" s="18">
        <f t="shared" si="37"/>
        <v>0</v>
      </c>
      <c r="AN135" s="34">
        <v>21</v>
      </c>
      <c r="AO135" s="34">
        <f t="shared" si="38"/>
        <v>0</v>
      </c>
      <c r="AP135" s="34">
        <f t="shared" si="39"/>
        <v>0</v>
      </c>
      <c r="AQ135" s="29" t="s">
        <v>13</v>
      </c>
      <c r="AV135" s="34">
        <f t="shared" si="40"/>
        <v>0</v>
      </c>
      <c r="AW135" s="34">
        <f t="shared" si="41"/>
        <v>0</v>
      </c>
      <c r="AX135" s="34">
        <f t="shared" si="42"/>
        <v>0</v>
      </c>
      <c r="AY135" s="35" t="s">
        <v>1153</v>
      </c>
      <c r="AZ135" s="35" t="s">
        <v>1170</v>
      </c>
      <c r="BA135" s="28" t="s">
        <v>1176</v>
      </c>
      <c r="BC135" s="34">
        <f t="shared" si="43"/>
        <v>0</v>
      </c>
      <c r="BD135" s="34">
        <f t="shared" si="44"/>
        <v>0</v>
      </c>
      <c r="BE135" s="34">
        <v>0</v>
      </c>
      <c r="BF135" s="34">
        <f>135</f>
        <v>135</v>
      </c>
      <c r="BH135" s="18">
        <f t="shared" si="45"/>
        <v>0</v>
      </c>
      <c r="BI135" s="18">
        <f t="shared" si="46"/>
        <v>0</v>
      </c>
      <c r="BJ135" s="18">
        <f t="shared" si="47"/>
        <v>0</v>
      </c>
    </row>
    <row r="136" spans="1:62" x14ac:dyDescent="0.2">
      <c r="A136" s="5" t="s">
        <v>89</v>
      </c>
      <c r="B136" s="5" t="s">
        <v>451</v>
      </c>
      <c r="C136" s="135" t="s">
        <v>816</v>
      </c>
      <c r="D136" s="136"/>
      <c r="E136" s="136"/>
      <c r="F136" s="5" t="s">
        <v>1103</v>
      </c>
      <c r="G136" s="18">
        <v>2</v>
      </c>
      <c r="H136" s="79">
        <v>0</v>
      </c>
      <c r="I136" s="18">
        <f t="shared" si="24"/>
        <v>0</v>
      </c>
      <c r="J136" s="18">
        <f t="shared" si="25"/>
        <v>0</v>
      </c>
      <c r="K136" s="18">
        <f t="shared" si="26"/>
        <v>0</v>
      </c>
      <c r="L136" s="29" t="s">
        <v>1127</v>
      </c>
      <c r="Z136" s="34">
        <f t="shared" si="27"/>
        <v>0</v>
      </c>
      <c r="AB136" s="34">
        <f t="shared" si="28"/>
        <v>0</v>
      </c>
      <c r="AC136" s="34">
        <f t="shared" si="29"/>
        <v>0</v>
      </c>
      <c r="AD136" s="34">
        <f t="shared" si="30"/>
        <v>0</v>
      </c>
      <c r="AE136" s="34">
        <f t="shared" si="31"/>
        <v>0</v>
      </c>
      <c r="AF136" s="34">
        <f t="shared" si="32"/>
        <v>0</v>
      </c>
      <c r="AG136" s="34">
        <f t="shared" si="33"/>
        <v>0</v>
      </c>
      <c r="AH136" s="34">
        <f t="shared" si="34"/>
        <v>0</v>
      </c>
      <c r="AI136" s="28" t="s">
        <v>1137</v>
      </c>
      <c r="AJ136" s="18">
        <f t="shared" si="35"/>
        <v>0</v>
      </c>
      <c r="AK136" s="18">
        <f t="shared" si="36"/>
        <v>0</v>
      </c>
      <c r="AL136" s="18">
        <f t="shared" si="37"/>
        <v>0</v>
      </c>
      <c r="AN136" s="34">
        <v>21</v>
      </c>
      <c r="AO136" s="34">
        <f t="shared" si="38"/>
        <v>0</v>
      </c>
      <c r="AP136" s="34">
        <f t="shared" si="39"/>
        <v>0</v>
      </c>
      <c r="AQ136" s="29" t="s">
        <v>13</v>
      </c>
      <c r="AV136" s="34">
        <f t="shared" si="40"/>
        <v>0</v>
      </c>
      <c r="AW136" s="34">
        <f t="shared" si="41"/>
        <v>0</v>
      </c>
      <c r="AX136" s="34">
        <f t="shared" si="42"/>
        <v>0</v>
      </c>
      <c r="AY136" s="35" t="s">
        <v>1153</v>
      </c>
      <c r="AZ136" s="35" t="s">
        <v>1170</v>
      </c>
      <c r="BA136" s="28" t="s">
        <v>1176</v>
      </c>
      <c r="BC136" s="34">
        <f t="shared" si="43"/>
        <v>0</v>
      </c>
      <c r="BD136" s="34">
        <f t="shared" si="44"/>
        <v>0</v>
      </c>
      <c r="BE136" s="34">
        <v>0</v>
      </c>
      <c r="BF136" s="34">
        <f>136</f>
        <v>136</v>
      </c>
      <c r="BH136" s="18">
        <f t="shared" si="45"/>
        <v>0</v>
      </c>
      <c r="BI136" s="18">
        <f t="shared" si="46"/>
        <v>0</v>
      </c>
      <c r="BJ136" s="18">
        <f t="shared" si="47"/>
        <v>0</v>
      </c>
    </row>
    <row r="137" spans="1:62" x14ac:dyDescent="0.2">
      <c r="A137" s="5" t="s">
        <v>90</v>
      </c>
      <c r="B137" s="5" t="s">
        <v>452</v>
      </c>
      <c r="C137" s="135" t="s">
        <v>817</v>
      </c>
      <c r="D137" s="136"/>
      <c r="E137" s="136"/>
      <c r="F137" s="5" t="s">
        <v>1101</v>
      </c>
      <c r="G137" s="18">
        <v>47.5</v>
      </c>
      <c r="H137" s="79">
        <v>0</v>
      </c>
      <c r="I137" s="18">
        <f t="shared" si="24"/>
        <v>0</v>
      </c>
      <c r="J137" s="18">
        <f t="shared" si="25"/>
        <v>0</v>
      </c>
      <c r="K137" s="18">
        <f t="shared" si="26"/>
        <v>0</v>
      </c>
      <c r="L137" s="29" t="s">
        <v>1127</v>
      </c>
      <c r="Z137" s="34">
        <f t="shared" si="27"/>
        <v>0</v>
      </c>
      <c r="AB137" s="34">
        <f t="shared" si="28"/>
        <v>0</v>
      </c>
      <c r="AC137" s="34">
        <f t="shared" si="29"/>
        <v>0</v>
      </c>
      <c r="AD137" s="34">
        <f t="shared" si="30"/>
        <v>0</v>
      </c>
      <c r="AE137" s="34">
        <f t="shared" si="31"/>
        <v>0</v>
      </c>
      <c r="AF137" s="34">
        <f t="shared" si="32"/>
        <v>0</v>
      </c>
      <c r="AG137" s="34">
        <f t="shared" si="33"/>
        <v>0</v>
      </c>
      <c r="AH137" s="34">
        <f t="shared" si="34"/>
        <v>0</v>
      </c>
      <c r="AI137" s="28" t="s">
        <v>1137</v>
      </c>
      <c r="AJ137" s="18">
        <f t="shared" si="35"/>
        <v>0</v>
      </c>
      <c r="AK137" s="18">
        <f t="shared" si="36"/>
        <v>0</v>
      </c>
      <c r="AL137" s="18">
        <f t="shared" si="37"/>
        <v>0</v>
      </c>
      <c r="AN137" s="34">
        <v>21</v>
      </c>
      <c r="AO137" s="34">
        <f t="shared" si="38"/>
        <v>0</v>
      </c>
      <c r="AP137" s="34">
        <f t="shared" si="39"/>
        <v>0</v>
      </c>
      <c r="AQ137" s="29" t="s">
        <v>13</v>
      </c>
      <c r="AV137" s="34">
        <f t="shared" si="40"/>
        <v>0</v>
      </c>
      <c r="AW137" s="34">
        <f t="shared" si="41"/>
        <v>0</v>
      </c>
      <c r="AX137" s="34">
        <f t="shared" si="42"/>
        <v>0</v>
      </c>
      <c r="AY137" s="35" t="s">
        <v>1153</v>
      </c>
      <c r="AZ137" s="35" t="s">
        <v>1170</v>
      </c>
      <c r="BA137" s="28" t="s">
        <v>1176</v>
      </c>
      <c r="BC137" s="34">
        <f t="shared" si="43"/>
        <v>0</v>
      </c>
      <c r="BD137" s="34">
        <f t="shared" si="44"/>
        <v>0</v>
      </c>
      <c r="BE137" s="34">
        <v>0</v>
      </c>
      <c r="BF137" s="34">
        <f>137</f>
        <v>137</v>
      </c>
      <c r="BH137" s="18">
        <f t="shared" si="45"/>
        <v>0</v>
      </c>
      <c r="BI137" s="18">
        <f t="shared" si="46"/>
        <v>0</v>
      </c>
      <c r="BJ137" s="18">
        <f t="shared" si="47"/>
        <v>0</v>
      </c>
    </row>
    <row r="138" spans="1:62" x14ac:dyDescent="0.2">
      <c r="A138" s="5" t="s">
        <v>91</v>
      </c>
      <c r="B138" s="5" t="s">
        <v>453</v>
      </c>
      <c r="C138" s="135" t="s">
        <v>818</v>
      </c>
      <c r="D138" s="136"/>
      <c r="E138" s="136"/>
      <c r="F138" s="5" t="s">
        <v>1103</v>
      </c>
      <c r="G138" s="18">
        <v>9</v>
      </c>
      <c r="H138" s="79">
        <v>0</v>
      </c>
      <c r="I138" s="18">
        <f t="shared" si="24"/>
        <v>0</v>
      </c>
      <c r="J138" s="18">
        <f t="shared" si="25"/>
        <v>0</v>
      </c>
      <c r="K138" s="18">
        <f t="shared" si="26"/>
        <v>0</v>
      </c>
      <c r="L138" s="29" t="s">
        <v>1127</v>
      </c>
      <c r="Z138" s="34">
        <f t="shared" si="27"/>
        <v>0</v>
      </c>
      <c r="AB138" s="34">
        <f t="shared" si="28"/>
        <v>0</v>
      </c>
      <c r="AC138" s="34">
        <f t="shared" si="29"/>
        <v>0</v>
      </c>
      <c r="AD138" s="34">
        <f t="shared" si="30"/>
        <v>0</v>
      </c>
      <c r="AE138" s="34">
        <f t="shared" si="31"/>
        <v>0</v>
      </c>
      <c r="AF138" s="34">
        <f t="shared" si="32"/>
        <v>0</v>
      </c>
      <c r="AG138" s="34">
        <f t="shared" si="33"/>
        <v>0</v>
      </c>
      <c r="AH138" s="34">
        <f t="shared" si="34"/>
        <v>0</v>
      </c>
      <c r="AI138" s="28" t="s">
        <v>1137</v>
      </c>
      <c r="AJ138" s="18">
        <f t="shared" si="35"/>
        <v>0</v>
      </c>
      <c r="AK138" s="18">
        <f t="shared" si="36"/>
        <v>0</v>
      </c>
      <c r="AL138" s="18">
        <f t="shared" si="37"/>
        <v>0</v>
      </c>
      <c r="AN138" s="34">
        <v>21</v>
      </c>
      <c r="AO138" s="34">
        <f t="shared" si="38"/>
        <v>0</v>
      </c>
      <c r="AP138" s="34">
        <f t="shared" si="39"/>
        <v>0</v>
      </c>
      <c r="AQ138" s="29" t="s">
        <v>13</v>
      </c>
      <c r="AV138" s="34">
        <f t="shared" si="40"/>
        <v>0</v>
      </c>
      <c r="AW138" s="34">
        <f t="shared" si="41"/>
        <v>0</v>
      </c>
      <c r="AX138" s="34">
        <f t="shared" si="42"/>
        <v>0</v>
      </c>
      <c r="AY138" s="35" t="s">
        <v>1153</v>
      </c>
      <c r="AZ138" s="35" t="s">
        <v>1170</v>
      </c>
      <c r="BA138" s="28" t="s">
        <v>1176</v>
      </c>
      <c r="BC138" s="34">
        <f t="shared" si="43"/>
        <v>0</v>
      </c>
      <c r="BD138" s="34">
        <f t="shared" si="44"/>
        <v>0</v>
      </c>
      <c r="BE138" s="34">
        <v>0</v>
      </c>
      <c r="BF138" s="34">
        <f>138</f>
        <v>138</v>
      </c>
      <c r="BH138" s="18">
        <f t="shared" si="45"/>
        <v>0</v>
      </c>
      <c r="BI138" s="18">
        <f t="shared" si="46"/>
        <v>0</v>
      </c>
      <c r="BJ138" s="18">
        <f t="shared" si="47"/>
        <v>0</v>
      </c>
    </row>
    <row r="139" spans="1:62" x14ac:dyDescent="0.2">
      <c r="A139" s="5" t="s">
        <v>92</v>
      </c>
      <c r="B139" s="5" t="s">
        <v>454</v>
      </c>
      <c r="C139" s="135" t="s">
        <v>819</v>
      </c>
      <c r="D139" s="136"/>
      <c r="E139" s="136"/>
      <c r="F139" s="5" t="s">
        <v>1103</v>
      </c>
      <c r="G139" s="18">
        <v>1</v>
      </c>
      <c r="H139" s="79">
        <v>0</v>
      </c>
      <c r="I139" s="18">
        <f t="shared" si="24"/>
        <v>0</v>
      </c>
      <c r="J139" s="18">
        <f t="shared" si="25"/>
        <v>0</v>
      </c>
      <c r="K139" s="18">
        <f t="shared" si="26"/>
        <v>0</v>
      </c>
      <c r="L139" s="29" t="s">
        <v>1127</v>
      </c>
      <c r="Z139" s="34">
        <f t="shared" si="27"/>
        <v>0</v>
      </c>
      <c r="AB139" s="34">
        <f t="shared" si="28"/>
        <v>0</v>
      </c>
      <c r="AC139" s="34">
        <f t="shared" si="29"/>
        <v>0</v>
      </c>
      <c r="AD139" s="34">
        <f t="shared" si="30"/>
        <v>0</v>
      </c>
      <c r="AE139" s="34">
        <f t="shared" si="31"/>
        <v>0</v>
      </c>
      <c r="AF139" s="34">
        <f t="shared" si="32"/>
        <v>0</v>
      </c>
      <c r="AG139" s="34">
        <f t="shared" si="33"/>
        <v>0</v>
      </c>
      <c r="AH139" s="34">
        <f t="shared" si="34"/>
        <v>0</v>
      </c>
      <c r="AI139" s="28" t="s">
        <v>1137</v>
      </c>
      <c r="AJ139" s="18">
        <f t="shared" si="35"/>
        <v>0</v>
      </c>
      <c r="AK139" s="18">
        <f t="shared" si="36"/>
        <v>0</v>
      </c>
      <c r="AL139" s="18">
        <f t="shared" si="37"/>
        <v>0</v>
      </c>
      <c r="AN139" s="34">
        <v>21</v>
      </c>
      <c r="AO139" s="34">
        <f t="shared" si="38"/>
        <v>0</v>
      </c>
      <c r="AP139" s="34">
        <f t="shared" si="39"/>
        <v>0</v>
      </c>
      <c r="AQ139" s="29" t="s">
        <v>13</v>
      </c>
      <c r="AV139" s="34">
        <f t="shared" si="40"/>
        <v>0</v>
      </c>
      <c r="AW139" s="34">
        <f t="shared" si="41"/>
        <v>0</v>
      </c>
      <c r="AX139" s="34">
        <f t="shared" si="42"/>
        <v>0</v>
      </c>
      <c r="AY139" s="35" t="s">
        <v>1153</v>
      </c>
      <c r="AZ139" s="35" t="s">
        <v>1170</v>
      </c>
      <c r="BA139" s="28" t="s">
        <v>1176</v>
      </c>
      <c r="BC139" s="34">
        <f t="shared" si="43"/>
        <v>0</v>
      </c>
      <c r="BD139" s="34">
        <f t="shared" si="44"/>
        <v>0</v>
      </c>
      <c r="BE139" s="34">
        <v>0</v>
      </c>
      <c r="BF139" s="34">
        <f>139</f>
        <v>139</v>
      </c>
      <c r="BH139" s="18">
        <f t="shared" si="45"/>
        <v>0</v>
      </c>
      <c r="BI139" s="18">
        <f t="shared" si="46"/>
        <v>0</v>
      </c>
      <c r="BJ139" s="18">
        <f t="shared" si="47"/>
        <v>0</v>
      </c>
    </row>
    <row r="140" spans="1:62" x14ac:dyDescent="0.2">
      <c r="A140" s="5" t="s">
        <v>93</v>
      </c>
      <c r="B140" s="5" t="s">
        <v>455</v>
      </c>
      <c r="C140" s="135" t="s">
        <v>820</v>
      </c>
      <c r="D140" s="136"/>
      <c r="E140" s="136"/>
      <c r="F140" s="5" t="s">
        <v>1104</v>
      </c>
      <c r="G140" s="18">
        <v>50</v>
      </c>
      <c r="H140" s="79">
        <v>0</v>
      </c>
      <c r="I140" s="18">
        <f t="shared" si="24"/>
        <v>0</v>
      </c>
      <c r="J140" s="18">
        <f t="shared" si="25"/>
        <v>0</v>
      </c>
      <c r="K140" s="18">
        <f t="shared" si="26"/>
        <v>0</v>
      </c>
      <c r="L140" s="29" t="s">
        <v>1127</v>
      </c>
      <c r="Z140" s="34">
        <f t="shared" si="27"/>
        <v>0</v>
      </c>
      <c r="AB140" s="34">
        <f t="shared" si="28"/>
        <v>0</v>
      </c>
      <c r="AC140" s="34">
        <f t="shared" si="29"/>
        <v>0</v>
      </c>
      <c r="AD140" s="34">
        <f t="shared" si="30"/>
        <v>0</v>
      </c>
      <c r="AE140" s="34">
        <f t="shared" si="31"/>
        <v>0</v>
      </c>
      <c r="AF140" s="34">
        <f t="shared" si="32"/>
        <v>0</v>
      </c>
      <c r="AG140" s="34">
        <f t="shared" si="33"/>
        <v>0</v>
      </c>
      <c r="AH140" s="34">
        <f t="shared" si="34"/>
        <v>0</v>
      </c>
      <c r="AI140" s="28" t="s">
        <v>1137</v>
      </c>
      <c r="AJ140" s="18">
        <f t="shared" si="35"/>
        <v>0</v>
      </c>
      <c r="AK140" s="18">
        <f t="shared" si="36"/>
        <v>0</v>
      </c>
      <c r="AL140" s="18">
        <f t="shared" si="37"/>
        <v>0</v>
      </c>
      <c r="AN140" s="34">
        <v>21</v>
      </c>
      <c r="AO140" s="34">
        <f t="shared" si="38"/>
        <v>0</v>
      </c>
      <c r="AP140" s="34">
        <f t="shared" si="39"/>
        <v>0</v>
      </c>
      <c r="AQ140" s="29" t="s">
        <v>13</v>
      </c>
      <c r="AV140" s="34">
        <f t="shared" si="40"/>
        <v>0</v>
      </c>
      <c r="AW140" s="34">
        <f t="shared" si="41"/>
        <v>0</v>
      </c>
      <c r="AX140" s="34">
        <f t="shared" si="42"/>
        <v>0</v>
      </c>
      <c r="AY140" s="35" t="s">
        <v>1153</v>
      </c>
      <c r="AZ140" s="35" t="s">
        <v>1170</v>
      </c>
      <c r="BA140" s="28" t="s">
        <v>1176</v>
      </c>
      <c r="BC140" s="34">
        <f t="shared" si="43"/>
        <v>0</v>
      </c>
      <c r="BD140" s="34">
        <f t="shared" si="44"/>
        <v>0</v>
      </c>
      <c r="BE140" s="34">
        <v>0</v>
      </c>
      <c r="BF140" s="34">
        <f>140</f>
        <v>140</v>
      </c>
      <c r="BH140" s="18">
        <f t="shared" si="45"/>
        <v>0</v>
      </c>
      <c r="BI140" s="18">
        <f t="shared" si="46"/>
        <v>0</v>
      </c>
      <c r="BJ140" s="18">
        <f t="shared" si="47"/>
        <v>0</v>
      </c>
    </row>
    <row r="141" spans="1:62" x14ac:dyDescent="0.2">
      <c r="A141" s="5" t="s">
        <v>94</v>
      </c>
      <c r="B141" s="5" t="s">
        <v>456</v>
      </c>
      <c r="C141" s="135" t="s">
        <v>821</v>
      </c>
      <c r="D141" s="136"/>
      <c r="E141" s="136"/>
      <c r="F141" s="5" t="s">
        <v>1101</v>
      </c>
      <c r="G141" s="18">
        <v>170.5</v>
      </c>
      <c r="H141" s="79">
        <v>0</v>
      </c>
      <c r="I141" s="18">
        <f t="shared" si="24"/>
        <v>0</v>
      </c>
      <c r="J141" s="18">
        <f t="shared" si="25"/>
        <v>0</v>
      </c>
      <c r="K141" s="18">
        <f t="shared" si="26"/>
        <v>0</v>
      </c>
      <c r="L141" s="29" t="s">
        <v>1127</v>
      </c>
      <c r="Z141" s="34">
        <f t="shared" si="27"/>
        <v>0</v>
      </c>
      <c r="AB141" s="34">
        <f t="shared" si="28"/>
        <v>0</v>
      </c>
      <c r="AC141" s="34">
        <f t="shared" si="29"/>
        <v>0</v>
      </c>
      <c r="AD141" s="34">
        <f t="shared" si="30"/>
        <v>0</v>
      </c>
      <c r="AE141" s="34">
        <f t="shared" si="31"/>
        <v>0</v>
      </c>
      <c r="AF141" s="34">
        <f t="shared" si="32"/>
        <v>0</v>
      </c>
      <c r="AG141" s="34">
        <f t="shared" si="33"/>
        <v>0</v>
      </c>
      <c r="AH141" s="34">
        <f t="shared" si="34"/>
        <v>0</v>
      </c>
      <c r="AI141" s="28" t="s">
        <v>1137</v>
      </c>
      <c r="AJ141" s="18">
        <f t="shared" si="35"/>
        <v>0</v>
      </c>
      <c r="AK141" s="18">
        <f t="shared" si="36"/>
        <v>0</v>
      </c>
      <c r="AL141" s="18">
        <f t="shared" si="37"/>
        <v>0</v>
      </c>
      <c r="AN141" s="34">
        <v>21</v>
      </c>
      <c r="AO141" s="34">
        <f t="shared" si="38"/>
        <v>0</v>
      </c>
      <c r="AP141" s="34">
        <f t="shared" si="39"/>
        <v>0</v>
      </c>
      <c r="AQ141" s="29" t="s">
        <v>13</v>
      </c>
      <c r="AV141" s="34">
        <f t="shared" si="40"/>
        <v>0</v>
      </c>
      <c r="AW141" s="34">
        <f t="shared" si="41"/>
        <v>0</v>
      </c>
      <c r="AX141" s="34">
        <f t="shared" si="42"/>
        <v>0</v>
      </c>
      <c r="AY141" s="35" t="s">
        <v>1153</v>
      </c>
      <c r="AZ141" s="35" t="s">
        <v>1170</v>
      </c>
      <c r="BA141" s="28" t="s">
        <v>1176</v>
      </c>
      <c r="BC141" s="34">
        <f t="shared" si="43"/>
        <v>0</v>
      </c>
      <c r="BD141" s="34">
        <f t="shared" si="44"/>
        <v>0</v>
      </c>
      <c r="BE141" s="34">
        <v>0</v>
      </c>
      <c r="BF141" s="34">
        <f>141</f>
        <v>141</v>
      </c>
      <c r="BH141" s="18">
        <f t="shared" si="45"/>
        <v>0</v>
      </c>
      <c r="BI141" s="18">
        <f t="shared" si="46"/>
        <v>0</v>
      </c>
      <c r="BJ141" s="18">
        <f t="shared" si="47"/>
        <v>0</v>
      </c>
    </row>
    <row r="142" spans="1:62" x14ac:dyDescent="0.2">
      <c r="A142" s="5" t="s">
        <v>95</v>
      </c>
      <c r="B142" s="5" t="s">
        <v>457</v>
      </c>
      <c r="C142" s="135" t="s">
        <v>822</v>
      </c>
      <c r="D142" s="136"/>
      <c r="E142" s="136"/>
      <c r="F142" s="5" t="s">
        <v>1101</v>
      </c>
      <c r="G142" s="18">
        <v>170.5</v>
      </c>
      <c r="H142" s="79">
        <v>0</v>
      </c>
      <c r="I142" s="18">
        <f t="shared" si="24"/>
        <v>0</v>
      </c>
      <c r="J142" s="18">
        <f t="shared" si="25"/>
        <v>0</v>
      </c>
      <c r="K142" s="18">
        <f t="shared" si="26"/>
        <v>0</v>
      </c>
      <c r="L142" s="29" t="s">
        <v>1127</v>
      </c>
      <c r="Z142" s="34">
        <f t="shared" si="27"/>
        <v>0</v>
      </c>
      <c r="AB142" s="34">
        <f t="shared" si="28"/>
        <v>0</v>
      </c>
      <c r="AC142" s="34">
        <f t="shared" si="29"/>
        <v>0</v>
      </c>
      <c r="AD142" s="34">
        <f t="shared" si="30"/>
        <v>0</v>
      </c>
      <c r="AE142" s="34">
        <f t="shared" si="31"/>
        <v>0</v>
      </c>
      <c r="AF142" s="34">
        <f t="shared" si="32"/>
        <v>0</v>
      </c>
      <c r="AG142" s="34">
        <f t="shared" si="33"/>
        <v>0</v>
      </c>
      <c r="AH142" s="34">
        <f t="shared" si="34"/>
        <v>0</v>
      </c>
      <c r="AI142" s="28" t="s">
        <v>1137</v>
      </c>
      <c r="AJ142" s="18">
        <f t="shared" si="35"/>
        <v>0</v>
      </c>
      <c r="AK142" s="18">
        <f t="shared" si="36"/>
        <v>0</v>
      </c>
      <c r="AL142" s="18">
        <f t="shared" si="37"/>
        <v>0</v>
      </c>
      <c r="AN142" s="34">
        <v>21</v>
      </c>
      <c r="AO142" s="34">
        <f t="shared" si="38"/>
        <v>0</v>
      </c>
      <c r="AP142" s="34">
        <f t="shared" si="39"/>
        <v>0</v>
      </c>
      <c r="AQ142" s="29" t="s">
        <v>13</v>
      </c>
      <c r="AV142" s="34">
        <f t="shared" si="40"/>
        <v>0</v>
      </c>
      <c r="AW142" s="34">
        <f t="shared" si="41"/>
        <v>0</v>
      </c>
      <c r="AX142" s="34">
        <f t="shared" si="42"/>
        <v>0</v>
      </c>
      <c r="AY142" s="35" t="s">
        <v>1153</v>
      </c>
      <c r="AZ142" s="35" t="s">
        <v>1170</v>
      </c>
      <c r="BA142" s="28" t="s">
        <v>1176</v>
      </c>
      <c r="BC142" s="34">
        <f t="shared" si="43"/>
        <v>0</v>
      </c>
      <c r="BD142" s="34">
        <f t="shared" si="44"/>
        <v>0</v>
      </c>
      <c r="BE142" s="34">
        <v>0</v>
      </c>
      <c r="BF142" s="34">
        <f>142</f>
        <v>142</v>
      </c>
      <c r="BH142" s="18">
        <f t="shared" si="45"/>
        <v>0</v>
      </c>
      <c r="BI142" s="18">
        <f t="shared" si="46"/>
        <v>0</v>
      </c>
      <c r="BJ142" s="18">
        <f t="shared" si="47"/>
        <v>0</v>
      </c>
    </row>
    <row r="143" spans="1:62" x14ac:dyDescent="0.2">
      <c r="A143" s="5" t="s">
        <v>96</v>
      </c>
      <c r="B143" s="5" t="s">
        <v>458</v>
      </c>
      <c r="C143" s="135" t="s">
        <v>823</v>
      </c>
      <c r="D143" s="136"/>
      <c r="E143" s="136"/>
      <c r="F143" s="5" t="s">
        <v>1101</v>
      </c>
      <c r="G143" s="18">
        <v>170.5</v>
      </c>
      <c r="H143" s="79">
        <v>0</v>
      </c>
      <c r="I143" s="18">
        <f t="shared" si="24"/>
        <v>0</v>
      </c>
      <c r="J143" s="18">
        <f t="shared" si="25"/>
        <v>0</v>
      </c>
      <c r="K143" s="18">
        <f t="shared" si="26"/>
        <v>0</v>
      </c>
      <c r="L143" s="29" t="s">
        <v>1127</v>
      </c>
      <c r="Z143" s="34">
        <f t="shared" si="27"/>
        <v>0</v>
      </c>
      <c r="AB143" s="34">
        <f t="shared" si="28"/>
        <v>0</v>
      </c>
      <c r="AC143" s="34">
        <f t="shared" si="29"/>
        <v>0</v>
      </c>
      <c r="AD143" s="34">
        <f t="shared" si="30"/>
        <v>0</v>
      </c>
      <c r="AE143" s="34">
        <f t="shared" si="31"/>
        <v>0</v>
      </c>
      <c r="AF143" s="34">
        <f t="shared" si="32"/>
        <v>0</v>
      </c>
      <c r="AG143" s="34">
        <f t="shared" si="33"/>
        <v>0</v>
      </c>
      <c r="AH143" s="34">
        <f t="shared" si="34"/>
        <v>0</v>
      </c>
      <c r="AI143" s="28" t="s">
        <v>1137</v>
      </c>
      <c r="AJ143" s="18">
        <f t="shared" si="35"/>
        <v>0</v>
      </c>
      <c r="AK143" s="18">
        <f t="shared" si="36"/>
        <v>0</v>
      </c>
      <c r="AL143" s="18">
        <f t="shared" si="37"/>
        <v>0</v>
      </c>
      <c r="AN143" s="34">
        <v>21</v>
      </c>
      <c r="AO143" s="34">
        <f t="shared" si="38"/>
        <v>0</v>
      </c>
      <c r="AP143" s="34">
        <f t="shared" si="39"/>
        <v>0</v>
      </c>
      <c r="AQ143" s="29" t="s">
        <v>13</v>
      </c>
      <c r="AV143" s="34">
        <f t="shared" si="40"/>
        <v>0</v>
      </c>
      <c r="AW143" s="34">
        <f t="shared" si="41"/>
        <v>0</v>
      </c>
      <c r="AX143" s="34">
        <f t="shared" si="42"/>
        <v>0</v>
      </c>
      <c r="AY143" s="35" t="s">
        <v>1153</v>
      </c>
      <c r="AZ143" s="35" t="s">
        <v>1170</v>
      </c>
      <c r="BA143" s="28" t="s">
        <v>1176</v>
      </c>
      <c r="BC143" s="34">
        <f t="shared" si="43"/>
        <v>0</v>
      </c>
      <c r="BD143" s="34">
        <f t="shared" si="44"/>
        <v>0</v>
      </c>
      <c r="BE143" s="34">
        <v>0</v>
      </c>
      <c r="BF143" s="34">
        <f>143</f>
        <v>143</v>
      </c>
      <c r="BH143" s="18">
        <f t="shared" si="45"/>
        <v>0</v>
      </c>
      <c r="BI143" s="18">
        <f t="shared" si="46"/>
        <v>0</v>
      </c>
      <c r="BJ143" s="18">
        <f t="shared" si="47"/>
        <v>0</v>
      </c>
    </row>
    <row r="144" spans="1:62" x14ac:dyDescent="0.2">
      <c r="A144" s="5" t="s">
        <v>97</v>
      </c>
      <c r="B144" s="5" t="s">
        <v>459</v>
      </c>
      <c r="C144" s="135" t="s">
        <v>824</v>
      </c>
      <c r="D144" s="136"/>
      <c r="E144" s="136"/>
      <c r="F144" s="5" t="s">
        <v>1103</v>
      </c>
      <c r="G144" s="18">
        <v>8</v>
      </c>
      <c r="H144" s="79">
        <v>0</v>
      </c>
      <c r="I144" s="18">
        <f t="shared" si="24"/>
        <v>0</v>
      </c>
      <c r="J144" s="18">
        <f t="shared" si="25"/>
        <v>0</v>
      </c>
      <c r="K144" s="18">
        <f t="shared" si="26"/>
        <v>0</v>
      </c>
      <c r="L144" s="29" t="s">
        <v>1127</v>
      </c>
      <c r="Z144" s="34">
        <f t="shared" si="27"/>
        <v>0</v>
      </c>
      <c r="AB144" s="34">
        <f t="shared" si="28"/>
        <v>0</v>
      </c>
      <c r="AC144" s="34">
        <f t="shared" si="29"/>
        <v>0</v>
      </c>
      <c r="AD144" s="34">
        <f t="shared" si="30"/>
        <v>0</v>
      </c>
      <c r="AE144" s="34">
        <f t="shared" si="31"/>
        <v>0</v>
      </c>
      <c r="AF144" s="34">
        <f t="shared" si="32"/>
        <v>0</v>
      </c>
      <c r="AG144" s="34">
        <f t="shared" si="33"/>
        <v>0</v>
      </c>
      <c r="AH144" s="34">
        <f t="shared" si="34"/>
        <v>0</v>
      </c>
      <c r="AI144" s="28" t="s">
        <v>1137</v>
      </c>
      <c r="AJ144" s="18">
        <f t="shared" si="35"/>
        <v>0</v>
      </c>
      <c r="AK144" s="18">
        <f t="shared" si="36"/>
        <v>0</v>
      </c>
      <c r="AL144" s="18">
        <f t="shared" si="37"/>
        <v>0</v>
      </c>
      <c r="AN144" s="34">
        <v>21</v>
      </c>
      <c r="AO144" s="34">
        <f t="shared" si="38"/>
        <v>0</v>
      </c>
      <c r="AP144" s="34">
        <f t="shared" si="39"/>
        <v>0</v>
      </c>
      <c r="AQ144" s="29" t="s">
        <v>13</v>
      </c>
      <c r="AV144" s="34">
        <f t="shared" si="40"/>
        <v>0</v>
      </c>
      <c r="AW144" s="34">
        <f t="shared" si="41"/>
        <v>0</v>
      </c>
      <c r="AX144" s="34">
        <f t="shared" si="42"/>
        <v>0</v>
      </c>
      <c r="AY144" s="35" t="s">
        <v>1153</v>
      </c>
      <c r="AZ144" s="35" t="s">
        <v>1170</v>
      </c>
      <c r="BA144" s="28" t="s">
        <v>1176</v>
      </c>
      <c r="BC144" s="34">
        <f t="shared" si="43"/>
        <v>0</v>
      </c>
      <c r="BD144" s="34">
        <f t="shared" si="44"/>
        <v>0</v>
      </c>
      <c r="BE144" s="34">
        <v>0</v>
      </c>
      <c r="BF144" s="34">
        <f>144</f>
        <v>144</v>
      </c>
      <c r="BH144" s="18">
        <f t="shared" si="45"/>
        <v>0</v>
      </c>
      <c r="BI144" s="18">
        <f t="shared" si="46"/>
        <v>0</v>
      </c>
      <c r="BJ144" s="18">
        <f t="shared" si="47"/>
        <v>0</v>
      </c>
    </row>
    <row r="145" spans="1:62" x14ac:dyDescent="0.2">
      <c r="A145" s="5" t="s">
        <v>98</v>
      </c>
      <c r="B145" s="5" t="s">
        <v>460</v>
      </c>
      <c r="C145" s="135" t="s">
        <v>825</v>
      </c>
      <c r="D145" s="136"/>
      <c r="E145" s="136"/>
      <c r="F145" s="5" t="s">
        <v>1104</v>
      </c>
      <c r="G145" s="18">
        <v>25</v>
      </c>
      <c r="H145" s="79">
        <v>0</v>
      </c>
      <c r="I145" s="18">
        <f t="shared" si="24"/>
        <v>0</v>
      </c>
      <c r="J145" s="18">
        <f t="shared" si="25"/>
        <v>0</v>
      </c>
      <c r="K145" s="18">
        <f t="shared" si="26"/>
        <v>0</v>
      </c>
      <c r="L145" s="29" t="s">
        <v>1127</v>
      </c>
      <c r="Z145" s="34">
        <f t="shared" si="27"/>
        <v>0</v>
      </c>
      <c r="AB145" s="34">
        <f t="shared" si="28"/>
        <v>0</v>
      </c>
      <c r="AC145" s="34">
        <f t="shared" si="29"/>
        <v>0</v>
      </c>
      <c r="AD145" s="34">
        <f t="shared" si="30"/>
        <v>0</v>
      </c>
      <c r="AE145" s="34">
        <f t="shared" si="31"/>
        <v>0</v>
      </c>
      <c r="AF145" s="34">
        <f t="shared" si="32"/>
        <v>0</v>
      </c>
      <c r="AG145" s="34">
        <f t="shared" si="33"/>
        <v>0</v>
      </c>
      <c r="AH145" s="34">
        <f t="shared" si="34"/>
        <v>0</v>
      </c>
      <c r="AI145" s="28" t="s">
        <v>1137</v>
      </c>
      <c r="AJ145" s="18">
        <f t="shared" si="35"/>
        <v>0</v>
      </c>
      <c r="AK145" s="18">
        <f t="shared" si="36"/>
        <v>0</v>
      </c>
      <c r="AL145" s="18">
        <f t="shared" si="37"/>
        <v>0</v>
      </c>
      <c r="AN145" s="34">
        <v>21</v>
      </c>
      <c r="AO145" s="34">
        <f t="shared" si="38"/>
        <v>0</v>
      </c>
      <c r="AP145" s="34">
        <f t="shared" si="39"/>
        <v>0</v>
      </c>
      <c r="AQ145" s="29" t="s">
        <v>13</v>
      </c>
      <c r="AV145" s="34">
        <f t="shared" si="40"/>
        <v>0</v>
      </c>
      <c r="AW145" s="34">
        <f t="shared" si="41"/>
        <v>0</v>
      </c>
      <c r="AX145" s="34">
        <f t="shared" si="42"/>
        <v>0</v>
      </c>
      <c r="AY145" s="35" t="s">
        <v>1153</v>
      </c>
      <c r="AZ145" s="35" t="s">
        <v>1170</v>
      </c>
      <c r="BA145" s="28" t="s">
        <v>1176</v>
      </c>
      <c r="BC145" s="34">
        <f t="shared" si="43"/>
        <v>0</v>
      </c>
      <c r="BD145" s="34">
        <f t="shared" si="44"/>
        <v>0</v>
      </c>
      <c r="BE145" s="34">
        <v>0</v>
      </c>
      <c r="BF145" s="34">
        <f>145</f>
        <v>145</v>
      </c>
      <c r="BH145" s="18">
        <f t="shared" si="45"/>
        <v>0</v>
      </c>
      <c r="BI145" s="18">
        <f t="shared" si="46"/>
        <v>0</v>
      </c>
      <c r="BJ145" s="18">
        <f t="shared" si="47"/>
        <v>0</v>
      </c>
    </row>
    <row r="146" spans="1:62" x14ac:dyDescent="0.2">
      <c r="A146" s="5" t="s">
        <v>99</v>
      </c>
      <c r="B146" s="5" t="s">
        <v>461</v>
      </c>
      <c r="C146" s="135" t="s">
        <v>826</v>
      </c>
      <c r="D146" s="136"/>
      <c r="E146" s="136"/>
      <c r="F146" s="5" t="s">
        <v>1103</v>
      </c>
      <c r="G146" s="18">
        <v>1</v>
      </c>
      <c r="H146" s="79">
        <v>0</v>
      </c>
      <c r="I146" s="18">
        <f t="shared" si="24"/>
        <v>0</v>
      </c>
      <c r="J146" s="18">
        <f t="shared" si="25"/>
        <v>0</v>
      </c>
      <c r="K146" s="18">
        <f t="shared" si="26"/>
        <v>0</v>
      </c>
      <c r="L146" s="29" t="s">
        <v>1127</v>
      </c>
      <c r="Z146" s="34">
        <f t="shared" si="27"/>
        <v>0</v>
      </c>
      <c r="AB146" s="34">
        <f t="shared" si="28"/>
        <v>0</v>
      </c>
      <c r="AC146" s="34">
        <f t="shared" si="29"/>
        <v>0</v>
      </c>
      <c r="AD146" s="34">
        <f t="shared" si="30"/>
        <v>0</v>
      </c>
      <c r="AE146" s="34">
        <f t="shared" si="31"/>
        <v>0</v>
      </c>
      <c r="AF146" s="34">
        <f t="shared" si="32"/>
        <v>0</v>
      </c>
      <c r="AG146" s="34">
        <f t="shared" si="33"/>
        <v>0</v>
      </c>
      <c r="AH146" s="34">
        <f t="shared" si="34"/>
        <v>0</v>
      </c>
      <c r="AI146" s="28" t="s">
        <v>1137</v>
      </c>
      <c r="AJ146" s="18">
        <f t="shared" si="35"/>
        <v>0</v>
      </c>
      <c r="AK146" s="18">
        <f t="shared" si="36"/>
        <v>0</v>
      </c>
      <c r="AL146" s="18">
        <f t="shared" si="37"/>
        <v>0</v>
      </c>
      <c r="AN146" s="34">
        <v>21</v>
      </c>
      <c r="AO146" s="34">
        <f t="shared" si="38"/>
        <v>0</v>
      </c>
      <c r="AP146" s="34">
        <f t="shared" si="39"/>
        <v>0</v>
      </c>
      <c r="AQ146" s="29" t="s">
        <v>13</v>
      </c>
      <c r="AV146" s="34">
        <f t="shared" si="40"/>
        <v>0</v>
      </c>
      <c r="AW146" s="34">
        <f t="shared" si="41"/>
        <v>0</v>
      </c>
      <c r="AX146" s="34">
        <f t="shared" si="42"/>
        <v>0</v>
      </c>
      <c r="AY146" s="35" t="s">
        <v>1153</v>
      </c>
      <c r="AZ146" s="35" t="s">
        <v>1170</v>
      </c>
      <c r="BA146" s="28" t="s">
        <v>1176</v>
      </c>
      <c r="BC146" s="34">
        <f t="shared" si="43"/>
        <v>0</v>
      </c>
      <c r="BD146" s="34">
        <f t="shared" si="44"/>
        <v>0</v>
      </c>
      <c r="BE146" s="34">
        <v>0</v>
      </c>
      <c r="BF146" s="34">
        <f>146</f>
        <v>146</v>
      </c>
      <c r="BH146" s="18">
        <f t="shared" si="45"/>
        <v>0</v>
      </c>
      <c r="BI146" s="18">
        <f t="shared" si="46"/>
        <v>0</v>
      </c>
      <c r="BJ146" s="18">
        <f t="shared" si="47"/>
        <v>0</v>
      </c>
    </row>
    <row r="147" spans="1:62" x14ac:dyDescent="0.2">
      <c r="A147" s="5" t="s">
        <v>100</v>
      </c>
      <c r="B147" s="5" t="s">
        <v>462</v>
      </c>
      <c r="C147" s="135" t="s">
        <v>827</v>
      </c>
      <c r="D147" s="136"/>
      <c r="E147" s="136"/>
      <c r="F147" s="5" t="s">
        <v>1103</v>
      </c>
      <c r="G147" s="18">
        <v>1</v>
      </c>
      <c r="H147" s="79">
        <v>0</v>
      </c>
      <c r="I147" s="18">
        <f t="shared" si="24"/>
        <v>0</v>
      </c>
      <c r="J147" s="18">
        <f t="shared" si="25"/>
        <v>0</v>
      </c>
      <c r="K147" s="18">
        <f t="shared" si="26"/>
        <v>0</v>
      </c>
      <c r="L147" s="29" t="s">
        <v>1127</v>
      </c>
      <c r="Z147" s="34">
        <f t="shared" si="27"/>
        <v>0</v>
      </c>
      <c r="AB147" s="34">
        <f t="shared" si="28"/>
        <v>0</v>
      </c>
      <c r="AC147" s="34">
        <f t="shared" si="29"/>
        <v>0</v>
      </c>
      <c r="AD147" s="34">
        <f t="shared" si="30"/>
        <v>0</v>
      </c>
      <c r="AE147" s="34">
        <f t="shared" si="31"/>
        <v>0</v>
      </c>
      <c r="AF147" s="34">
        <f t="shared" si="32"/>
        <v>0</v>
      </c>
      <c r="AG147" s="34">
        <f t="shared" si="33"/>
        <v>0</v>
      </c>
      <c r="AH147" s="34">
        <f t="shared" si="34"/>
        <v>0</v>
      </c>
      <c r="AI147" s="28" t="s">
        <v>1137</v>
      </c>
      <c r="AJ147" s="18">
        <f t="shared" si="35"/>
        <v>0</v>
      </c>
      <c r="AK147" s="18">
        <f t="shared" si="36"/>
        <v>0</v>
      </c>
      <c r="AL147" s="18">
        <f t="shared" si="37"/>
        <v>0</v>
      </c>
      <c r="AN147" s="34">
        <v>21</v>
      </c>
      <c r="AO147" s="34">
        <f t="shared" si="38"/>
        <v>0</v>
      </c>
      <c r="AP147" s="34">
        <f t="shared" si="39"/>
        <v>0</v>
      </c>
      <c r="AQ147" s="29" t="s">
        <v>13</v>
      </c>
      <c r="AV147" s="34">
        <f t="shared" si="40"/>
        <v>0</v>
      </c>
      <c r="AW147" s="34">
        <f t="shared" si="41"/>
        <v>0</v>
      </c>
      <c r="AX147" s="34">
        <f t="shared" si="42"/>
        <v>0</v>
      </c>
      <c r="AY147" s="35" t="s">
        <v>1153</v>
      </c>
      <c r="AZ147" s="35" t="s">
        <v>1170</v>
      </c>
      <c r="BA147" s="28" t="s">
        <v>1176</v>
      </c>
      <c r="BC147" s="34">
        <f t="shared" si="43"/>
        <v>0</v>
      </c>
      <c r="BD147" s="34">
        <f t="shared" si="44"/>
        <v>0</v>
      </c>
      <c r="BE147" s="34">
        <v>0</v>
      </c>
      <c r="BF147" s="34">
        <f>147</f>
        <v>147</v>
      </c>
      <c r="BH147" s="18">
        <f t="shared" si="45"/>
        <v>0</v>
      </c>
      <c r="BI147" s="18">
        <f t="shared" si="46"/>
        <v>0</v>
      </c>
      <c r="BJ147" s="18">
        <f t="shared" si="47"/>
        <v>0</v>
      </c>
    </row>
    <row r="148" spans="1:62" x14ac:dyDescent="0.2">
      <c r="A148" s="5" t="s">
        <v>101</v>
      </c>
      <c r="B148" s="5" t="s">
        <v>463</v>
      </c>
      <c r="C148" s="135" t="s">
        <v>828</v>
      </c>
      <c r="D148" s="136"/>
      <c r="E148" s="136"/>
      <c r="F148" s="5" t="s">
        <v>1103</v>
      </c>
      <c r="G148" s="18">
        <v>1</v>
      </c>
      <c r="H148" s="79">
        <v>0</v>
      </c>
      <c r="I148" s="18">
        <f t="shared" si="24"/>
        <v>0</v>
      </c>
      <c r="J148" s="18">
        <f t="shared" si="25"/>
        <v>0</v>
      </c>
      <c r="K148" s="18">
        <f t="shared" si="26"/>
        <v>0</v>
      </c>
      <c r="L148" s="29" t="s">
        <v>1127</v>
      </c>
      <c r="Z148" s="34">
        <f t="shared" si="27"/>
        <v>0</v>
      </c>
      <c r="AB148" s="34">
        <f t="shared" si="28"/>
        <v>0</v>
      </c>
      <c r="AC148" s="34">
        <f t="shared" si="29"/>
        <v>0</v>
      </c>
      <c r="AD148" s="34">
        <f t="shared" si="30"/>
        <v>0</v>
      </c>
      <c r="AE148" s="34">
        <f t="shared" si="31"/>
        <v>0</v>
      </c>
      <c r="AF148" s="34">
        <f t="shared" si="32"/>
        <v>0</v>
      </c>
      <c r="AG148" s="34">
        <f t="shared" si="33"/>
        <v>0</v>
      </c>
      <c r="AH148" s="34">
        <f t="shared" si="34"/>
        <v>0</v>
      </c>
      <c r="AI148" s="28" t="s">
        <v>1137</v>
      </c>
      <c r="AJ148" s="18">
        <f t="shared" si="35"/>
        <v>0</v>
      </c>
      <c r="AK148" s="18">
        <f t="shared" si="36"/>
        <v>0</v>
      </c>
      <c r="AL148" s="18">
        <f t="shared" si="37"/>
        <v>0</v>
      </c>
      <c r="AN148" s="34">
        <v>21</v>
      </c>
      <c r="AO148" s="34">
        <f t="shared" si="38"/>
        <v>0</v>
      </c>
      <c r="AP148" s="34">
        <f t="shared" si="39"/>
        <v>0</v>
      </c>
      <c r="AQ148" s="29" t="s">
        <v>13</v>
      </c>
      <c r="AV148" s="34">
        <f t="shared" si="40"/>
        <v>0</v>
      </c>
      <c r="AW148" s="34">
        <f t="shared" si="41"/>
        <v>0</v>
      </c>
      <c r="AX148" s="34">
        <f t="shared" si="42"/>
        <v>0</v>
      </c>
      <c r="AY148" s="35" t="s">
        <v>1153</v>
      </c>
      <c r="AZ148" s="35" t="s">
        <v>1170</v>
      </c>
      <c r="BA148" s="28" t="s">
        <v>1176</v>
      </c>
      <c r="BC148" s="34">
        <f t="shared" si="43"/>
        <v>0</v>
      </c>
      <c r="BD148" s="34">
        <f t="shared" si="44"/>
        <v>0</v>
      </c>
      <c r="BE148" s="34">
        <v>0</v>
      </c>
      <c r="BF148" s="34">
        <f>148</f>
        <v>148</v>
      </c>
      <c r="BH148" s="18">
        <f t="shared" si="45"/>
        <v>0</v>
      </c>
      <c r="BI148" s="18">
        <f t="shared" si="46"/>
        <v>0</v>
      </c>
      <c r="BJ148" s="18">
        <f t="shared" si="47"/>
        <v>0</v>
      </c>
    </row>
    <row r="149" spans="1:62" x14ac:dyDescent="0.2">
      <c r="A149" s="4"/>
      <c r="B149" s="14" t="s">
        <v>464</v>
      </c>
      <c r="C149" s="133" t="s">
        <v>829</v>
      </c>
      <c r="D149" s="134"/>
      <c r="E149" s="134"/>
      <c r="F149" s="4" t="s">
        <v>6</v>
      </c>
      <c r="G149" s="4" t="s">
        <v>6</v>
      </c>
      <c r="H149" s="4" t="s">
        <v>6</v>
      </c>
      <c r="I149" s="37">
        <f>SUM(I150:I199)</f>
        <v>0</v>
      </c>
      <c r="J149" s="37">
        <f>SUM(J150:J199)</f>
        <v>0</v>
      </c>
      <c r="K149" s="37">
        <f>SUM(K150:K199)</f>
        <v>0</v>
      </c>
      <c r="L149" s="28"/>
      <c r="AI149" s="28" t="s">
        <v>1137</v>
      </c>
      <c r="AS149" s="37">
        <f>SUM(AJ150:AJ199)</f>
        <v>0</v>
      </c>
      <c r="AT149" s="37">
        <f>SUM(AK150:AK199)</f>
        <v>0</v>
      </c>
      <c r="AU149" s="37">
        <f>SUM(AL150:AL199)</f>
        <v>0</v>
      </c>
    </row>
    <row r="150" spans="1:62" x14ac:dyDescent="0.2">
      <c r="A150" s="5" t="s">
        <v>102</v>
      </c>
      <c r="B150" s="5" t="s">
        <v>465</v>
      </c>
      <c r="C150" s="135" t="s">
        <v>830</v>
      </c>
      <c r="D150" s="136"/>
      <c r="E150" s="136"/>
      <c r="F150" s="5" t="s">
        <v>1101</v>
      </c>
      <c r="G150" s="18">
        <v>79.5</v>
      </c>
      <c r="H150" s="79">
        <v>0</v>
      </c>
      <c r="I150" s="18">
        <f t="shared" ref="I150:I181" si="48">G150*AO150</f>
        <v>0</v>
      </c>
      <c r="J150" s="18">
        <f t="shared" ref="J150:J181" si="49">G150*AP150</f>
        <v>0</v>
      </c>
      <c r="K150" s="18">
        <f t="shared" ref="K150:K181" si="50">G150*H150</f>
        <v>0</v>
      </c>
      <c r="L150" s="29" t="s">
        <v>1127</v>
      </c>
      <c r="Z150" s="34">
        <f t="shared" ref="Z150:Z181" si="51">IF(AQ150="5",BJ150,0)</f>
        <v>0</v>
      </c>
      <c r="AB150" s="34">
        <f t="shared" ref="AB150:AB181" si="52">IF(AQ150="1",BH150,0)</f>
        <v>0</v>
      </c>
      <c r="AC150" s="34">
        <f t="shared" ref="AC150:AC181" si="53">IF(AQ150="1",BI150,0)</f>
        <v>0</v>
      </c>
      <c r="AD150" s="34">
        <f t="shared" ref="AD150:AD181" si="54">IF(AQ150="7",BH150,0)</f>
        <v>0</v>
      </c>
      <c r="AE150" s="34">
        <f t="shared" ref="AE150:AE181" si="55">IF(AQ150="7",BI150,0)</f>
        <v>0</v>
      </c>
      <c r="AF150" s="34">
        <f t="shared" ref="AF150:AF181" si="56">IF(AQ150="2",BH150,0)</f>
        <v>0</v>
      </c>
      <c r="AG150" s="34">
        <f t="shared" ref="AG150:AG181" si="57">IF(AQ150="2",BI150,0)</f>
        <v>0</v>
      </c>
      <c r="AH150" s="34">
        <f t="shared" ref="AH150:AH181" si="58">IF(AQ150="0",BJ150,0)</f>
        <v>0</v>
      </c>
      <c r="AI150" s="28" t="s">
        <v>1137</v>
      </c>
      <c r="AJ150" s="18">
        <f t="shared" ref="AJ150:AJ181" si="59">IF(AN150=0,K150,0)</f>
        <v>0</v>
      </c>
      <c r="AK150" s="18">
        <f t="shared" ref="AK150:AK181" si="60">IF(AN150=15,K150,0)</f>
        <v>0</v>
      </c>
      <c r="AL150" s="18">
        <f t="shared" ref="AL150:AL181" si="61">IF(AN150=21,K150,0)</f>
        <v>0</v>
      </c>
      <c r="AN150" s="34">
        <v>21</v>
      </c>
      <c r="AO150" s="34">
        <f t="shared" ref="AO150:AO181" si="62">H150*0</f>
        <v>0</v>
      </c>
      <c r="AP150" s="34">
        <f t="shared" ref="AP150:AP181" si="63">H150*(1-0)</f>
        <v>0</v>
      </c>
      <c r="AQ150" s="29" t="s">
        <v>13</v>
      </c>
      <c r="AV150" s="34">
        <f t="shared" ref="AV150:AV181" si="64">AW150+AX150</f>
        <v>0</v>
      </c>
      <c r="AW150" s="34">
        <f t="shared" ref="AW150:AW181" si="65">G150*AO150</f>
        <v>0</v>
      </c>
      <c r="AX150" s="34">
        <f t="shared" ref="AX150:AX181" si="66">G150*AP150</f>
        <v>0</v>
      </c>
      <c r="AY150" s="35" t="s">
        <v>1154</v>
      </c>
      <c r="AZ150" s="35" t="s">
        <v>1170</v>
      </c>
      <c r="BA150" s="28" t="s">
        <v>1176</v>
      </c>
      <c r="BC150" s="34">
        <f t="shared" ref="BC150:BC181" si="67">AW150+AX150</f>
        <v>0</v>
      </c>
      <c r="BD150" s="34">
        <f t="shared" ref="BD150:BD181" si="68">H150/(100-BE150)*100</f>
        <v>0</v>
      </c>
      <c r="BE150" s="34">
        <v>0</v>
      </c>
      <c r="BF150" s="34">
        <f>150</f>
        <v>150</v>
      </c>
      <c r="BH150" s="18">
        <f t="shared" ref="BH150:BH181" si="69">G150*AO150</f>
        <v>0</v>
      </c>
      <c r="BI150" s="18">
        <f t="shared" ref="BI150:BI181" si="70">G150*AP150</f>
        <v>0</v>
      </c>
      <c r="BJ150" s="18">
        <f t="shared" ref="BJ150:BJ181" si="71">G150*H150</f>
        <v>0</v>
      </c>
    </row>
    <row r="151" spans="1:62" x14ac:dyDescent="0.2">
      <c r="A151" s="5" t="s">
        <v>103</v>
      </c>
      <c r="B151" s="5" t="s">
        <v>466</v>
      </c>
      <c r="C151" s="135" t="s">
        <v>831</v>
      </c>
      <c r="D151" s="136"/>
      <c r="E151" s="136"/>
      <c r="F151" s="5" t="s">
        <v>1103</v>
      </c>
      <c r="G151" s="18">
        <v>8</v>
      </c>
      <c r="H151" s="79">
        <v>0</v>
      </c>
      <c r="I151" s="18">
        <f t="shared" si="48"/>
        <v>0</v>
      </c>
      <c r="J151" s="18">
        <f t="shared" si="49"/>
        <v>0</v>
      </c>
      <c r="K151" s="18">
        <f t="shared" si="50"/>
        <v>0</v>
      </c>
      <c r="L151" s="29" t="s">
        <v>1127</v>
      </c>
      <c r="Z151" s="34">
        <f t="shared" si="51"/>
        <v>0</v>
      </c>
      <c r="AB151" s="34">
        <f t="shared" si="52"/>
        <v>0</v>
      </c>
      <c r="AC151" s="34">
        <f t="shared" si="53"/>
        <v>0</v>
      </c>
      <c r="AD151" s="34">
        <f t="shared" si="54"/>
        <v>0</v>
      </c>
      <c r="AE151" s="34">
        <f t="shared" si="55"/>
        <v>0</v>
      </c>
      <c r="AF151" s="34">
        <f t="shared" si="56"/>
        <v>0</v>
      </c>
      <c r="AG151" s="34">
        <f t="shared" si="57"/>
        <v>0</v>
      </c>
      <c r="AH151" s="34">
        <f t="shared" si="58"/>
        <v>0</v>
      </c>
      <c r="AI151" s="28" t="s">
        <v>1137</v>
      </c>
      <c r="AJ151" s="18">
        <f t="shared" si="59"/>
        <v>0</v>
      </c>
      <c r="AK151" s="18">
        <f t="shared" si="60"/>
        <v>0</v>
      </c>
      <c r="AL151" s="18">
        <f t="shared" si="61"/>
        <v>0</v>
      </c>
      <c r="AN151" s="34">
        <v>21</v>
      </c>
      <c r="AO151" s="34">
        <f t="shared" si="62"/>
        <v>0</v>
      </c>
      <c r="AP151" s="34">
        <f t="shared" si="63"/>
        <v>0</v>
      </c>
      <c r="AQ151" s="29" t="s">
        <v>13</v>
      </c>
      <c r="AV151" s="34">
        <f t="shared" si="64"/>
        <v>0</v>
      </c>
      <c r="AW151" s="34">
        <f t="shared" si="65"/>
        <v>0</v>
      </c>
      <c r="AX151" s="34">
        <f t="shared" si="66"/>
        <v>0</v>
      </c>
      <c r="AY151" s="35" t="s">
        <v>1154</v>
      </c>
      <c r="AZ151" s="35" t="s">
        <v>1170</v>
      </c>
      <c r="BA151" s="28" t="s">
        <v>1176</v>
      </c>
      <c r="BC151" s="34">
        <f t="shared" si="67"/>
        <v>0</v>
      </c>
      <c r="BD151" s="34">
        <f t="shared" si="68"/>
        <v>0</v>
      </c>
      <c r="BE151" s="34">
        <v>0</v>
      </c>
      <c r="BF151" s="34">
        <f>151</f>
        <v>151</v>
      </c>
      <c r="BH151" s="18">
        <f t="shared" si="69"/>
        <v>0</v>
      </c>
      <c r="BI151" s="18">
        <f t="shared" si="70"/>
        <v>0</v>
      </c>
      <c r="BJ151" s="18">
        <f t="shared" si="71"/>
        <v>0</v>
      </c>
    </row>
    <row r="152" spans="1:62" x14ac:dyDescent="0.2">
      <c r="A152" s="5" t="s">
        <v>104</v>
      </c>
      <c r="B152" s="5" t="s">
        <v>467</v>
      </c>
      <c r="C152" s="135" t="s">
        <v>832</v>
      </c>
      <c r="D152" s="136"/>
      <c r="E152" s="136"/>
      <c r="F152" s="5" t="s">
        <v>1103</v>
      </c>
      <c r="G152" s="18">
        <v>6</v>
      </c>
      <c r="H152" s="79">
        <v>0</v>
      </c>
      <c r="I152" s="18">
        <f t="shared" si="48"/>
        <v>0</v>
      </c>
      <c r="J152" s="18">
        <f t="shared" si="49"/>
        <v>0</v>
      </c>
      <c r="K152" s="18">
        <f t="shared" si="50"/>
        <v>0</v>
      </c>
      <c r="L152" s="29" t="s">
        <v>1127</v>
      </c>
      <c r="Z152" s="34">
        <f t="shared" si="51"/>
        <v>0</v>
      </c>
      <c r="AB152" s="34">
        <f t="shared" si="52"/>
        <v>0</v>
      </c>
      <c r="AC152" s="34">
        <f t="shared" si="53"/>
        <v>0</v>
      </c>
      <c r="AD152" s="34">
        <f t="shared" si="54"/>
        <v>0</v>
      </c>
      <c r="AE152" s="34">
        <f t="shared" si="55"/>
        <v>0</v>
      </c>
      <c r="AF152" s="34">
        <f t="shared" si="56"/>
        <v>0</v>
      </c>
      <c r="AG152" s="34">
        <f t="shared" si="57"/>
        <v>0</v>
      </c>
      <c r="AH152" s="34">
        <f t="shared" si="58"/>
        <v>0</v>
      </c>
      <c r="AI152" s="28" t="s">
        <v>1137</v>
      </c>
      <c r="AJ152" s="18">
        <f t="shared" si="59"/>
        <v>0</v>
      </c>
      <c r="AK152" s="18">
        <f t="shared" si="60"/>
        <v>0</v>
      </c>
      <c r="AL152" s="18">
        <f t="shared" si="61"/>
        <v>0</v>
      </c>
      <c r="AN152" s="34">
        <v>21</v>
      </c>
      <c r="AO152" s="34">
        <f t="shared" si="62"/>
        <v>0</v>
      </c>
      <c r="AP152" s="34">
        <f t="shared" si="63"/>
        <v>0</v>
      </c>
      <c r="AQ152" s="29" t="s">
        <v>13</v>
      </c>
      <c r="AV152" s="34">
        <f t="shared" si="64"/>
        <v>0</v>
      </c>
      <c r="AW152" s="34">
        <f t="shared" si="65"/>
        <v>0</v>
      </c>
      <c r="AX152" s="34">
        <f t="shared" si="66"/>
        <v>0</v>
      </c>
      <c r="AY152" s="35" t="s">
        <v>1154</v>
      </c>
      <c r="AZ152" s="35" t="s">
        <v>1170</v>
      </c>
      <c r="BA152" s="28" t="s">
        <v>1176</v>
      </c>
      <c r="BC152" s="34">
        <f t="shared" si="67"/>
        <v>0</v>
      </c>
      <c r="BD152" s="34">
        <f t="shared" si="68"/>
        <v>0</v>
      </c>
      <c r="BE152" s="34">
        <v>0</v>
      </c>
      <c r="BF152" s="34">
        <f>152</f>
        <v>152</v>
      </c>
      <c r="BH152" s="18">
        <f t="shared" si="69"/>
        <v>0</v>
      </c>
      <c r="BI152" s="18">
        <f t="shared" si="70"/>
        <v>0</v>
      </c>
      <c r="BJ152" s="18">
        <f t="shared" si="71"/>
        <v>0</v>
      </c>
    </row>
    <row r="153" spans="1:62" x14ac:dyDescent="0.2">
      <c r="A153" s="5" t="s">
        <v>105</v>
      </c>
      <c r="B153" s="5" t="s">
        <v>468</v>
      </c>
      <c r="C153" s="135" t="s">
        <v>833</v>
      </c>
      <c r="D153" s="136"/>
      <c r="E153" s="136"/>
      <c r="F153" s="5" t="s">
        <v>1103</v>
      </c>
      <c r="G153" s="18">
        <v>4</v>
      </c>
      <c r="H153" s="79">
        <v>0</v>
      </c>
      <c r="I153" s="18">
        <f t="shared" si="48"/>
        <v>0</v>
      </c>
      <c r="J153" s="18">
        <f t="shared" si="49"/>
        <v>0</v>
      </c>
      <c r="K153" s="18">
        <f t="shared" si="50"/>
        <v>0</v>
      </c>
      <c r="L153" s="29" t="s">
        <v>1127</v>
      </c>
      <c r="Z153" s="34">
        <f t="shared" si="51"/>
        <v>0</v>
      </c>
      <c r="AB153" s="34">
        <f t="shared" si="52"/>
        <v>0</v>
      </c>
      <c r="AC153" s="34">
        <f t="shared" si="53"/>
        <v>0</v>
      </c>
      <c r="AD153" s="34">
        <f t="shared" si="54"/>
        <v>0</v>
      </c>
      <c r="AE153" s="34">
        <f t="shared" si="55"/>
        <v>0</v>
      </c>
      <c r="AF153" s="34">
        <f t="shared" si="56"/>
        <v>0</v>
      </c>
      <c r="AG153" s="34">
        <f t="shared" si="57"/>
        <v>0</v>
      </c>
      <c r="AH153" s="34">
        <f t="shared" si="58"/>
        <v>0</v>
      </c>
      <c r="AI153" s="28" t="s">
        <v>1137</v>
      </c>
      <c r="AJ153" s="18">
        <f t="shared" si="59"/>
        <v>0</v>
      </c>
      <c r="AK153" s="18">
        <f t="shared" si="60"/>
        <v>0</v>
      </c>
      <c r="AL153" s="18">
        <f t="shared" si="61"/>
        <v>0</v>
      </c>
      <c r="AN153" s="34">
        <v>21</v>
      </c>
      <c r="AO153" s="34">
        <f t="shared" si="62"/>
        <v>0</v>
      </c>
      <c r="AP153" s="34">
        <f t="shared" si="63"/>
        <v>0</v>
      </c>
      <c r="AQ153" s="29" t="s">
        <v>13</v>
      </c>
      <c r="AV153" s="34">
        <f t="shared" si="64"/>
        <v>0</v>
      </c>
      <c r="AW153" s="34">
        <f t="shared" si="65"/>
        <v>0</v>
      </c>
      <c r="AX153" s="34">
        <f t="shared" si="66"/>
        <v>0</v>
      </c>
      <c r="AY153" s="35" t="s">
        <v>1154</v>
      </c>
      <c r="AZ153" s="35" t="s">
        <v>1170</v>
      </c>
      <c r="BA153" s="28" t="s">
        <v>1176</v>
      </c>
      <c r="BC153" s="34">
        <f t="shared" si="67"/>
        <v>0</v>
      </c>
      <c r="BD153" s="34">
        <f t="shared" si="68"/>
        <v>0</v>
      </c>
      <c r="BE153" s="34">
        <v>0</v>
      </c>
      <c r="BF153" s="34">
        <f>153</f>
        <v>153</v>
      </c>
      <c r="BH153" s="18">
        <f t="shared" si="69"/>
        <v>0</v>
      </c>
      <c r="BI153" s="18">
        <f t="shared" si="70"/>
        <v>0</v>
      </c>
      <c r="BJ153" s="18">
        <f t="shared" si="71"/>
        <v>0</v>
      </c>
    </row>
    <row r="154" spans="1:62" x14ac:dyDescent="0.2">
      <c r="A154" s="5" t="s">
        <v>106</v>
      </c>
      <c r="B154" s="5" t="s">
        <v>469</v>
      </c>
      <c r="C154" s="135" t="s">
        <v>834</v>
      </c>
      <c r="D154" s="136"/>
      <c r="E154" s="136"/>
      <c r="F154" s="5" t="s">
        <v>1103</v>
      </c>
      <c r="G154" s="18">
        <v>1</v>
      </c>
      <c r="H154" s="79">
        <v>0</v>
      </c>
      <c r="I154" s="18">
        <f t="shared" si="48"/>
        <v>0</v>
      </c>
      <c r="J154" s="18">
        <f t="shared" si="49"/>
        <v>0</v>
      </c>
      <c r="K154" s="18">
        <f t="shared" si="50"/>
        <v>0</v>
      </c>
      <c r="L154" s="29" t="s">
        <v>1127</v>
      </c>
      <c r="Z154" s="34">
        <f t="shared" si="51"/>
        <v>0</v>
      </c>
      <c r="AB154" s="34">
        <f t="shared" si="52"/>
        <v>0</v>
      </c>
      <c r="AC154" s="34">
        <f t="shared" si="53"/>
        <v>0</v>
      </c>
      <c r="AD154" s="34">
        <f t="shared" si="54"/>
        <v>0</v>
      </c>
      <c r="AE154" s="34">
        <f t="shared" si="55"/>
        <v>0</v>
      </c>
      <c r="AF154" s="34">
        <f t="shared" si="56"/>
        <v>0</v>
      </c>
      <c r="AG154" s="34">
        <f t="shared" si="57"/>
        <v>0</v>
      </c>
      <c r="AH154" s="34">
        <f t="shared" si="58"/>
        <v>0</v>
      </c>
      <c r="AI154" s="28" t="s">
        <v>1137</v>
      </c>
      <c r="AJ154" s="18">
        <f t="shared" si="59"/>
        <v>0</v>
      </c>
      <c r="AK154" s="18">
        <f t="shared" si="60"/>
        <v>0</v>
      </c>
      <c r="AL154" s="18">
        <f t="shared" si="61"/>
        <v>0</v>
      </c>
      <c r="AN154" s="34">
        <v>21</v>
      </c>
      <c r="AO154" s="34">
        <f t="shared" si="62"/>
        <v>0</v>
      </c>
      <c r="AP154" s="34">
        <f t="shared" si="63"/>
        <v>0</v>
      </c>
      <c r="AQ154" s="29" t="s">
        <v>13</v>
      </c>
      <c r="AV154" s="34">
        <f t="shared" si="64"/>
        <v>0</v>
      </c>
      <c r="AW154" s="34">
        <f t="shared" si="65"/>
        <v>0</v>
      </c>
      <c r="AX154" s="34">
        <f t="shared" si="66"/>
        <v>0</v>
      </c>
      <c r="AY154" s="35" t="s">
        <v>1154</v>
      </c>
      <c r="AZ154" s="35" t="s">
        <v>1170</v>
      </c>
      <c r="BA154" s="28" t="s">
        <v>1176</v>
      </c>
      <c r="BC154" s="34">
        <f t="shared" si="67"/>
        <v>0</v>
      </c>
      <c r="BD154" s="34">
        <f t="shared" si="68"/>
        <v>0</v>
      </c>
      <c r="BE154" s="34">
        <v>0</v>
      </c>
      <c r="BF154" s="34">
        <f>154</f>
        <v>154</v>
      </c>
      <c r="BH154" s="18">
        <f t="shared" si="69"/>
        <v>0</v>
      </c>
      <c r="BI154" s="18">
        <f t="shared" si="70"/>
        <v>0</v>
      </c>
      <c r="BJ154" s="18">
        <f t="shared" si="71"/>
        <v>0</v>
      </c>
    </row>
    <row r="155" spans="1:62" x14ac:dyDescent="0.2">
      <c r="A155" s="5" t="s">
        <v>107</v>
      </c>
      <c r="B155" s="5" t="s">
        <v>470</v>
      </c>
      <c r="C155" s="135" t="s">
        <v>835</v>
      </c>
      <c r="D155" s="136"/>
      <c r="E155" s="136"/>
      <c r="F155" s="5" t="s">
        <v>1103</v>
      </c>
      <c r="G155" s="18">
        <v>1</v>
      </c>
      <c r="H155" s="79">
        <v>0</v>
      </c>
      <c r="I155" s="18">
        <f t="shared" si="48"/>
        <v>0</v>
      </c>
      <c r="J155" s="18">
        <f t="shared" si="49"/>
        <v>0</v>
      </c>
      <c r="K155" s="18">
        <f t="shared" si="50"/>
        <v>0</v>
      </c>
      <c r="L155" s="29" t="s">
        <v>1127</v>
      </c>
      <c r="Z155" s="34">
        <f t="shared" si="51"/>
        <v>0</v>
      </c>
      <c r="AB155" s="34">
        <f t="shared" si="52"/>
        <v>0</v>
      </c>
      <c r="AC155" s="34">
        <f t="shared" si="53"/>
        <v>0</v>
      </c>
      <c r="AD155" s="34">
        <f t="shared" si="54"/>
        <v>0</v>
      </c>
      <c r="AE155" s="34">
        <f t="shared" si="55"/>
        <v>0</v>
      </c>
      <c r="AF155" s="34">
        <f t="shared" si="56"/>
        <v>0</v>
      </c>
      <c r="AG155" s="34">
        <f t="shared" si="57"/>
        <v>0</v>
      </c>
      <c r="AH155" s="34">
        <f t="shared" si="58"/>
        <v>0</v>
      </c>
      <c r="AI155" s="28" t="s">
        <v>1137</v>
      </c>
      <c r="AJ155" s="18">
        <f t="shared" si="59"/>
        <v>0</v>
      </c>
      <c r="AK155" s="18">
        <f t="shared" si="60"/>
        <v>0</v>
      </c>
      <c r="AL155" s="18">
        <f t="shared" si="61"/>
        <v>0</v>
      </c>
      <c r="AN155" s="34">
        <v>21</v>
      </c>
      <c r="AO155" s="34">
        <f t="shared" si="62"/>
        <v>0</v>
      </c>
      <c r="AP155" s="34">
        <f t="shared" si="63"/>
        <v>0</v>
      </c>
      <c r="AQ155" s="29" t="s">
        <v>13</v>
      </c>
      <c r="AV155" s="34">
        <f t="shared" si="64"/>
        <v>0</v>
      </c>
      <c r="AW155" s="34">
        <f t="shared" si="65"/>
        <v>0</v>
      </c>
      <c r="AX155" s="34">
        <f t="shared" si="66"/>
        <v>0</v>
      </c>
      <c r="AY155" s="35" t="s">
        <v>1154</v>
      </c>
      <c r="AZ155" s="35" t="s">
        <v>1170</v>
      </c>
      <c r="BA155" s="28" t="s">
        <v>1176</v>
      </c>
      <c r="BC155" s="34">
        <f t="shared" si="67"/>
        <v>0</v>
      </c>
      <c r="BD155" s="34">
        <f t="shared" si="68"/>
        <v>0</v>
      </c>
      <c r="BE155" s="34">
        <v>0</v>
      </c>
      <c r="BF155" s="34">
        <f>155</f>
        <v>155</v>
      </c>
      <c r="BH155" s="18">
        <f t="shared" si="69"/>
        <v>0</v>
      </c>
      <c r="BI155" s="18">
        <f t="shared" si="70"/>
        <v>0</v>
      </c>
      <c r="BJ155" s="18">
        <f t="shared" si="71"/>
        <v>0</v>
      </c>
    </row>
    <row r="156" spans="1:62" x14ac:dyDescent="0.2">
      <c r="A156" s="5" t="s">
        <v>108</v>
      </c>
      <c r="B156" s="5" t="s">
        <v>471</v>
      </c>
      <c r="C156" s="135" t="s">
        <v>836</v>
      </c>
      <c r="D156" s="136"/>
      <c r="E156" s="136"/>
      <c r="F156" s="5" t="s">
        <v>1101</v>
      </c>
      <c r="G156" s="18">
        <v>170.5</v>
      </c>
      <c r="H156" s="79">
        <v>0</v>
      </c>
      <c r="I156" s="18">
        <f t="shared" si="48"/>
        <v>0</v>
      </c>
      <c r="J156" s="18">
        <f t="shared" si="49"/>
        <v>0</v>
      </c>
      <c r="K156" s="18">
        <f t="shared" si="50"/>
        <v>0</v>
      </c>
      <c r="L156" s="29" t="s">
        <v>1127</v>
      </c>
      <c r="Z156" s="34">
        <f t="shared" si="51"/>
        <v>0</v>
      </c>
      <c r="AB156" s="34">
        <f t="shared" si="52"/>
        <v>0</v>
      </c>
      <c r="AC156" s="34">
        <f t="shared" si="53"/>
        <v>0</v>
      </c>
      <c r="AD156" s="34">
        <f t="shared" si="54"/>
        <v>0</v>
      </c>
      <c r="AE156" s="34">
        <f t="shared" si="55"/>
        <v>0</v>
      </c>
      <c r="AF156" s="34">
        <f t="shared" si="56"/>
        <v>0</v>
      </c>
      <c r="AG156" s="34">
        <f t="shared" si="57"/>
        <v>0</v>
      </c>
      <c r="AH156" s="34">
        <f t="shared" si="58"/>
        <v>0</v>
      </c>
      <c r="AI156" s="28" t="s">
        <v>1137</v>
      </c>
      <c r="AJ156" s="18">
        <f t="shared" si="59"/>
        <v>0</v>
      </c>
      <c r="AK156" s="18">
        <f t="shared" si="60"/>
        <v>0</v>
      </c>
      <c r="AL156" s="18">
        <f t="shared" si="61"/>
        <v>0</v>
      </c>
      <c r="AN156" s="34">
        <v>21</v>
      </c>
      <c r="AO156" s="34">
        <f t="shared" si="62"/>
        <v>0</v>
      </c>
      <c r="AP156" s="34">
        <f t="shared" si="63"/>
        <v>0</v>
      </c>
      <c r="AQ156" s="29" t="s">
        <v>13</v>
      </c>
      <c r="AV156" s="34">
        <f t="shared" si="64"/>
        <v>0</v>
      </c>
      <c r="AW156" s="34">
        <f t="shared" si="65"/>
        <v>0</v>
      </c>
      <c r="AX156" s="34">
        <f t="shared" si="66"/>
        <v>0</v>
      </c>
      <c r="AY156" s="35" t="s">
        <v>1154</v>
      </c>
      <c r="AZ156" s="35" t="s">
        <v>1170</v>
      </c>
      <c r="BA156" s="28" t="s">
        <v>1176</v>
      </c>
      <c r="BC156" s="34">
        <f t="shared" si="67"/>
        <v>0</v>
      </c>
      <c r="BD156" s="34">
        <f t="shared" si="68"/>
        <v>0</v>
      </c>
      <c r="BE156" s="34">
        <v>0</v>
      </c>
      <c r="BF156" s="34">
        <f>156</f>
        <v>156</v>
      </c>
      <c r="BH156" s="18">
        <f t="shared" si="69"/>
        <v>0</v>
      </c>
      <c r="BI156" s="18">
        <f t="shared" si="70"/>
        <v>0</v>
      </c>
      <c r="BJ156" s="18">
        <f t="shared" si="71"/>
        <v>0</v>
      </c>
    </row>
    <row r="157" spans="1:62" x14ac:dyDescent="0.2">
      <c r="A157" s="5" t="s">
        <v>109</v>
      </c>
      <c r="B157" s="5" t="s">
        <v>472</v>
      </c>
      <c r="C157" s="135" t="s">
        <v>837</v>
      </c>
      <c r="D157" s="136"/>
      <c r="E157" s="136"/>
      <c r="F157" s="5" t="s">
        <v>1101</v>
      </c>
      <c r="G157" s="18">
        <v>31.5</v>
      </c>
      <c r="H157" s="79">
        <v>0</v>
      </c>
      <c r="I157" s="18">
        <f t="shared" si="48"/>
        <v>0</v>
      </c>
      <c r="J157" s="18">
        <f t="shared" si="49"/>
        <v>0</v>
      </c>
      <c r="K157" s="18">
        <f t="shared" si="50"/>
        <v>0</v>
      </c>
      <c r="L157" s="29" t="s">
        <v>1127</v>
      </c>
      <c r="Z157" s="34">
        <f t="shared" si="51"/>
        <v>0</v>
      </c>
      <c r="AB157" s="34">
        <f t="shared" si="52"/>
        <v>0</v>
      </c>
      <c r="AC157" s="34">
        <f t="shared" si="53"/>
        <v>0</v>
      </c>
      <c r="AD157" s="34">
        <f t="shared" si="54"/>
        <v>0</v>
      </c>
      <c r="AE157" s="34">
        <f t="shared" si="55"/>
        <v>0</v>
      </c>
      <c r="AF157" s="34">
        <f t="shared" si="56"/>
        <v>0</v>
      </c>
      <c r="AG157" s="34">
        <f t="shared" si="57"/>
        <v>0</v>
      </c>
      <c r="AH157" s="34">
        <f t="shared" si="58"/>
        <v>0</v>
      </c>
      <c r="AI157" s="28" t="s">
        <v>1137</v>
      </c>
      <c r="AJ157" s="18">
        <f t="shared" si="59"/>
        <v>0</v>
      </c>
      <c r="AK157" s="18">
        <f t="shared" si="60"/>
        <v>0</v>
      </c>
      <c r="AL157" s="18">
        <f t="shared" si="61"/>
        <v>0</v>
      </c>
      <c r="AN157" s="34">
        <v>21</v>
      </c>
      <c r="AO157" s="34">
        <f t="shared" si="62"/>
        <v>0</v>
      </c>
      <c r="AP157" s="34">
        <f t="shared" si="63"/>
        <v>0</v>
      </c>
      <c r="AQ157" s="29" t="s">
        <v>13</v>
      </c>
      <c r="AV157" s="34">
        <f t="shared" si="64"/>
        <v>0</v>
      </c>
      <c r="AW157" s="34">
        <f t="shared" si="65"/>
        <v>0</v>
      </c>
      <c r="AX157" s="34">
        <f t="shared" si="66"/>
        <v>0</v>
      </c>
      <c r="AY157" s="35" t="s">
        <v>1154</v>
      </c>
      <c r="AZ157" s="35" t="s">
        <v>1170</v>
      </c>
      <c r="BA157" s="28" t="s">
        <v>1176</v>
      </c>
      <c r="BC157" s="34">
        <f t="shared" si="67"/>
        <v>0</v>
      </c>
      <c r="BD157" s="34">
        <f t="shared" si="68"/>
        <v>0</v>
      </c>
      <c r="BE157" s="34">
        <v>0</v>
      </c>
      <c r="BF157" s="34">
        <f>157</f>
        <v>157</v>
      </c>
      <c r="BH157" s="18">
        <f t="shared" si="69"/>
        <v>0</v>
      </c>
      <c r="BI157" s="18">
        <f t="shared" si="70"/>
        <v>0</v>
      </c>
      <c r="BJ157" s="18">
        <f t="shared" si="71"/>
        <v>0</v>
      </c>
    </row>
    <row r="158" spans="1:62" x14ac:dyDescent="0.2">
      <c r="A158" s="5" t="s">
        <v>110</v>
      </c>
      <c r="B158" s="5" t="s">
        <v>473</v>
      </c>
      <c r="C158" s="135" t="s">
        <v>838</v>
      </c>
      <c r="D158" s="136"/>
      <c r="E158" s="136"/>
      <c r="F158" s="5" t="s">
        <v>1101</v>
      </c>
      <c r="G158" s="18">
        <v>15</v>
      </c>
      <c r="H158" s="79">
        <v>0</v>
      </c>
      <c r="I158" s="18">
        <f t="shared" si="48"/>
        <v>0</v>
      </c>
      <c r="J158" s="18">
        <f t="shared" si="49"/>
        <v>0</v>
      </c>
      <c r="K158" s="18">
        <f t="shared" si="50"/>
        <v>0</v>
      </c>
      <c r="L158" s="29" t="s">
        <v>1127</v>
      </c>
      <c r="Z158" s="34">
        <f t="shared" si="51"/>
        <v>0</v>
      </c>
      <c r="AB158" s="34">
        <f t="shared" si="52"/>
        <v>0</v>
      </c>
      <c r="AC158" s="34">
        <f t="shared" si="53"/>
        <v>0</v>
      </c>
      <c r="AD158" s="34">
        <f t="shared" si="54"/>
        <v>0</v>
      </c>
      <c r="AE158" s="34">
        <f t="shared" si="55"/>
        <v>0</v>
      </c>
      <c r="AF158" s="34">
        <f t="shared" si="56"/>
        <v>0</v>
      </c>
      <c r="AG158" s="34">
        <f t="shared" si="57"/>
        <v>0</v>
      </c>
      <c r="AH158" s="34">
        <f t="shared" si="58"/>
        <v>0</v>
      </c>
      <c r="AI158" s="28" t="s">
        <v>1137</v>
      </c>
      <c r="AJ158" s="18">
        <f t="shared" si="59"/>
        <v>0</v>
      </c>
      <c r="AK158" s="18">
        <f t="shared" si="60"/>
        <v>0</v>
      </c>
      <c r="AL158" s="18">
        <f t="shared" si="61"/>
        <v>0</v>
      </c>
      <c r="AN158" s="34">
        <v>21</v>
      </c>
      <c r="AO158" s="34">
        <f t="shared" si="62"/>
        <v>0</v>
      </c>
      <c r="AP158" s="34">
        <f t="shared" si="63"/>
        <v>0</v>
      </c>
      <c r="AQ158" s="29" t="s">
        <v>13</v>
      </c>
      <c r="AV158" s="34">
        <f t="shared" si="64"/>
        <v>0</v>
      </c>
      <c r="AW158" s="34">
        <f t="shared" si="65"/>
        <v>0</v>
      </c>
      <c r="AX158" s="34">
        <f t="shared" si="66"/>
        <v>0</v>
      </c>
      <c r="AY158" s="35" t="s">
        <v>1154</v>
      </c>
      <c r="AZ158" s="35" t="s">
        <v>1170</v>
      </c>
      <c r="BA158" s="28" t="s">
        <v>1176</v>
      </c>
      <c r="BC158" s="34">
        <f t="shared" si="67"/>
        <v>0</v>
      </c>
      <c r="BD158" s="34">
        <f t="shared" si="68"/>
        <v>0</v>
      </c>
      <c r="BE158" s="34">
        <v>0</v>
      </c>
      <c r="BF158" s="34">
        <f>158</f>
        <v>158</v>
      </c>
      <c r="BH158" s="18">
        <f t="shared" si="69"/>
        <v>0</v>
      </c>
      <c r="BI158" s="18">
        <f t="shared" si="70"/>
        <v>0</v>
      </c>
      <c r="BJ158" s="18">
        <f t="shared" si="71"/>
        <v>0</v>
      </c>
    </row>
    <row r="159" spans="1:62" x14ac:dyDescent="0.2">
      <c r="A159" s="5" t="s">
        <v>111</v>
      </c>
      <c r="B159" s="5" t="s">
        <v>474</v>
      </c>
      <c r="C159" s="135" t="s">
        <v>839</v>
      </c>
      <c r="D159" s="136"/>
      <c r="E159" s="136"/>
      <c r="F159" s="5" t="s">
        <v>1101</v>
      </c>
      <c r="G159" s="18">
        <v>18.5</v>
      </c>
      <c r="H159" s="79">
        <v>0</v>
      </c>
      <c r="I159" s="18">
        <f t="shared" si="48"/>
        <v>0</v>
      </c>
      <c r="J159" s="18">
        <f t="shared" si="49"/>
        <v>0</v>
      </c>
      <c r="K159" s="18">
        <f t="shared" si="50"/>
        <v>0</v>
      </c>
      <c r="L159" s="29" t="s">
        <v>1127</v>
      </c>
      <c r="Z159" s="34">
        <f t="shared" si="51"/>
        <v>0</v>
      </c>
      <c r="AB159" s="34">
        <f t="shared" si="52"/>
        <v>0</v>
      </c>
      <c r="AC159" s="34">
        <f t="shared" si="53"/>
        <v>0</v>
      </c>
      <c r="AD159" s="34">
        <f t="shared" si="54"/>
        <v>0</v>
      </c>
      <c r="AE159" s="34">
        <f t="shared" si="55"/>
        <v>0</v>
      </c>
      <c r="AF159" s="34">
        <f t="shared" si="56"/>
        <v>0</v>
      </c>
      <c r="AG159" s="34">
        <f t="shared" si="57"/>
        <v>0</v>
      </c>
      <c r="AH159" s="34">
        <f t="shared" si="58"/>
        <v>0</v>
      </c>
      <c r="AI159" s="28" t="s">
        <v>1137</v>
      </c>
      <c r="AJ159" s="18">
        <f t="shared" si="59"/>
        <v>0</v>
      </c>
      <c r="AK159" s="18">
        <f t="shared" si="60"/>
        <v>0</v>
      </c>
      <c r="AL159" s="18">
        <f t="shared" si="61"/>
        <v>0</v>
      </c>
      <c r="AN159" s="34">
        <v>21</v>
      </c>
      <c r="AO159" s="34">
        <f t="shared" si="62"/>
        <v>0</v>
      </c>
      <c r="AP159" s="34">
        <f t="shared" si="63"/>
        <v>0</v>
      </c>
      <c r="AQ159" s="29" t="s">
        <v>13</v>
      </c>
      <c r="AV159" s="34">
        <f t="shared" si="64"/>
        <v>0</v>
      </c>
      <c r="AW159" s="34">
        <f t="shared" si="65"/>
        <v>0</v>
      </c>
      <c r="AX159" s="34">
        <f t="shared" si="66"/>
        <v>0</v>
      </c>
      <c r="AY159" s="35" t="s">
        <v>1154</v>
      </c>
      <c r="AZ159" s="35" t="s">
        <v>1170</v>
      </c>
      <c r="BA159" s="28" t="s">
        <v>1176</v>
      </c>
      <c r="BC159" s="34">
        <f t="shared" si="67"/>
        <v>0</v>
      </c>
      <c r="BD159" s="34">
        <f t="shared" si="68"/>
        <v>0</v>
      </c>
      <c r="BE159" s="34">
        <v>0</v>
      </c>
      <c r="BF159" s="34">
        <f>159</f>
        <v>159</v>
      </c>
      <c r="BH159" s="18">
        <f t="shared" si="69"/>
        <v>0</v>
      </c>
      <c r="BI159" s="18">
        <f t="shared" si="70"/>
        <v>0</v>
      </c>
      <c r="BJ159" s="18">
        <f t="shared" si="71"/>
        <v>0</v>
      </c>
    </row>
    <row r="160" spans="1:62" x14ac:dyDescent="0.2">
      <c r="A160" s="5" t="s">
        <v>112</v>
      </c>
      <c r="B160" s="5" t="s">
        <v>475</v>
      </c>
      <c r="C160" s="135" t="s">
        <v>840</v>
      </c>
      <c r="D160" s="136"/>
      <c r="E160" s="136"/>
      <c r="F160" s="5" t="s">
        <v>1101</v>
      </c>
      <c r="G160" s="18">
        <v>170.5</v>
      </c>
      <c r="H160" s="79">
        <v>0</v>
      </c>
      <c r="I160" s="18">
        <f t="shared" si="48"/>
        <v>0</v>
      </c>
      <c r="J160" s="18">
        <f t="shared" si="49"/>
        <v>0</v>
      </c>
      <c r="K160" s="18">
        <f t="shared" si="50"/>
        <v>0</v>
      </c>
      <c r="L160" s="29" t="s">
        <v>1127</v>
      </c>
      <c r="Z160" s="34">
        <f t="shared" si="51"/>
        <v>0</v>
      </c>
      <c r="AB160" s="34">
        <f t="shared" si="52"/>
        <v>0</v>
      </c>
      <c r="AC160" s="34">
        <f t="shared" si="53"/>
        <v>0</v>
      </c>
      <c r="AD160" s="34">
        <f t="shared" si="54"/>
        <v>0</v>
      </c>
      <c r="AE160" s="34">
        <f t="shared" si="55"/>
        <v>0</v>
      </c>
      <c r="AF160" s="34">
        <f t="shared" si="56"/>
        <v>0</v>
      </c>
      <c r="AG160" s="34">
        <f t="shared" si="57"/>
        <v>0</v>
      </c>
      <c r="AH160" s="34">
        <f t="shared" si="58"/>
        <v>0</v>
      </c>
      <c r="AI160" s="28" t="s">
        <v>1137</v>
      </c>
      <c r="AJ160" s="18">
        <f t="shared" si="59"/>
        <v>0</v>
      </c>
      <c r="AK160" s="18">
        <f t="shared" si="60"/>
        <v>0</v>
      </c>
      <c r="AL160" s="18">
        <f t="shared" si="61"/>
        <v>0</v>
      </c>
      <c r="AN160" s="34">
        <v>21</v>
      </c>
      <c r="AO160" s="34">
        <f t="shared" si="62"/>
        <v>0</v>
      </c>
      <c r="AP160" s="34">
        <f t="shared" si="63"/>
        <v>0</v>
      </c>
      <c r="AQ160" s="29" t="s">
        <v>13</v>
      </c>
      <c r="AV160" s="34">
        <f t="shared" si="64"/>
        <v>0</v>
      </c>
      <c r="AW160" s="34">
        <f t="shared" si="65"/>
        <v>0</v>
      </c>
      <c r="AX160" s="34">
        <f t="shared" si="66"/>
        <v>0</v>
      </c>
      <c r="AY160" s="35" t="s">
        <v>1154</v>
      </c>
      <c r="AZ160" s="35" t="s">
        <v>1170</v>
      </c>
      <c r="BA160" s="28" t="s">
        <v>1176</v>
      </c>
      <c r="BC160" s="34">
        <f t="shared" si="67"/>
        <v>0</v>
      </c>
      <c r="BD160" s="34">
        <f t="shared" si="68"/>
        <v>0</v>
      </c>
      <c r="BE160" s="34">
        <v>0</v>
      </c>
      <c r="BF160" s="34">
        <f>160</f>
        <v>160</v>
      </c>
      <c r="BH160" s="18">
        <f t="shared" si="69"/>
        <v>0</v>
      </c>
      <c r="BI160" s="18">
        <f t="shared" si="70"/>
        <v>0</v>
      </c>
      <c r="BJ160" s="18">
        <f t="shared" si="71"/>
        <v>0</v>
      </c>
    </row>
    <row r="161" spans="1:62" x14ac:dyDescent="0.2">
      <c r="A161" s="5" t="s">
        <v>113</v>
      </c>
      <c r="B161" s="5" t="s">
        <v>476</v>
      </c>
      <c r="C161" s="135" t="s">
        <v>841</v>
      </c>
      <c r="D161" s="136"/>
      <c r="E161" s="136"/>
      <c r="F161" s="5" t="s">
        <v>1101</v>
      </c>
      <c r="G161" s="18">
        <v>31.5</v>
      </c>
      <c r="H161" s="79">
        <v>0</v>
      </c>
      <c r="I161" s="18">
        <f t="shared" si="48"/>
        <v>0</v>
      </c>
      <c r="J161" s="18">
        <f t="shared" si="49"/>
        <v>0</v>
      </c>
      <c r="K161" s="18">
        <f t="shared" si="50"/>
        <v>0</v>
      </c>
      <c r="L161" s="29" t="s">
        <v>1127</v>
      </c>
      <c r="Z161" s="34">
        <f t="shared" si="51"/>
        <v>0</v>
      </c>
      <c r="AB161" s="34">
        <f t="shared" si="52"/>
        <v>0</v>
      </c>
      <c r="AC161" s="34">
        <f t="shared" si="53"/>
        <v>0</v>
      </c>
      <c r="AD161" s="34">
        <f t="shared" si="54"/>
        <v>0</v>
      </c>
      <c r="AE161" s="34">
        <f t="shared" si="55"/>
        <v>0</v>
      </c>
      <c r="AF161" s="34">
        <f t="shared" si="56"/>
        <v>0</v>
      </c>
      <c r="AG161" s="34">
        <f t="shared" si="57"/>
        <v>0</v>
      </c>
      <c r="AH161" s="34">
        <f t="shared" si="58"/>
        <v>0</v>
      </c>
      <c r="AI161" s="28" t="s">
        <v>1137</v>
      </c>
      <c r="AJ161" s="18">
        <f t="shared" si="59"/>
        <v>0</v>
      </c>
      <c r="AK161" s="18">
        <f t="shared" si="60"/>
        <v>0</v>
      </c>
      <c r="AL161" s="18">
        <f t="shared" si="61"/>
        <v>0</v>
      </c>
      <c r="AN161" s="34">
        <v>21</v>
      </c>
      <c r="AO161" s="34">
        <f t="shared" si="62"/>
        <v>0</v>
      </c>
      <c r="AP161" s="34">
        <f t="shared" si="63"/>
        <v>0</v>
      </c>
      <c r="AQ161" s="29" t="s">
        <v>13</v>
      </c>
      <c r="AV161" s="34">
        <f t="shared" si="64"/>
        <v>0</v>
      </c>
      <c r="AW161" s="34">
        <f t="shared" si="65"/>
        <v>0</v>
      </c>
      <c r="AX161" s="34">
        <f t="shared" si="66"/>
        <v>0</v>
      </c>
      <c r="AY161" s="35" t="s">
        <v>1154</v>
      </c>
      <c r="AZ161" s="35" t="s">
        <v>1170</v>
      </c>
      <c r="BA161" s="28" t="s">
        <v>1176</v>
      </c>
      <c r="BC161" s="34">
        <f t="shared" si="67"/>
        <v>0</v>
      </c>
      <c r="BD161" s="34">
        <f t="shared" si="68"/>
        <v>0</v>
      </c>
      <c r="BE161" s="34">
        <v>0</v>
      </c>
      <c r="BF161" s="34">
        <f>161</f>
        <v>161</v>
      </c>
      <c r="BH161" s="18">
        <f t="shared" si="69"/>
        <v>0</v>
      </c>
      <c r="BI161" s="18">
        <f t="shared" si="70"/>
        <v>0</v>
      </c>
      <c r="BJ161" s="18">
        <f t="shared" si="71"/>
        <v>0</v>
      </c>
    </row>
    <row r="162" spans="1:62" x14ac:dyDescent="0.2">
      <c r="A162" s="5" t="s">
        <v>114</v>
      </c>
      <c r="B162" s="5" t="s">
        <v>477</v>
      </c>
      <c r="C162" s="135" t="s">
        <v>842</v>
      </c>
      <c r="D162" s="136"/>
      <c r="E162" s="136"/>
      <c r="F162" s="5" t="s">
        <v>1101</v>
      </c>
      <c r="G162" s="18">
        <v>15</v>
      </c>
      <c r="H162" s="79">
        <v>0</v>
      </c>
      <c r="I162" s="18">
        <f t="shared" si="48"/>
        <v>0</v>
      </c>
      <c r="J162" s="18">
        <f t="shared" si="49"/>
        <v>0</v>
      </c>
      <c r="K162" s="18">
        <f t="shared" si="50"/>
        <v>0</v>
      </c>
      <c r="L162" s="29" t="s">
        <v>1127</v>
      </c>
      <c r="Z162" s="34">
        <f t="shared" si="51"/>
        <v>0</v>
      </c>
      <c r="AB162" s="34">
        <f t="shared" si="52"/>
        <v>0</v>
      </c>
      <c r="AC162" s="34">
        <f t="shared" si="53"/>
        <v>0</v>
      </c>
      <c r="AD162" s="34">
        <f t="shared" si="54"/>
        <v>0</v>
      </c>
      <c r="AE162" s="34">
        <f t="shared" si="55"/>
        <v>0</v>
      </c>
      <c r="AF162" s="34">
        <f t="shared" si="56"/>
        <v>0</v>
      </c>
      <c r="AG162" s="34">
        <f t="shared" si="57"/>
        <v>0</v>
      </c>
      <c r="AH162" s="34">
        <f t="shared" si="58"/>
        <v>0</v>
      </c>
      <c r="AI162" s="28" t="s">
        <v>1137</v>
      </c>
      <c r="AJ162" s="18">
        <f t="shared" si="59"/>
        <v>0</v>
      </c>
      <c r="AK162" s="18">
        <f t="shared" si="60"/>
        <v>0</v>
      </c>
      <c r="AL162" s="18">
        <f t="shared" si="61"/>
        <v>0</v>
      </c>
      <c r="AN162" s="34">
        <v>21</v>
      </c>
      <c r="AO162" s="34">
        <f t="shared" si="62"/>
        <v>0</v>
      </c>
      <c r="AP162" s="34">
        <f t="shared" si="63"/>
        <v>0</v>
      </c>
      <c r="AQ162" s="29" t="s">
        <v>13</v>
      </c>
      <c r="AV162" s="34">
        <f t="shared" si="64"/>
        <v>0</v>
      </c>
      <c r="AW162" s="34">
        <f t="shared" si="65"/>
        <v>0</v>
      </c>
      <c r="AX162" s="34">
        <f t="shared" si="66"/>
        <v>0</v>
      </c>
      <c r="AY162" s="35" t="s">
        <v>1154</v>
      </c>
      <c r="AZ162" s="35" t="s">
        <v>1170</v>
      </c>
      <c r="BA162" s="28" t="s">
        <v>1176</v>
      </c>
      <c r="BC162" s="34">
        <f t="shared" si="67"/>
        <v>0</v>
      </c>
      <c r="BD162" s="34">
        <f t="shared" si="68"/>
        <v>0</v>
      </c>
      <c r="BE162" s="34">
        <v>0</v>
      </c>
      <c r="BF162" s="34">
        <f>162</f>
        <v>162</v>
      </c>
      <c r="BH162" s="18">
        <f t="shared" si="69"/>
        <v>0</v>
      </c>
      <c r="BI162" s="18">
        <f t="shared" si="70"/>
        <v>0</v>
      </c>
      <c r="BJ162" s="18">
        <f t="shared" si="71"/>
        <v>0</v>
      </c>
    </row>
    <row r="163" spans="1:62" x14ac:dyDescent="0.2">
      <c r="A163" s="5" t="s">
        <v>115</v>
      </c>
      <c r="B163" s="5" t="s">
        <v>478</v>
      </c>
      <c r="C163" s="135" t="s">
        <v>843</v>
      </c>
      <c r="D163" s="136"/>
      <c r="E163" s="136"/>
      <c r="F163" s="5" t="s">
        <v>1101</v>
      </c>
      <c r="G163" s="18">
        <v>18.5</v>
      </c>
      <c r="H163" s="79">
        <v>0</v>
      </c>
      <c r="I163" s="18">
        <f t="shared" si="48"/>
        <v>0</v>
      </c>
      <c r="J163" s="18">
        <f t="shared" si="49"/>
        <v>0</v>
      </c>
      <c r="K163" s="18">
        <f t="shared" si="50"/>
        <v>0</v>
      </c>
      <c r="L163" s="29" t="s">
        <v>1127</v>
      </c>
      <c r="Z163" s="34">
        <f t="shared" si="51"/>
        <v>0</v>
      </c>
      <c r="AB163" s="34">
        <f t="shared" si="52"/>
        <v>0</v>
      </c>
      <c r="AC163" s="34">
        <f t="shared" si="53"/>
        <v>0</v>
      </c>
      <c r="AD163" s="34">
        <f t="shared" si="54"/>
        <v>0</v>
      </c>
      <c r="AE163" s="34">
        <f t="shared" si="55"/>
        <v>0</v>
      </c>
      <c r="AF163" s="34">
        <f t="shared" si="56"/>
        <v>0</v>
      </c>
      <c r="AG163" s="34">
        <f t="shared" si="57"/>
        <v>0</v>
      </c>
      <c r="AH163" s="34">
        <f t="shared" si="58"/>
        <v>0</v>
      </c>
      <c r="AI163" s="28" t="s">
        <v>1137</v>
      </c>
      <c r="AJ163" s="18">
        <f t="shared" si="59"/>
        <v>0</v>
      </c>
      <c r="AK163" s="18">
        <f t="shared" si="60"/>
        <v>0</v>
      </c>
      <c r="AL163" s="18">
        <f t="shared" si="61"/>
        <v>0</v>
      </c>
      <c r="AN163" s="34">
        <v>21</v>
      </c>
      <c r="AO163" s="34">
        <f t="shared" si="62"/>
        <v>0</v>
      </c>
      <c r="AP163" s="34">
        <f t="shared" si="63"/>
        <v>0</v>
      </c>
      <c r="AQ163" s="29" t="s">
        <v>13</v>
      </c>
      <c r="AV163" s="34">
        <f t="shared" si="64"/>
        <v>0</v>
      </c>
      <c r="AW163" s="34">
        <f t="shared" si="65"/>
        <v>0</v>
      </c>
      <c r="AX163" s="34">
        <f t="shared" si="66"/>
        <v>0</v>
      </c>
      <c r="AY163" s="35" t="s">
        <v>1154</v>
      </c>
      <c r="AZ163" s="35" t="s">
        <v>1170</v>
      </c>
      <c r="BA163" s="28" t="s">
        <v>1176</v>
      </c>
      <c r="BC163" s="34">
        <f t="shared" si="67"/>
        <v>0</v>
      </c>
      <c r="BD163" s="34">
        <f t="shared" si="68"/>
        <v>0</v>
      </c>
      <c r="BE163" s="34">
        <v>0</v>
      </c>
      <c r="BF163" s="34">
        <f>163</f>
        <v>163</v>
      </c>
      <c r="BH163" s="18">
        <f t="shared" si="69"/>
        <v>0</v>
      </c>
      <c r="BI163" s="18">
        <f t="shared" si="70"/>
        <v>0</v>
      </c>
      <c r="BJ163" s="18">
        <f t="shared" si="71"/>
        <v>0</v>
      </c>
    </row>
    <row r="164" spans="1:62" x14ac:dyDescent="0.2">
      <c r="A164" s="5" t="s">
        <v>116</v>
      </c>
      <c r="B164" s="5" t="s">
        <v>479</v>
      </c>
      <c r="C164" s="135" t="s">
        <v>844</v>
      </c>
      <c r="D164" s="136"/>
      <c r="E164" s="136"/>
      <c r="F164" s="5" t="s">
        <v>1103</v>
      </c>
      <c r="G164" s="18">
        <v>18</v>
      </c>
      <c r="H164" s="79">
        <v>0</v>
      </c>
      <c r="I164" s="18">
        <f t="shared" si="48"/>
        <v>0</v>
      </c>
      <c r="J164" s="18">
        <f t="shared" si="49"/>
        <v>0</v>
      </c>
      <c r="K164" s="18">
        <f t="shared" si="50"/>
        <v>0</v>
      </c>
      <c r="L164" s="29" t="s">
        <v>1127</v>
      </c>
      <c r="Z164" s="34">
        <f t="shared" si="51"/>
        <v>0</v>
      </c>
      <c r="AB164" s="34">
        <f t="shared" si="52"/>
        <v>0</v>
      </c>
      <c r="AC164" s="34">
        <f t="shared" si="53"/>
        <v>0</v>
      </c>
      <c r="AD164" s="34">
        <f t="shared" si="54"/>
        <v>0</v>
      </c>
      <c r="AE164" s="34">
        <f t="shared" si="55"/>
        <v>0</v>
      </c>
      <c r="AF164" s="34">
        <f t="shared" si="56"/>
        <v>0</v>
      </c>
      <c r="AG164" s="34">
        <f t="shared" si="57"/>
        <v>0</v>
      </c>
      <c r="AH164" s="34">
        <f t="shared" si="58"/>
        <v>0</v>
      </c>
      <c r="AI164" s="28" t="s">
        <v>1137</v>
      </c>
      <c r="AJ164" s="18">
        <f t="shared" si="59"/>
        <v>0</v>
      </c>
      <c r="AK164" s="18">
        <f t="shared" si="60"/>
        <v>0</v>
      </c>
      <c r="AL164" s="18">
        <f t="shared" si="61"/>
        <v>0</v>
      </c>
      <c r="AN164" s="34">
        <v>21</v>
      </c>
      <c r="AO164" s="34">
        <f t="shared" si="62"/>
        <v>0</v>
      </c>
      <c r="AP164" s="34">
        <f t="shared" si="63"/>
        <v>0</v>
      </c>
      <c r="AQ164" s="29" t="s">
        <v>13</v>
      </c>
      <c r="AV164" s="34">
        <f t="shared" si="64"/>
        <v>0</v>
      </c>
      <c r="AW164" s="34">
        <f t="shared" si="65"/>
        <v>0</v>
      </c>
      <c r="AX164" s="34">
        <f t="shared" si="66"/>
        <v>0</v>
      </c>
      <c r="AY164" s="35" t="s">
        <v>1154</v>
      </c>
      <c r="AZ164" s="35" t="s">
        <v>1170</v>
      </c>
      <c r="BA164" s="28" t="s">
        <v>1176</v>
      </c>
      <c r="BC164" s="34">
        <f t="shared" si="67"/>
        <v>0</v>
      </c>
      <c r="BD164" s="34">
        <f t="shared" si="68"/>
        <v>0</v>
      </c>
      <c r="BE164" s="34">
        <v>0</v>
      </c>
      <c r="BF164" s="34">
        <f>164</f>
        <v>164</v>
      </c>
      <c r="BH164" s="18">
        <f t="shared" si="69"/>
        <v>0</v>
      </c>
      <c r="BI164" s="18">
        <f t="shared" si="70"/>
        <v>0</v>
      </c>
      <c r="BJ164" s="18">
        <f t="shared" si="71"/>
        <v>0</v>
      </c>
    </row>
    <row r="165" spans="1:62" x14ac:dyDescent="0.2">
      <c r="A165" s="5" t="s">
        <v>117</v>
      </c>
      <c r="B165" s="5" t="s">
        <v>480</v>
      </c>
      <c r="C165" s="135" t="s">
        <v>845</v>
      </c>
      <c r="D165" s="136"/>
      <c r="E165" s="136"/>
      <c r="F165" s="5" t="s">
        <v>1103</v>
      </c>
      <c r="G165" s="18">
        <v>2</v>
      </c>
      <c r="H165" s="79">
        <v>0</v>
      </c>
      <c r="I165" s="18">
        <f t="shared" si="48"/>
        <v>0</v>
      </c>
      <c r="J165" s="18">
        <f t="shared" si="49"/>
        <v>0</v>
      </c>
      <c r="K165" s="18">
        <f t="shared" si="50"/>
        <v>0</v>
      </c>
      <c r="L165" s="29" t="s">
        <v>1127</v>
      </c>
      <c r="Z165" s="34">
        <f t="shared" si="51"/>
        <v>0</v>
      </c>
      <c r="AB165" s="34">
        <f t="shared" si="52"/>
        <v>0</v>
      </c>
      <c r="AC165" s="34">
        <f t="shared" si="53"/>
        <v>0</v>
      </c>
      <c r="AD165" s="34">
        <f t="shared" si="54"/>
        <v>0</v>
      </c>
      <c r="AE165" s="34">
        <f t="shared" si="55"/>
        <v>0</v>
      </c>
      <c r="AF165" s="34">
        <f t="shared" si="56"/>
        <v>0</v>
      </c>
      <c r="AG165" s="34">
        <f t="shared" si="57"/>
        <v>0</v>
      </c>
      <c r="AH165" s="34">
        <f t="shared" si="58"/>
        <v>0</v>
      </c>
      <c r="AI165" s="28" t="s">
        <v>1137</v>
      </c>
      <c r="AJ165" s="18">
        <f t="shared" si="59"/>
        <v>0</v>
      </c>
      <c r="AK165" s="18">
        <f t="shared" si="60"/>
        <v>0</v>
      </c>
      <c r="AL165" s="18">
        <f t="shared" si="61"/>
        <v>0</v>
      </c>
      <c r="AN165" s="34">
        <v>21</v>
      </c>
      <c r="AO165" s="34">
        <f t="shared" si="62"/>
        <v>0</v>
      </c>
      <c r="AP165" s="34">
        <f t="shared" si="63"/>
        <v>0</v>
      </c>
      <c r="AQ165" s="29" t="s">
        <v>13</v>
      </c>
      <c r="AV165" s="34">
        <f t="shared" si="64"/>
        <v>0</v>
      </c>
      <c r="AW165" s="34">
        <f t="shared" si="65"/>
        <v>0</v>
      </c>
      <c r="AX165" s="34">
        <f t="shared" si="66"/>
        <v>0</v>
      </c>
      <c r="AY165" s="35" t="s">
        <v>1154</v>
      </c>
      <c r="AZ165" s="35" t="s">
        <v>1170</v>
      </c>
      <c r="BA165" s="28" t="s">
        <v>1176</v>
      </c>
      <c r="BC165" s="34">
        <f t="shared" si="67"/>
        <v>0</v>
      </c>
      <c r="BD165" s="34">
        <f t="shared" si="68"/>
        <v>0</v>
      </c>
      <c r="BE165" s="34">
        <v>0</v>
      </c>
      <c r="BF165" s="34">
        <f>165</f>
        <v>165</v>
      </c>
      <c r="BH165" s="18">
        <f t="shared" si="69"/>
        <v>0</v>
      </c>
      <c r="BI165" s="18">
        <f t="shared" si="70"/>
        <v>0</v>
      </c>
      <c r="BJ165" s="18">
        <f t="shared" si="71"/>
        <v>0</v>
      </c>
    </row>
    <row r="166" spans="1:62" x14ac:dyDescent="0.2">
      <c r="A166" s="5" t="s">
        <v>118</v>
      </c>
      <c r="B166" s="5" t="s">
        <v>481</v>
      </c>
      <c r="C166" s="135" t="s">
        <v>846</v>
      </c>
      <c r="D166" s="136"/>
      <c r="E166" s="136"/>
      <c r="F166" s="5" t="s">
        <v>1103</v>
      </c>
      <c r="G166" s="18">
        <v>2</v>
      </c>
      <c r="H166" s="79">
        <v>0</v>
      </c>
      <c r="I166" s="18">
        <f t="shared" si="48"/>
        <v>0</v>
      </c>
      <c r="J166" s="18">
        <f t="shared" si="49"/>
        <v>0</v>
      </c>
      <c r="K166" s="18">
        <f t="shared" si="50"/>
        <v>0</v>
      </c>
      <c r="L166" s="29" t="s">
        <v>1127</v>
      </c>
      <c r="Z166" s="34">
        <f t="shared" si="51"/>
        <v>0</v>
      </c>
      <c r="AB166" s="34">
        <f t="shared" si="52"/>
        <v>0</v>
      </c>
      <c r="AC166" s="34">
        <f t="shared" si="53"/>
        <v>0</v>
      </c>
      <c r="AD166" s="34">
        <f t="shared" si="54"/>
        <v>0</v>
      </c>
      <c r="AE166" s="34">
        <f t="shared" si="55"/>
        <v>0</v>
      </c>
      <c r="AF166" s="34">
        <f t="shared" si="56"/>
        <v>0</v>
      </c>
      <c r="AG166" s="34">
        <f t="shared" si="57"/>
        <v>0</v>
      </c>
      <c r="AH166" s="34">
        <f t="shared" si="58"/>
        <v>0</v>
      </c>
      <c r="AI166" s="28" t="s">
        <v>1137</v>
      </c>
      <c r="AJ166" s="18">
        <f t="shared" si="59"/>
        <v>0</v>
      </c>
      <c r="AK166" s="18">
        <f t="shared" si="60"/>
        <v>0</v>
      </c>
      <c r="AL166" s="18">
        <f t="shared" si="61"/>
        <v>0</v>
      </c>
      <c r="AN166" s="34">
        <v>21</v>
      </c>
      <c r="AO166" s="34">
        <f t="shared" si="62"/>
        <v>0</v>
      </c>
      <c r="AP166" s="34">
        <f t="shared" si="63"/>
        <v>0</v>
      </c>
      <c r="AQ166" s="29" t="s">
        <v>13</v>
      </c>
      <c r="AV166" s="34">
        <f t="shared" si="64"/>
        <v>0</v>
      </c>
      <c r="AW166" s="34">
        <f t="shared" si="65"/>
        <v>0</v>
      </c>
      <c r="AX166" s="34">
        <f t="shared" si="66"/>
        <v>0</v>
      </c>
      <c r="AY166" s="35" t="s">
        <v>1154</v>
      </c>
      <c r="AZ166" s="35" t="s">
        <v>1170</v>
      </c>
      <c r="BA166" s="28" t="s">
        <v>1176</v>
      </c>
      <c r="BC166" s="34">
        <f t="shared" si="67"/>
        <v>0</v>
      </c>
      <c r="BD166" s="34">
        <f t="shared" si="68"/>
        <v>0</v>
      </c>
      <c r="BE166" s="34">
        <v>0</v>
      </c>
      <c r="BF166" s="34">
        <f>166</f>
        <v>166</v>
      </c>
      <c r="BH166" s="18">
        <f t="shared" si="69"/>
        <v>0</v>
      </c>
      <c r="BI166" s="18">
        <f t="shared" si="70"/>
        <v>0</v>
      </c>
      <c r="BJ166" s="18">
        <f t="shared" si="71"/>
        <v>0</v>
      </c>
    </row>
    <row r="167" spans="1:62" x14ac:dyDescent="0.2">
      <c r="A167" s="5" t="s">
        <v>119</v>
      </c>
      <c r="B167" s="5" t="s">
        <v>482</v>
      </c>
      <c r="C167" s="135" t="s">
        <v>847</v>
      </c>
      <c r="D167" s="136"/>
      <c r="E167" s="136"/>
      <c r="F167" s="5" t="s">
        <v>1103</v>
      </c>
      <c r="G167" s="18">
        <v>9</v>
      </c>
      <c r="H167" s="79">
        <v>0</v>
      </c>
      <c r="I167" s="18">
        <f t="shared" si="48"/>
        <v>0</v>
      </c>
      <c r="J167" s="18">
        <f t="shared" si="49"/>
        <v>0</v>
      </c>
      <c r="K167" s="18">
        <f t="shared" si="50"/>
        <v>0</v>
      </c>
      <c r="L167" s="29" t="s">
        <v>1127</v>
      </c>
      <c r="Z167" s="34">
        <f t="shared" si="51"/>
        <v>0</v>
      </c>
      <c r="AB167" s="34">
        <f t="shared" si="52"/>
        <v>0</v>
      </c>
      <c r="AC167" s="34">
        <f t="shared" si="53"/>
        <v>0</v>
      </c>
      <c r="AD167" s="34">
        <f t="shared" si="54"/>
        <v>0</v>
      </c>
      <c r="AE167" s="34">
        <f t="shared" si="55"/>
        <v>0</v>
      </c>
      <c r="AF167" s="34">
        <f t="shared" si="56"/>
        <v>0</v>
      </c>
      <c r="AG167" s="34">
        <f t="shared" si="57"/>
        <v>0</v>
      </c>
      <c r="AH167" s="34">
        <f t="shared" si="58"/>
        <v>0</v>
      </c>
      <c r="AI167" s="28" t="s">
        <v>1137</v>
      </c>
      <c r="AJ167" s="18">
        <f t="shared" si="59"/>
        <v>0</v>
      </c>
      <c r="AK167" s="18">
        <f t="shared" si="60"/>
        <v>0</v>
      </c>
      <c r="AL167" s="18">
        <f t="shared" si="61"/>
        <v>0</v>
      </c>
      <c r="AN167" s="34">
        <v>21</v>
      </c>
      <c r="AO167" s="34">
        <f t="shared" si="62"/>
        <v>0</v>
      </c>
      <c r="AP167" s="34">
        <f t="shared" si="63"/>
        <v>0</v>
      </c>
      <c r="AQ167" s="29" t="s">
        <v>13</v>
      </c>
      <c r="AV167" s="34">
        <f t="shared" si="64"/>
        <v>0</v>
      </c>
      <c r="AW167" s="34">
        <f t="shared" si="65"/>
        <v>0</v>
      </c>
      <c r="AX167" s="34">
        <f t="shared" si="66"/>
        <v>0</v>
      </c>
      <c r="AY167" s="35" t="s">
        <v>1154</v>
      </c>
      <c r="AZ167" s="35" t="s">
        <v>1170</v>
      </c>
      <c r="BA167" s="28" t="s">
        <v>1176</v>
      </c>
      <c r="BC167" s="34">
        <f t="shared" si="67"/>
        <v>0</v>
      </c>
      <c r="BD167" s="34">
        <f t="shared" si="68"/>
        <v>0</v>
      </c>
      <c r="BE167" s="34">
        <v>0</v>
      </c>
      <c r="BF167" s="34">
        <f>167</f>
        <v>167</v>
      </c>
      <c r="BH167" s="18">
        <f t="shared" si="69"/>
        <v>0</v>
      </c>
      <c r="BI167" s="18">
        <f t="shared" si="70"/>
        <v>0</v>
      </c>
      <c r="BJ167" s="18">
        <f t="shared" si="71"/>
        <v>0</v>
      </c>
    </row>
    <row r="168" spans="1:62" x14ac:dyDescent="0.2">
      <c r="A168" s="5" t="s">
        <v>120</v>
      </c>
      <c r="B168" s="5" t="s">
        <v>483</v>
      </c>
      <c r="C168" s="135" t="s">
        <v>848</v>
      </c>
      <c r="D168" s="136"/>
      <c r="E168" s="136"/>
      <c r="F168" s="5" t="s">
        <v>1103</v>
      </c>
      <c r="G168" s="18">
        <v>2</v>
      </c>
      <c r="H168" s="79">
        <v>0</v>
      </c>
      <c r="I168" s="18">
        <f t="shared" si="48"/>
        <v>0</v>
      </c>
      <c r="J168" s="18">
        <f t="shared" si="49"/>
        <v>0</v>
      </c>
      <c r="K168" s="18">
        <f t="shared" si="50"/>
        <v>0</v>
      </c>
      <c r="L168" s="29" t="s">
        <v>1127</v>
      </c>
      <c r="Z168" s="34">
        <f t="shared" si="51"/>
        <v>0</v>
      </c>
      <c r="AB168" s="34">
        <f t="shared" si="52"/>
        <v>0</v>
      </c>
      <c r="AC168" s="34">
        <f t="shared" si="53"/>
        <v>0</v>
      </c>
      <c r="AD168" s="34">
        <f t="shared" si="54"/>
        <v>0</v>
      </c>
      <c r="AE168" s="34">
        <f t="shared" si="55"/>
        <v>0</v>
      </c>
      <c r="AF168" s="34">
        <f t="shared" si="56"/>
        <v>0</v>
      </c>
      <c r="AG168" s="34">
        <f t="shared" si="57"/>
        <v>0</v>
      </c>
      <c r="AH168" s="34">
        <f t="shared" si="58"/>
        <v>0</v>
      </c>
      <c r="AI168" s="28" t="s">
        <v>1137</v>
      </c>
      <c r="AJ168" s="18">
        <f t="shared" si="59"/>
        <v>0</v>
      </c>
      <c r="AK168" s="18">
        <f t="shared" si="60"/>
        <v>0</v>
      </c>
      <c r="AL168" s="18">
        <f t="shared" si="61"/>
        <v>0</v>
      </c>
      <c r="AN168" s="34">
        <v>21</v>
      </c>
      <c r="AO168" s="34">
        <f t="shared" si="62"/>
        <v>0</v>
      </c>
      <c r="AP168" s="34">
        <f t="shared" si="63"/>
        <v>0</v>
      </c>
      <c r="AQ168" s="29" t="s">
        <v>13</v>
      </c>
      <c r="AV168" s="34">
        <f t="shared" si="64"/>
        <v>0</v>
      </c>
      <c r="AW168" s="34">
        <f t="shared" si="65"/>
        <v>0</v>
      </c>
      <c r="AX168" s="34">
        <f t="shared" si="66"/>
        <v>0</v>
      </c>
      <c r="AY168" s="35" t="s">
        <v>1154</v>
      </c>
      <c r="AZ168" s="35" t="s">
        <v>1170</v>
      </c>
      <c r="BA168" s="28" t="s">
        <v>1176</v>
      </c>
      <c r="BC168" s="34">
        <f t="shared" si="67"/>
        <v>0</v>
      </c>
      <c r="BD168" s="34">
        <f t="shared" si="68"/>
        <v>0</v>
      </c>
      <c r="BE168" s="34">
        <v>0</v>
      </c>
      <c r="BF168" s="34">
        <f>168</f>
        <v>168</v>
      </c>
      <c r="BH168" s="18">
        <f t="shared" si="69"/>
        <v>0</v>
      </c>
      <c r="BI168" s="18">
        <f t="shared" si="70"/>
        <v>0</v>
      </c>
      <c r="BJ168" s="18">
        <f t="shared" si="71"/>
        <v>0</v>
      </c>
    </row>
    <row r="169" spans="1:62" x14ac:dyDescent="0.2">
      <c r="A169" s="5" t="s">
        <v>121</v>
      </c>
      <c r="B169" s="5" t="s">
        <v>484</v>
      </c>
      <c r="C169" s="135" t="s">
        <v>849</v>
      </c>
      <c r="D169" s="136"/>
      <c r="E169" s="136"/>
      <c r="F169" s="5" t="s">
        <v>1103</v>
      </c>
      <c r="G169" s="18">
        <v>1</v>
      </c>
      <c r="H169" s="79">
        <v>0</v>
      </c>
      <c r="I169" s="18">
        <f t="shared" si="48"/>
        <v>0</v>
      </c>
      <c r="J169" s="18">
        <f t="shared" si="49"/>
        <v>0</v>
      </c>
      <c r="K169" s="18">
        <f t="shared" si="50"/>
        <v>0</v>
      </c>
      <c r="L169" s="29" t="s">
        <v>1127</v>
      </c>
      <c r="Z169" s="34">
        <f t="shared" si="51"/>
        <v>0</v>
      </c>
      <c r="AB169" s="34">
        <f t="shared" si="52"/>
        <v>0</v>
      </c>
      <c r="AC169" s="34">
        <f t="shared" si="53"/>
        <v>0</v>
      </c>
      <c r="AD169" s="34">
        <f t="shared" si="54"/>
        <v>0</v>
      </c>
      <c r="AE169" s="34">
        <f t="shared" si="55"/>
        <v>0</v>
      </c>
      <c r="AF169" s="34">
        <f t="shared" si="56"/>
        <v>0</v>
      </c>
      <c r="AG169" s="34">
        <f t="shared" si="57"/>
        <v>0</v>
      </c>
      <c r="AH169" s="34">
        <f t="shared" si="58"/>
        <v>0</v>
      </c>
      <c r="AI169" s="28" t="s">
        <v>1137</v>
      </c>
      <c r="AJ169" s="18">
        <f t="shared" si="59"/>
        <v>0</v>
      </c>
      <c r="AK169" s="18">
        <f t="shared" si="60"/>
        <v>0</v>
      </c>
      <c r="AL169" s="18">
        <f t="shared" si="61"/>
        <v>0</v>
      </c>
      <c r="AN169" s="34">
        <v>21</v>
      </c>
      <c r="AO169" s="34">
        <f t="shared" si="62"/>
        <v>0</v>
      </c>
      <c r="AP169" s="34">
        <f t="shared" si="63"/>
        <v>0</v>
      </c>
      <c r="AQ169" s="29" t="s">
        <v>13</v>
      </c>
      <c r="AV169" s="34">
        <f t="shared" si="64"/>
        <v>0</v>
      </c>
      <c r="AW169" s="34">
        <f t="shared" si="65"/>
        <v>0</v>
      </c>
      <c r="AX169" s="34">
        <f t="shared" si="66"/>
        <v>0</v>
      </c>
      <c r="AY169" s="35" t="s">
        <v>1154</v>
      </c>
      <c r="AZ169" s="35" t="s">
        <v>1170</v>
      </c>
      <c r="BA169" s="28" t="s">
        <v>1176</v>
      </c>
      <c r="BC169" s="34">
        <f t="shared" si="67"/>
        <v>0</v>
      </c>
      <c r="BD169" s="34">
        <f t="shared" si="68"/>
        <v>0</v>
      </c>
      <c r="BE169" s="34">
        <v>0</v>
      </c>
      <c r="BF169" s="34">
        <f>169</f>
        <v>169</v>
      </c>
      <c r="BH169" s="18">
        <f t="shared" si="69"/>
        <v>0</v>
      </c>
      <c r="BI169" s="18">
        <f t="shared" si="70"/>
        <v>0</v>
      </c>
      <c r="BJ169" s="18">
        <f t="shared" si="71"/>
        <v>0</v>
      </c>
    </row>
    <row r="170" spans="1:62" x14ac:dyDescent="0.2">
      <c r="A170" s="5" t="s">
        <v>122</v>
      </c>
      <c r="B170" s="5" t="s">
        <v>485</v>
      </c>
      <c r="C170" s="135" t="s">
        <v>850</v>
      </c>
      <c r="D170" s="136"/>
      <c r="E170" s="136"/>
      <c r="F170" s="5" t="s">
        <v>1103</v>
      </c>
      <c r="G170" s="18">
        <v>7</v>
      </c>
      <c r="H170" s="79">
        <v>0</v>
      </c>
      <c r="I170" s="18">
        <f t="shared" si="48"/>
        <v>0</v>
      </c>
      <c r="J170" s="18">
        <f t="shared" si="49"/>
        <v>0</v>
      </c>
      <c r="K170" s="18">
        <f t="shared" si="50"/>
        <v>0</v>
      </c>
      <c r="L170" s="29" t="s">
        <v>1127</v>
      </c>
      <c r="Z170" s="34">
        <f t="shared" si="51"/>
        <v>0</v>
      </c>
      <c r="AB170" s="34">
        <f t="shared" si="52"/>
        <v>0</v>
      </c>
      <c r="AC170" s="34">
        <f t="shared" si="53"/>
        <v>0</v>
      </c>
      <c r="AD170" s="34">
        <f t="shared" si="54"/>
        <v>0</v>
      </c>
      <c r="AE170" s="34">
        <f t="shared" si="55"/>
        <v>0</v>
      </c>
      <c r="AF170" s="34">
        <f t="shared" si="56"/>
        <v>0</v>
      </c>
      <c r="AG170" s="34">
        <f t="shared" si="57"/>
        <v>0</v>
      </c>
      <c r="AH170" s="34">
        <f t="shared" si="58"/>
        <v>0</v>
      </c>
      <c r="AI170" s="28" t="s">
        <v>1137</v>
      </c>
      <c r="AJ170" s="18">
        <f t="shared" si="59"/>
        <v>0</v>
      </c>
      <c r="AK170" s="18">
        <f t="shared" si="60"/>
        <v>0</v>
      </c>
      <c r="AL170" s="18">
        <f t="shared" si="61"/>
        <v>0</v>
      </c>
      <c r="AN170" s="34">
        <v>21</v>
      </c>
      <c r="AO170" s="34">
        <f t="shared" si="62"/>
        <v>0</v>
      </c>
      <c r="AP170" s="34">
        <f t="shared" si="63"/>
        <v>0</v>
      </c>
      <c r="AQ170" s="29" t="s">
        <v>13</v>
      </c>
      <c r="AV170" s="34">
        <f t="shared" si="64"/>
        <v>0</v>
      </c>
      <c r="AW170" s="34">
        <f t="shared" si="65"/>
        <v>0</v>
      </c>
      <c r="AX170" s="34">
        <f t="shared" si="66"/>
        <v>0</v>
      </c>
      <c r="AY170" s="35" t="s">
        <v>1154</v>
      </c>
      <c r="AZ170" s="35" t="s">
        <v>1170</v>
      </c>
      <c r="BA170" s="28" t="s">
        <v>1176</v>
      </c>
      <c r="BC170" s="34">
        <f t="shared" si="67"/>
        <v>0</v>
      </c>
      <c r="BD170" s="34">
        <f t="shared" si="68"/>
        <v>0</v>
      </c>
      <c r="BE170" s="34">
        <v>0</v>
      </c>
      <c r="BF170" s="34">
        <f>170</f>
        <v>170</v>
      </c>
      <c r="BH170" s="18">
        <f t="shared" si="69"/>
        <v>0</v>
      </c>
      <c r="BI170" s="18">
        <f t="shared" si="70"/>
        <v>0</v>
      </c>
      <c r="BJ170" s="18">
        <f t="shared" si="71"/>
        <v>0</v>
      </c>
    </row>
    <row r="171" spans="1:62" x14ac:dyDescent="0.2">
      <c r="A171" s="5" t="s">
        <v>123</v>
      </c>
      <c r="B171" s="5" t="s">
        <v>486</v>
      </c>
      <c r="C171" s="135" t="s">
        <v>851</v>
      </c>
      <c r="D171" s="136"/>
      <c r="E171" s="136"/>
      <c r="F171" s="5" t="s">
        <v>1103</v>
      </c>
      <c r="G171" s="18">
        <v>1</v>
      </c>
      <c r="H171" s="79">
        <v>0</v>
      </c>
      <c r="I171" s="18">
        <f t="shared" si="48"/>
        <v>0</v>
      </c>
      <c r="J171" s="18">
        <f t="shared" si="49"/>
        <v>0</v>
      </c>
      <c r="K171" s="18">
        <f t="shared" si="50"/>
        <v>0</v>
      </c>
      <c r="L171" s="29" t="s">
        <v>1127</v>
      </c>
      <c r="Z171" s="34">
        <f t="shared" si="51"/>
        <v>0</v>
      </c>
      <c r="AB171" s="34">
        <f t="shared" si="52"/>
        <v>0</v>
      </c>
      <c r="AC171" s="34">
        <f t="shared" si="53"/>
        <v>0</v>
      </c>
      <c r="AD171" s="34">
        <f t="shared" si="54"/>
        <v>0</v>
      </c>
      <c r="AE171" s="34">
        <f t="shared" si="55"/>
        <v>0</v>
      </c>
      <c r="AF171" s="34">
        <f t="shared" si="56"/>
        <v>0</v>
      </c>
      <c r="AG171" s="34">
        <f t="shared" si="57"/>
        <v>0</v>
      </c>
      <c r="AH171" s="34">
        <f t="shared" si="58"/>
        <v>0</v>
      </c>
      <c r="AI171" s="28" t="s">
        <v>1137</v>
      </c>
      <c r="AJ171" s="18">
        <f t="shared" si="59"/>
        <v>0</v>
      </c>
      <c r="AK171" s="18">
        <f t="shared" si="60"/>
        <v>0</v>
      </c>
      <c r="AL171" s="18">
        <f t="shared" si="61"/>
        <v>0</v>
      </c>
      <c r="AN171" s="34">
        <v>21</v>
      </c>
      <c r="AO171" s="34">
        <f t="shared" si="62"/>
        <v>0</v>
      </c>
      <c r="AP171" s="34">
        <f t="shared" si="63"/>
        <v>0</v>
      </c>
      <c r="AQ171" s="29" t="s">
        <v>13</v>
      </c>
      <c r="AV171" s="34">
        <f t="shared" si="64"/>
        <v>0</v>
      </c>
      <c r="AW171" s="34">
        <f t="shared" si="65"/>
        <v>0</v>
      </c>
      <c r="AX171" s="34">
        <f t="shared" si="66"/>
        <v>0</v>
      </c>
      <c r="AY171" s="35" t="s">
        <v>1154</v>
      </c>
      <c r="AZ171" s="35" t="s">
        <v>1170</v>
      </c>
      <c r="BA171" s="28" t="s">
        <v>1176</v>
      </c>
      <c r="BC171" s="34">
        <f t="shared" si="67"/>
        <v>0</v>
      </c>
      <c r="BD171" s="34">
        <f t="shared" si="68"/>
        <v>0</v>
      </c>
      <c r="BE171" s="34">
        <v>0</v>
      </c>
      <c r="BF171" s="34">
        <f>171</f>
        <v>171</v>
      </c>
      <c r="BH171" s="18">
        <f t="shared" si="69"/>
        <v>0</v>
      </c>
      <c r="BI171" s="18">
        <f t="shared" si="70"/>
        <v>0</v>
      </c>
      <c r="BJ171" s="18">
        <f t="shared" si="71"/>
        <v>0</v>
      </c>
    </row>
    <row r="172" spans="1:62" x14ac:dyDescent="0.2">
      <c r="A172" s="5" t="s">
        <v>124</v>
      </c>
      <c r="B172" s="5" t="s">
        <v>487</v>
      </c>
      <c r="C172" s="135" t="s">
        <v>852</v>
      </c>
      <c r="D172" s="136"/>
      <c r="E172" s="136"/>
      <c r="F172" s="5" t="s">
        <v>1103</v>
      </c>
      <c r="G172" s="18">
        <v>2</v>
      </c>
      <c r="H172" s="79">
        <v>0</v>
      </c>
      <c r="I172" s="18">
        <f t="shared" si="48"/>
        <v>0</v>
      </c>
      <c r="J172" s="18">
        <f t="shared" si="49"/>
        <v>0</v>
      </c>
      <c r="K172" s="18">
        <f t="shared" si="50"/>
        <v>0</v>
      </c>
      <c r="L172" s="29" t="s">
        <v>1127</v>
      </c>
      <c r="Z172" s="34">
        <f t="shared" si="51"/>
        <v>0</v>
      </c>
      <c r="AB172" s="34">
        <f t="shared" si="52"/>
        <v>0</v>
      </c>
      <c r="AC172" s="34">
        <f t="shared" si="53"/>
        <v>0</v>
      </c>
      <c r="AD172" s="34">
        <f t="shared" si="54"/>
        <v>0</v>
      </c>
      <c r="AE172" s="34">
        <f t="shared" si="55"/>
        <v>0</v>
      </c>
      <c r="AF172" s="34">
        <f t="shared" si="56"/>
        <v>0</v>
      </c>
      <c r="AG172" s="34">
        <f t="shared" si="57"/>
        <v>0</v>
      </c>
      <c r="AH172" s="34">
        <f t="shared" si="58"/>
        <v>0</v>
      </c>
      <c r="AI172" s="28" t="s">
        <v>1137</v>
      </c>
      <c r="AJ172" s="18">
        <f t="shared" si="59"/>
        <v>0</v>
      </c>
      <c r="AK172" s="18">
        <f t="shared" si="60"/>
        <v>0</v>
      </c>
      <c r="AL172" s="18">
        <f t="shared" si="61"/>
        <v>0</v>
      </c>
      <c r="AN172" s="34">
        <v>21</v>
      </c>
      <c r="AO172" s="34">
        <f t="shared" si="62"/>
        <v>0</v>
      </c>
      <c r="AP172" s="34">
        <f t="shared" si="63"/>
        <v>0</v>
      </c>
      <c r="AQ172" s="29" t="s">
        <v>13</v>
      </c>
      <c r="AV172" s="34">
        <f t="shared" si="64"/>
        <v>0</v>
      </c>
      <c r="AW172" s="34">
        <f t="shared" si="65"/>
        <v>0</v>
      </c>
      <c r="AX172" s="34">
        <f t="shared" si="66"/>
        <v>0</v>
      </c>
      <c r="AY172" s="35" t="s">
        <v>1154</v>
      </c>
      <c r="AZ172" s="35" t="s">
        <v>1170</v>
      </c>
      <c r="BA172" s="28" t="s">
        <v>1176</v>
      </c>
      <c r="BC172" s="34">
        <f t="shared" si="67"/>
        <v>0</v>
      </c>
      <c r="BD172" s="34">
        <f t="shared" si="68"/>
        <v>0</v>
      </c>
      <c r="BE172" s="34">
        <v>0</v>
      </c>
      <c r="BF172" s="34">
        <f>172</f>
        <v>172</v>
      </c>
      <c r="BH172" s="18">
        <f t="shared" si="69"/>
        <v>0</v>
      </c>
      <c r="BI172" s="18">
        <f t="shared" si="70"/>
        <v>0</v>
      </c>
      <c r="BJ172" s="18">
        <f t="shared" si="71"/>
        <v>0</v>
      </c>
    </row>
    <row r="173" spans="1:62" x14ac:dyDescent="0.2">
      <c r="A173" s="5" t="s">
        <v>125</v>
      </c>
      <c r="B173" s="5" t="s">
        <v>488</v>
      </c>
      <c r="C173" s="135" t="s">
        <v>853</v>
      </c>
      <c r="D173" s="136"/>
      <c r="E173" s="136"/>
      <c r="F173" s="5" t="s">
        <v>1103</v>
      </c>
      <c r="G173" s="18">
        <v>4</v>
      </c>
      <c r="H173" s="79">
        <v>0</v>
      </c>
      <c r="I173" s="18">
        <f t="shared" si="48"/>
        <v>0</v>
      </c>
      <c r="J173" s="18">
        <f t="shared" si="49"/>
        <v>0</v>
      </c>
      <c r="K173" s="18">
        <f t="shared" si="50"/>
        <v>0</v>
      </c>
      <c r="L173" s="29" t="s">
        <v>1127</v>
      </c>
      <c r="Z173" s="34">
        <f t="shared" si="51"/>
        <v>0</v>
      </c>
      <c r="AB173" s="34">
        <f t="shared" si="52"/>
        <v>0</v>
      </c>
      <c r="AC173" s="34">
        <f t="shared" si="53"/>
        <v>0</v>
      </c>
      <c r="AD173" s="34">
        <f t="shared" si="54"/>
        <v>0</v>
      </c>
      <c r="AE173" s="34">
        <f t="shared" si="55"/>
        <v>0</v>
      </c>
      <c r="AF173" s="34">
        <f t="shared" si="56"/>
        <v>0</v>
      </c>
      <c r="AG173" s="34">
        <f t="shared" si="57"/>
        <v>0</v>
      </c>
      <c r="AH173" s="34">
        <f t="shared" si="58"/>
        <v>0</v>
      </c>
      <c r="AI173" s="28" t="s">
        <v>1137</v>
      </c>
      <c r="AJ173" s="18">
        <f t="shared" si="59"/>
        <v>0</v>
      </c>
      <c r="AK173" s="18">
        <f t="shared" si="60"/>
        <v>0</v>
      </c>
      <c r="AL173" s="18">
        <f t="shared" si="61"/>
        <v>0</v>
      </c>
      <c r="AN173" s="34">
        <v>21</v>
      </c>
      <c r="AO173" s="34">
        <f t="shared" si="62"/>
        <v>0</v>
      </c>
      <c r="AP173" s="34">
        <f t="shared" si="63"/>
        <v>0</v>
      </c>
      <c r="AQ173" s="29" t="s">
        <v>13</v>
      </c>
      <c r="AV173" s="34">
        <f t="shared" si="64"/>
        <v>0</v>
      </c>
      <c r="AW173" s="34">
        <f t="shared" si="65"/>
        <v>0</v>
      </c>
      <c r="AX173" s="34">
        <f t="shared" si="66"/>
        <v>0</v>
      </c>
      <c r="AY173" s="35" t="s">
        <v>1154</v>
      </c>
      <c r="AZ173" s="35" t="s">
        <v>1170</v>
      </c>
      <c r="BA173" s="28" t="s">
        <v>1176</v>
      </c>
      <c r="BC173" s="34">
        <f t="shared" si="67"/>
        <v>0</v>
      </c>
      <c r="BD173" s="34">
        <f t="shared" si="68"/>
        <v>0</v>
      </c>
      <c r="BE173" s="34">
        <v>0</v>
      </c>
      <c r="BF173" s="34">
        <f>173</f>
        <v>173</v>
      </c>
      <c r="BH173" s="18">
        <f t="shared" si="69"/>
        <v>0</v>
      </c>
      <c r="BI173" s="18">
        <f t="shared" si="70"/>
        <v>0</v>
      </c>
      <c r="BJ173" s="18">
        <f t="shared" si="71"/>
        <v>0</v>
      </c>
    </row>
    <row r="174" spans="1:62" x14ac:dyDescent="0.2">
      <c r="A174" s="5" t="s">
        <v>126</v>
      </c>
      <c r="B174" s="5" t="s">
        <v>489</v>
      </c>
      <c r="C174" s="135" t="s">
        <v>854</v>
      </c>
      <c r="D174" s="136"/>
      <c r="E174" s="136"/>
      <c r="F174" s="5" t="s">
        <v>1103</v>
      </c>
      <c r="G174" s="18">
        <v>2</v>
      </c>
      <c r="H174" s="79">
        <v>0</v>
      </c>
      <c r="I174" s="18">
        <f t="shared" si="48"/>
        <v>0</v>
      </c>
      <c r="J174" s="18">
        <f t="shared" si="49"/>
        <v>0</v>
      </c>
      <c r="K174" s="18">
        <f t="shared" si="50"/>
        <v>0</v>
      </c>
      <c r="L174" s="29" t="s">
        <v>1127</v>
      </c>
      <c r="Z174" s="34">
        <f t="shared" si="51"/>
        <v>0</v>
      </c>
      <c r="AB174" s="34">
        <f t="shared" si="52"/>
        <v>0</v>
      </c>
      <c r="AC174" s="34">
        <f t="shared" si="53"/>
        <v>0</v>
      </c>
      <c r="AD174" s="34">
        <f t="shared" si="54"/>
        <v>0</v>
      </c>
      <c r="AE174" s="34">
        <f t="shared" si="55"/>
        <v>0</v>
      </c>
      <c r="AF174" s="34">
        <f t="shared" si="56"/>
        <v>0</v>
      </c>
      <c r="AG174" s="34">
        <f t="shared" si="57"/>
        <v>0</v>
      </c>
      <c r="AH174" s="34">
        <f t="shared" si="58"/>
        <v>0</v>
      </c>
      <c r="AI174" s="28" t="s">
        <v>1137</v>
      </c>
      <c r="AJ174" s="18">
        <f t="shared" si="59"/>
        <v>0</v>
      </c>
      <c r="AK174" s="18">
        <f t="shared" si="60"/>
        <v>0</v>
      </c>
      <c r="AL174" s="18">
        <f t="shared" si="61"/>
        <v>0</v>
      </c>
      <c r="AN174" s="34">
        <v>21</v>
      </c>
      <c r="AO174" s="34">
        <f t="shared" si="62"/>
        <v>0</v>
      </c>
      <c r="AP174" s="34">
        <f t="shared" si="63"/>
        <v>0</v>
      </c>
      <c r="AQ174" s="29" t="s">
        <v>13</v>
      </c>
      <c r="AV174" s="34">
        <f t="shared" si="64"/>
        <v>0</v>
      </c>
      <c r="AW174" s="34">
        <f t="shared" si="65"/>
        <v>0</v>
      </c>
      <c r="AX174" s="34">
        <f t="shared" si="66"/>
        <v>0</v>
      </c>
      <c r="AY174" s="35" t="s">
        <v>1154</v>
      </c>
      <c r="AZ174" s="35" t="s">
        <v>1170</v>
      </c>
      <c r="BA174" s="28" t="s">
        <v>1176</v>
      </c>
      <c r="BC174" s="34">
        <f t="shared" si="67"/>
        <v>0</v>
      </c>
      <c r="BD174" s="34">
        <f t="shared" si="68"/>
        <v>0</v>
      </c>
      <c r="BE174" s="34">
        <v>0</v>
      </c>
      <c r="BF174" s="34">
        <f>174</f>
        <v>174</v>
      </c>
      <c r="BH174" s="18">
        <f t="shared" si="69"/>
        <v>0</v>
      </c>
      <c r="BI174" s="18">
        <f t="shared" si="70"/>
        <v>0</v>
      </c>
      <c r="BJ174" s="18">
        <f t="shared" si="71"/>
        <v>0</v>
      </c>
    </row>
    <row r="175" spans="1:62" x14ac:dyDescent="0.2">
      <c r="A175" s="5" t="s">
        <v>127</v>
      </c>
      <c r="B175" s="5" t="s">
        <v>490</v>
      </c>
      <c r="C175" s="135" t="s">
        <v>855</v>
      </c>
      <c r="D175" s="136"/>
      <c r="E175" s="136"/>
      <c r="F175" s="5" t="s">
        <v>1103</v>
      </c>
      <c r="G175" s="18">
        <v>2</v>
      </c>
      <c r="H175" s="79">
        <v>0</v>
      </c>
      <c r="I175" s="18">
        <f t="shared" si="48"/>
        <v>0</v>
      </c>
      <c r="J175" s="18">
        <f t="shared" si="49"/>
        <v>0</v>
      </c>
      <c r="K175" s="18">
        <f t="shared" si="50"/>
        <v>0</v>
      </c>
      <c r="L175" s="29" t="s">
        <v>1127</v>
      </c>
      <c r="Z175" s="34">
        <f t="shared" si="51"/>
        <v>0</v>
      </c>
      <c r="AB175" s="34">
        <f t="shared" si="52"/>
        <v>0</v>
      </c>
      <c r="AC175" s="34">
        <f t="shared" si="53"/>
        <v>0</v>
      </c>
      <c r="AD175" s="34">
        <f t="shared" si="54"/>
        <v>0</v>
      </c>
      <c r="AE175" s="34">
        <f t="shared" si="55"/>
        <v>0</v>
      </c>
      <c r="AF175" s="34">
        <f t="shared" si="56"/>
        <v>0</v>
      </c>
      <c r="AG175" s="34">
        <f t="shared" si="57"/>
        <v>0</v>
      </c>
      <c r="AH175" s="34">
        <f t="shared" si="58"/>
        <v>0</v>
      </c>
      <c r="AI175" s="28" t="s">
        <v>1137</v>
      </c>
      <c r="AJ175" s="18">
        <f t="shared" si="59"/>
        <v>0</v>
      </c>
      <c r="AK175" s="18">
        <f t="shared" si="60"/>
        <v>0</v>
      </c>
      <c r="AL175" s="18">
        <f t="shared" si="61"/>
        <v>0</v>
      </c>
      <c r="AN175" s="34">
        <v>21</v>
      </c>
      <c r="AO175" s="34">
        <f t="shared" si="62"/>
        <v>0</v>
      </c>
      <c r="AP175" s="34">
        <f t="shared" si="63"/>
        <v>0</v>
      </c>
      <c r="AQ175" s="29" t="s">
        <v>13</v>
      </c>
      <c r="AV175" s="34">
        <f t="shared" si="64"/>
        <v>0</v>
      </c>
      <c r="AW175" s="34">
        <f t="shared" si="65"/>
        <v>0</v>
      </c>
      <c r="AX175" s="34">
        <f t="shared" si="66"/>
        <v>0</v>
      </c>
      <c r="AY175" s="35" t="s">
        <v>1154</v>
      </c>
      <c r="AZ175" s="35" t="s">
        <v>1170</v>
      </c>
      <c r="BA175" s="28" t="s">
        <v>1176</v>
      </c>
      <c r="BC175" s="34">
        <f t="shared" si="67"/>
        <v>0</v>
      </c>
      <c r="BD175" s="34">
        <f t="shared" si="68"/>
        <v>0</v>
      </c>
      <c r="BE175" s="34">
        <v>0</v>
      </c>
      <c r="BF175" s="34">
        <f>175</f>
        <v>175</v>
      </c>
      <c r="BH175" s="18">
        <f t="shared" si="69"/>
        <v>0</v>
      </c>
      <c r="BI175" s="18">
        <f t="shared" si="70"/>
        <v>0</v>
      </c>
      <c r="BJ175" s="18">
        <f t="shared" si="71"/>
        <v>0</v>
      </c>
    </row>
    <row r="176" spans="1:62" x14ac:dyDescent="0.2">
      <c r="A176" s="5" t="s">
        <v>128</v>
      </c>
      <c r="B176" s="5" t="s">
        <v>491</v>
      </c>
      <c r="C176" s="135" t="s">
        <v>856</v>
      </c>
      <c r="D176" s="136"/>
      <c r="E176" s="136"/>
      <c r="F176" s="5" t="s">
        <v>1103</v>
      </c>
      <c r="G176" s="18">
        <v>2</v>
      </c>
      <c r="H176" s="79">
        <v>0</v>
      </c>
      <c r="I176" s="18">
        <f t="shared" si="48"/>
        <v>0</v>
      </c>
      <c r="J176" s="18">
        <f t="shared" si="49"/>
        <v>0</v>
      </c>
      <c r="K176" s="18">
        <f t="shared" si="50"/>
        <v>0</v>
      </c>
      <c r="L176" s="29" t="s">
        <v>1127</v>
      </c>
      <c r="Z176" s="34">
        <f t="shared" si="51"/>
        <v>0</v>
      </c>
      <c r="AB176" s="34">
        <f t="shared" si="52"/>
        <v>0</v>
      </c>
      <c r="AC176" s="34">
        <f t="shared" si="53"/>
        <v>0</v>
      </c>
      <c r="AD176" s="34">
        <f t="shared" si="54"/>
        <v>0</v>
      </c>
      <c r="AE176" s="34">
        <f t="shared" si="55"/>
        <v>0</v>
      </c>
      <c r="AF176" s="34">
        <f t="shared" si="56"/>
        <v>0</v>
      </c>
      <c r="AG176" s="34">
        <f t="shared" si="57"/>
        <v>0</v>
      </c>
      <c r="AH176" s="34">
        <f t="shared" si="58"/>
        <v>0</v>
      </c>
      <c r="AI176" s="28" t="s">
        <v>1137</v>
      </c>
      <c r="AJ176" s="18">
        <f t="shared" si="59"/>
        <v>0</v>
      </c>
      <c r="AK176" s="18">
        <f t="shared" si="60"/>
        <v>0</v>
      </c>
      <c r="AL176" s="18">
        <f t="shared" si="61"/>
        <v>0</v>
      </c>
      <c r="AN176" s="34">
        <v>21</v>
      </c>
      <c r="AO176" s="34">
        <f t="shared" si="62"/>
        <v>0</v>
      </c>
      <c r="AP176" s="34">
        <f t="shared" si="63"/>
        <v>0</v>
      </c>
      <c r="AQ176" s="29" t="s">
        <v>13</v>
      </c>
      <c r="AV176" s="34">
        <f t="shared" si="64"/>
        <v>0</v>
      </c>
      <c r="AW176" s="34">
        <f t="shared" si="65"/>
        <v>0</v>
      </c>
      <c r="AX176" s="34">
        <f t="shared" si="66"/>
        <v>0</v>
      </c>
      <c r="AY176" s="35" t="s">
        <v>1154</v>
      </c>
      <c r="AZ176" s="35" t="s">
        <v>1170</v>
      </c>
      <c r="BA176" s="28" t="s">
        <v>1176</v>
      </c>
      <c r="BC176" s="34">
        <f t="shared" si="67"/>
        <v>0</v>
      </c>
      <c r="BD176" s="34">
        <f t="shared" si="68"/>
        <v>0</v>
      </c>
      <c r="BE176" s="34">
        <v>0</v>
      </c>
      <c r="BF176" s="34">
        <f>176</f>
        <v>176</v>
      </c>
      <c r="BH176" s="18">
        <f t="shared" si="69"/>
        <v>0</v>
      </c>
      <c r="BI176" s="18">
        <f t="shared" si="70"/>
        <v>0</v>
      </c>
      <c r="BJ176" s="18">
        <f t="shared" si="71"/>
        <v>0</v>
      </c>
    </row>
    <row r="177" spans="1:62" x14ac:dyDescent="0.2">
      <c r="A177" s="5" t="s">
        <v>129</v>
      </c>
      <c r="B177" s="5" t="s">
        <v>492</v>
      </c>
      <c r="C177" s="135" t="s">
        <v>857</v>
      </c>
      <c r="D177" s="136"/>
      <c r="E177" s="136"/>
      <c r="F177" s="5" t="s">
        <v>1103</v>
      </c>
      <c r="G177" s="18">
        <v>68</v>
      </c>
      <c r="H177" s="79">
        <v>0</v>
      </c>
      <c r="I177" s="18">
        <f t="shared" si="48"/>
        <v>0</v>
      </c>
      <c r="J177" s="18">
        <f t="shared" si="49"/>
        <v>0</v>
      </c>
      <c r="K177" s="18">
        <f t="shared" si="50"/>
        <v>0</v>
      </c>
      <c r="L177" s="29" t="s">
        <v>1127</v>
      </c>
      <c r="Z177" s="34">
        <f t="shared" si="51"/>
        <v>0</v>
      </c>
      <c r="AB177" s="34">
        <f t="shared" si="52"/>
        <v>0</v>
      </c>
      <c r="AC177" s="34">
        <f t="shared" si="53"/>
        <v>0</v>
      </c>
      <c r="AD177" s="34">
        <f t="shared" si="54"/>
        <v>0</v>
      </c>
      <c r="AE177" s="34">
        <f t="shared" si="55"/>
        <v>0</v>
      </c>
      <c r="AF177" s="34">
        <f t="shared" si="56"/>
        <v>0</v>
      </c>
      <c r="AG177" s="34">
        <f t="shared" si="57"/>
        <v>0</v>
      </c>
      <c r="AH177" s="34">
        <f t="shared" si="58"/>
        <v>0</v>
      </c>
      <c r="AI177" s="28" t="s">
        <v>1137</v>
      </c>
      <c r="AJ177" s="18">
        <f t="shared" si="59"/>
        <v>0</v>
      </c>
      <c r="AK177" s="18">
        <f t="shared" si="60"/>
        <v>0</v>
      </c>
      <c r="AL177" s="18">
        <f t="shared" si="61"/>
        <v>0</v>
      </c>
      <c r="AN177" s="34">
        <v>21</v>
      </c>
      <c r="AO177" s="34">
        <f t="shared" si="62"/>
        <v>0</v>
      </c>
      <c r="AP177" s="34">
        <f t="shared" si="63"/>
        <v>0</v>
      </c>
      <c r="AQ177" s="29" t="s">
        <v>13</v>
      </c>
      <c r="AV177" s="34">
        <f t="shared" si="64"/>
        <v>0</v>
      </c>
      <c r="AW177" s="34">
        <f t="shared" si="65"/>
        <v>0</v>
      </c>
      <c r="AX177" s="34">
        <f t="shared" si="66"/>
        <v>0</v>
      </c>
      <c r="AY177" s="35" t="s">
        <v>1154</v>
      </c>
      <c r="AZ177" s="35" t="s">
        <v>1170</v>
      </c>
      <c r="BA177" s="28" t="s">
        <v>1176</v>
      </c>
      <c r="BC177" s="34">
        <f t="shared" si="67"/>
        <v>0</v>
      </c>
      <c r="BD177" s="34">
        <f t="shared" si="68"/>
        <v>0</v>
      </c>
      <c r="BE177" s="34">
        <v>0</v>
      </c>
      <c r="BF177" s="34">
        <f>177</f>
        <v>177</v>
      </c>
      <c r="BH177" s="18">
        <f t="shared" si="69"/>
        <v>0</v>
      </c>
      <c r="BI177" s="18">
        <f t="shared" si="70"/>
        <v>0</v>
      </c>
      <c r="BJ177" s="18">
        <f t="shared" si="71"/>
        <v>0</v>
      </c>
    </row>
    <row r="178" spans="1:62" x14ac:dyDescent="0.2">
      <c r="A178" s="5" t="s">
        <v>130</v>
      </c>
      <c r="B178" s="5" t="s">
        <v>493</v>
      </c>
      <c r="C178" s="135" t="s">
        <v>858</v>
      </c>
      <c r="D178" s="136"/>
      <c r="E178" s="136"/>
      <c r="F178" s="5" t="s">
        <v>1103</v>
      </c>
      <c r="G178" s="18">
        <v>44</v>
      </c>
      <c r="H178" s="79">
        <v>0</v>
      </c>
      <c r="I178" s="18">
        <f t="shared" si="48"/>
        <v>0</v>
      </c>
      <c r="J178" s="18">
        <f t="shared" si="49"/>
        <v>0</v>
      </c>
      <c r="K178" s="18">
        <f t="shared" si="50"/>
        <v>0</v>
      </c>
      <c r="L178" s="29" t="s">
        <v>1127</v>
      </c>
      <c r="Z178" s="34">
        <f t="shared" si="51"/>
        <v>0</v>
      </c>
      <c r="AB178" s="34">
        <f t="shared" si="52"/>
        <v>0</v>
      </c>
      <c r="AC178" s="34">
        <f t="shared" si="53"/>
        <v>0</v>
      </c>
      <c r="AD178" s="34">
        <f t="shared" si="54"/>
        <v>0</v>
      </c>
      <c r="AE178" s="34">
        <f t="shared" si="55"/>
        <v>0</v>
      </c>
      <c r="AF178" s="34">
        <f t="shared" si="56"/>
        <v>0</v>
      </c>
      <c r="AG178" s="34">
        <f t="shared" si="57"/>
        <v>0</v>
      </c>
      <c r="AH178" s="34">
        <f t="shared" si="58"/>
        <v>0</v>
      </c>
      <c r="AI178" s="28" t="s">
        <v>1137</v>
      </c>
      <c r="AJ178" s="18">
        <f t="shared" si="59"/>
        <v>0</v>
      </c>
      <c r="AK178" s="18">
        <f t="shared" si="60"/>
        <v>0</v>
      </c>
      <c r="AL178" s="18">
        <f t="shared" si="61"/>
        <v>0</v>
      </c>
      <c r="AN178" s="34">
        <v>21</v>
      </c>
      <c r="AO178" s="34">
        <f t="shared" si="62"/>
        <v>0</v>
      </c>
      <c r="AP178" s="34">
        <f t="shared" si="63"/>
        <v>0</v>
      </c>
      <c r="AQ178" s="29" t="s">
        <v>13</v>
      </c>
      <c r="AV178" s="34">
        <f t="shared" si="64"/>
        <v>0</v>
      </c>
      <c r="AW178" s="34">
        <f t="shared" si="65"/>
        <v>0</v>
      </c>
      <c r="AX178" s="34">
        <f t="shared" si="66"/>
        <v>0</v>
      </c>
      <c r="AY178" s="35" t="s">
        <v>1154</v>
      </c>
      <c r="AZ178" s="35" t="s">
        <v>1170</v>
      </c>
      <c r="BA178" s="28" t="s">
        <v>1176</v>
      </c>
      <c r="BC178" s="34">
        <f t="shared" si="67"/>
        <v>0</v>
      </c>
      <c r="BD178" s="34">
        <f t="shared" si="68"/>
        <v>0</v>
      </c>
      <c r="BE178" s="34">
        <v>0</v>
      </c>
      <c r="BF178" s="34">
        <f>178</f>
        <v>178</v>
      </c>
      <c r="BH178" s="18">
        <f t="shared" si="69"/>
        <v>0</v>
      </c>
      <c r="BI178" s="18">
        <f t="shared" si="70"/>
        <v>0</v>
      </c>
      <c r="BJ178" s="18">
        <f t="shared" si="71"/>
        <v>0</v>
      </c>
    </row>
    <row r="179" spans="1:62" x14ac:dyDescent="0.2">
      <c r="A179" s="5" t="s">
        <v>131</v>
      </c>
      <c r="B179" s="5" t="s">
        <v>494</v>
      </c>
      <c r="C179" s="135" t="s">
        <v>859</v>
      </c>
      <c r="D179" s="136"/>
      <c r="E179" s="136"/>
      <c r="F179" s="5" t="s">
        <v>1103</v>
      </c>
      <c r="G179" s="18">
        <v>2</v>
      </c>
      <c r="H179" s="79">
        <v>0</v>
      </c>
      <c r="I179" s="18">
        <f t="shared" si="48"/>
        <v>0</v>
      </c>
      <c r="J179" s="18">
        <f t="shared" si="49"/>
        <v>0</v>
      </c>
      <c r="K179" s="18">
        <f t="shared" si="50"/>
        <v>0</v>
      </c>
      <c r="L179" s="29" t="s">
        <v>1127</v>
      </c>
      <c r="Z179" s="34">
        <f t="shared" si="51"/>
        <v>0</v>
      </c>
      <c r="AB179" s="34">
        <f t="shared" si="52"/>
        <v>0</v>
      </c>
      <c r="AC179" s="34">
        <f t="shared" si="53"/>
        <v>0</v>
      </c>
      <c r="AD179" s="34">
        <f t="shared" si="54"/>
        <v>0</v>
      </c>
      <c r="AE179" s="34">
        <f t="shared" si="55"/>
        <v>0</v>
      </c>
      <c r="AF179" s="34">
        <f t="shared" si="56"/>
        <v>0</v>
      </c>
      <c r="AG179" s="34">
        <f t="shared" si="57"/>
        <v>0</v>
      </c>
      <c r="AH179" s="34">
        <f t="shared" si="58"/>
        <v>0</v>
      </c>
      <c r="AI179" s="28" t="s">
        <v>1137</v>
      </c>
      <c r="AJ179" s="18">
        <f t="shared" si="59"/>
        <v>0</v>
      </c>
      <c r="AK179" s="18">
        <f t="shared" si="60"/>
        <v>0</v>
      </c>
      <c r="AL179" s="18">
        <f t="shared" si="61"/>
        <v>0</v>
      </c>
      <c r="AN179" s="34">
        <v>21</v>
      </c>
      <c r="AO179" s="34">
        <f t="shared" si="62"/>
        <v>0</v>
      </c>
      <c r="AP179" s="34">
        <f t="shared" si="63"/>
        <v>0</v>
      </c>
      <c r="AQ179" s="29" t="s">
        <v>13</v>
      </c>
      <c r="AV179" s="34">
        <f t="shared" si="64"/>
        <v>0</v>
      </c>
      <c r="AW179" s="34">
        <f t="shared" si="65"/>
        <v>0</v>
      </c>
      <c r="AX179" s="34">
        <f t="shared" si="66"/>
        <v>0</v>
      </c>
      <c r="AY179" s="35" t="s">
        <v>1154</v>
      </c>
      <c r="AZ179" s="35" t="s">
        <v>1170</v>
      </c>
      <c r="BA179" s="28" t="s">
        <v>1176</v>
      </c>
      <c r="BC179" s="34">
        <f t="shared" si="67"/>
        <v>0</v>
      </c>
      <c r="BD179" s="34">
        <f t="shared" si="68"/>
        <v>0</v>
      </c>
      <c r="BE179" s="34">
        <v>0</v>
      </c>
      <c r="BF179" s="34">
        <f>179</f>
        <v>179</v>
      </c>
      <c r="BH179" s="18">
        <f t="shared" si="69"/>
        <v>0</v>
      </c>
      <c r="BI179" s="18">
        <f t="shared" si="70"/>
        <v>0</v>
      </c>
      <c r="BJ179" s="18">
        <f t="shared" si="71"/>
        <v>0</v>
      </c>
    </row>
    <row r="180" spans="1:62" x14ac:dyDescent="0.2">
      <c r="A180" s="5" t="s">
        <v>132</v>
      </c>
      <c r="B180" s="5" t="s">
        <v>495</v>
      </c>
      <c r="C180" s="135" t="s">
        <v>860</v>
      </c>
      <c r="D180" s="136"/>
      <c r="E180" s="136"/>
      <c r="F180" s="5" t="s">
        <v>1103</v>
      </c>
      <c r="G180" s="18">
        <v>4</v>
      </c>
      <c r="H180" s="79">
        <v>0</v>
      </c>
      <c r="I180" s="18">
        <f t="shared" si="48"/>
        <v>0</v>
      </c>
      <c r="J180" s="18">
        <f t="shared" si="49"/>
        <v>0</v>
      </c>
      <c r="K180" s="18">
        <f t="shared" si="50"/>
        <v>0</v>
      </c>
      <c r="L180" s="29" t="s">
        <v>1127</v>
      </c>
      <c r="Z180" s="34">
        <f t="shared" si="51"/>
        <v>0</v>
      </c>
      <c r="AB180" s="34">
        <f t="shared" si="52"/>
        <v>0</v>
      </c>
      <c r="AC180" s="34">
        <f t="shared" si="53"/>
        <v>0</v>
      </c>
      <c r="AD180" s="34">
        <f t="shared" si="54"/>
        <v>0</v>
      </c>
      <c r="AE180" s="34">
        <f t="shared" si="55"/>
        <v>0</v>
      </c>
      <c r="AF180" s="34">
        <f t="shared" si="56"/>
        <v>0</v>
      </c>
      <c r="AG180" s="34">
        <f t="shared" si="57"/>
        <v>0</v>
      </c>
      <c r="AH180" s="34">
        <f t="shared" si="58"/>
        <v>0</v>
      </c>
      <c r="AI180" s="28" t="s">
        <v>1137</v>
      </c>
      <c r="AJ180" s="18">
        <f t="shared" si="59"/>
        <v>0</v>
      </c>
      <c r="AK180" s="18">
        <f t="shared" si="60"/>
        <v>0</v>
      </c>
      <c r="AL180" s="18">
        <f t="shared" si="61"/>
        <v>0</v>
      </c>
      <c r="AN180" s="34">
        <v>21</v>
      </c>
      <c r="AO180" s="34">
        <f t="shared" si="62"/>
        <v>0</v>
      </c>
      <c r="AP180" s="34">
        <f t="shared" si="63"/>
        <v>0</v>
      </c>
      <c r="AQ180" s="29" t="s">
        <v>13</v>
      </c>
      <c r="AV180" s="34">
        <f t="shared" si="64"/>
        <v>0</v>
      </c>
      <c r="AW180" s="34">
        <f t="shared" si="65"/>
        <v>0</v>
      </c>
      <c r="AX180" s="34">
        <f t="shared" si="66"/>
        <v>0</v>
      </c>
      <c r="AY180" s="35" t="s">
        <v>1154</v>
      </c>
      <c r="AZ180" s="35" t="s">
        <v>1170</v>
      </c>
      <c r="BA180" s="28" t="s">
        <v>1176</v>
      </c>
      <c r="BC180" s="34">
        <f t="shared" si="67"/>
        <v>0</v>
      </c>
      <c r="BD180" s="34">
        <f t="shared" si="68"/>
        <v>0</v>
      </c>
      <c r="BE180" s="34">
        <v>0</v>
      </c>
      <c r="BF180" s="34">
        <f>180</f>
        <v>180</v>
      </c>
      <c r="BH180" s="18">
        <f t="shared" si="69"/>
        <v>0</v>
      </c>
      <c r="BI180" s="18">
        <f t="shared" si="70"/>
        <v>0</v>
      </c>
      <c r="BJ180" s="18">
        <f t="shared" si="71"/>
        <v>0</v>
      </c>
    </row>
    <row r="181" spans="1:62" x14ac:dyDescent="0.2">
      <c r="A181" s="5" t="s">
        <v>133</v>
      </c>
      <c r="B181" s="5" t="s">
        <v>496</v>
      </c>
      <c r="C181" s="135" t="s">
        <v>861</v>
      </c>
      <c r="D181" s="136"/>
      <c r="E181" s="136"/>
      <c r="F181" s="5" t="s">
        <v>1103</v>
      </c>
      <c r="G181" s="18">
        <v>2</v>
      </c>
      <c r="H181" s="79">
        <v>0</v>
      </c>
      <c r="I181" s="18">
        <f t="shared" si="48"/>
        <v>0</v>
      </c>
      <c r="J181" s="18">
        <f t="shared" si="49"/>
        <v>0</v>
      </c>
      <c r="K181" s="18">
        <f t="shared" si="50"/>
        <v>0</v>
      </c>
      <c r="L181" s="29" t="s">
        <v>1127</v>
      </c>
      <c r="Z181" s="34">
        <f t="shared" si="51"/>
        <v>0</v>
      </c>
      <c r="AB181" s="34">
        <f t="shared" si="52"/>
        <v>0</v>
      </c>
      <c r="AC181" s="34">
        <f t="shared" si="53"/>
        <v>0</v>
      </c>
      <c r="AD181" s="34">
        <f t="shared" si="54"/>
        <v>0</v>
      </c>
      <c r="AE181" s="34">
        <f t="shared" si="55"/>
        <v>0</v>
      </c>
      <c r="AF181" s="34">
        <f t="shared" si="56"/>
        <v>0</v>
      </c>
      <c r="AG181" s="34">
        <f t="shared" si="57"/>
        <v>0</v>
      </c>
      <c r="AH181" s="34">
        <f t="shared" si="58"/>
        <v>0</v>
      </c>
      <c r="AI181" s="28" t="s">
        <v>1137</v>
      </c>
      <c r="AJ181" s="18">
        <f t="shared" si="59"/>
        <v>0</v>
      </c>
      <c r="AK181" s="18">
        <f t="shared" si="60"/>
        <v>0</v>
      </c>
      <c r="AL181" s="18">
        <f t="shared" si="61"/>
        <v>0</v>
      </c>
      <c r="AN181" s="34">
        <v>21</v>
      </c>
      <c r="AO181" s="34">
        <f t="shared" si="62"/>
        <v>0</v>
      </c>
      <c r="AP181" s="34">
        <f t="shared" si="63"/>
        <v>0</v>
      </c>
      <c r="AQ181" s="29" t="s">
        <v>13</v>
      </c>
      <c r="AV181" s="34">
        <f t="shared" si="64"/>
        <v>0</v>
      </c>
      <c r="AW181" s="34">
        <f t="shared" si="65"/>
        <v>0</v>
      </c>
      <c r="AX181" s="34">
        <f t="shared" si="66"/>
        <v>0</v>
      </c>
      <c r="AY181" s="35" t="s">
        <v>1154</v>
      </c>
      <c r="AZ181" s="35" t="s">
        <v>1170</v>
      </c>
      <c r="BA181" s="28" t="s">
        <v>1176</v>
      </c>
      <c r="BC181" s="34">
        <f t="shared" si="67"/>
        <v>0</v>
      </c>
      <c r="BD181" s="34">
        <f t="shared" si="68"/>
        <v>0</v>
      </c>
      <c r="BE181" s="34">
        <v>0</v>
      </c>
      <c r="BF181" s="34">
        <f>181</f>
        <v>181</v>
      </c>
      <c r="BH181" s="18">
        <f t="shared" si="69"/>
        <v>0</v>
      </c>
      <c r="BI181" s="18">
        <f t="shared" si="70"/>
        <v>0</v>
      </c>
      <c r="BJ181" s="18">
        <f t="shared" si="71"/>
        <v>0</v>
      </c>
    </row>
    <row r="182" spans="1:62" x14ac:dyDescent="0.2">
      <c r="A182" s="5" t="s">
        <v>134</v>
      </c>
      <c r="B182" s="5" t="s">
        <v>497</v>
      </c>
      <c r="C182" s="135" t="s">
        <v>862</v>
      </c>
      <c r="D182" s="136"/>
      <c r="E182" s="136"/>
      <c r="F182" s="5" t="s">
        <v>1103</v>
      </c>
      <c r="G182" s="18">
        <v>2</v>
      </c>
      <c r="H182" s="79">
        <v>0</v>
      </c>
      <c r="I182" s="18">
        <f t="shared" ref="I182:I199" si="72">G182*AO182</f>
        <v>0</v>
      </c>
      <c r="J182" s="18">
        <f t="shared" ref="J182:J199" si="73">G182*AP182</f>
        <v>0</v>
      </c>
      <c r="K182" s="18">
        <f t="shared" ref="K182:K199" si="74">G182*H182</f>
        <v>0</v>
      </c>
      <c r="L182" s="29" t="s">
        <v>1127</v>
      </c>
      <c r="Z182" s="34">
        <f t="shared" ref="Z182:Z199" si="75">IF(AQ182="5",BJ182,0)</f>
        <v>0</v>
      </c>
      <c r="AB182" s="34">
        <f t="shared" ref="AB182:AB199" si="76">IF(AQ182="1",BH182,0)</f>
        <v>0</v>
      </c>
      <c r="AC182" s="34">
        <f t="shared" ref="AC182:AC199" si="77">IF(AQ182="1",BI182,0)</f>
        <v>0</v>
      </c>
      <c r="AD182" s="34">
        <f t="shared" ref="AD182:AD199" si="78">IF(AQ182="7",BH182,0)</f>
        <v>0</v>
      </c>
      <c r="AE182" s="34">
        <f t="shared" ref="AE182:AE199" si="79">IF(AQ182="7",BI182,0)</f>
        <v>0</v>
      </c>
      <c r="AF182" s="34">
        <f t="shared" ref="AF182:AF199" si="80">IF(AQ182="2",BH182,0)</f>
        <v>0</v>
      </c>
      <c r="AG182" s="34">
        <f t="shared" ref="AG182:AG199" si="81">IF(AQ182="2",BI182,0)</f>
        <v>0</v>
      </c>
      <c r="AH182" s="34">
        <f t="shared" ref="AH182:AH199" si="82">IF(AQ182="0",BJ182,0)</f>
        <v>0</v>
      </c>
      <c r="AI182" s="28" t="s">
        <v>1137</v>
      </c>
      <c r="AJ182" s="18">
        <f t="shared" ref="AJ182:AJ199" si="83">IF(AN182=0,K182,0)</f>
        <v>0</v>
      </c>
      <c r="AK182" s="18">
        <f t="shared" ref="AK182:AK199" si="84">IF(AN182=15,K182,0)</f>
        <v>0</v>
      </c>
      <c r="AL182" s="18">
        <f t="shared" ref="AL182:AL199" si="85">IF(AN182=21,K182,0)</f>
        <v>0</v>
      </c>
      <c r="AN182" s="34">
        <v>21</v>
      </c>
      <c r="AO182" s="34">
        <f t="shared" ref="AO182:AO199" si="86">H182*0</f>
        <v>0</v>
      </c>
      <c r="AP182" s="34">
        <f t="shared" ref="AP182:AP199" si="87">H182*(1-0)</f>
        <v>0</v>
      </c>
      <c r="AQ182" s="29" t="s">
        <v>13</v>
      </c>
      <c r="AV182" s="34">
        <f t="shared" ref="AV182:AV199" si="88">AW182+AX182</f>
        <v>0</v>
      </c>
      <c r="AW182" s="34">
        <f t="shared" ref="AW182:AW199" si="89">G182*AO182</f>
        <v>0</v>
      </c>
      <c r="AX182" s="34">
        <f t="shared" ref="AX182:AX199" si="90">G182*AP182</f>
        <v>0</v>
      </c>
      <c r="AY182" s="35" t="s">
        <v>1154</v>
      </c>
      <c r="AZ182" s="35" t="s">
        <v>1170</v>
      </c>
      <c r="BA182" s="28" t="s">
        <v>1176</v>
      </c>
      <c r="BC182" s="34">
        <f t="shared" ref="BC182:BC199" si="91">AW182+AX182</f>
        <v>0</v>
      </c>
      <c r="BD182" s="34">
        <f t="shared" ref="BD182:BD199" si="92">H182/(100-BE182)*100</f>
        <v>0</v>
      </c>
      <c r="BE182" s="34">
        <v>0</v>
      </c>
      <c r="BF182" s="34">
        <f>182</f>
        <v>182</v>
      </c>
      <c r="BH182" s="18">
        <f t="shared" ref="BH182:BH199" si="93">G182*AO182</f>
        <v>0</v>
      </c>
      <c r="BI182" s="18">
        <f t="shared" ref="BI182:BI199" si="94">G182*AP182</f>
        <v>0</v>
      </c>
      <c r="BJ182" s="18">
        <f t="shared" ref="BJ182:BJ199" si="95">G182*H182</f>
        <v>0</v>
      </c>
    </row>
    <row r="183" spans="1:62" x14ac:dyDescent="0.2">
      <c r="A183" s="5" t="s">
        <v>135</v>
      </c>
      <c r="B183" s="5" t="s">
        <v>498</v>
      </c>
      <c r="C183" s="135" t="s">
        <v>863</v>
      </c>
      <c r="D183" s="136"/>
      <c r="E183" s="136"/>
      <c r="F183" s="5" t="s">
        <v>1103</v>
      </c>
      <c r="G183" s="18">
        <v>2</v>
      </c>
      <c r="H183" s="79">
        <v>0</v>
      </c>
      <c r="I183" s="18">
        <f t="shared" si="72"/>
        <v>0</v>
      </c>
      <c r="J183" s="18">
        <f t="shared" si="73"/>
        <v>0</v>
      </c>
      <c r="K183" s="18">
        <f t="shared" si="74"/>
        <v>0</v>
      </c>
      <c r="L183" s="29" t="s">
        <v>1127</v>
      </c>
      <c r="Z183" s="34">
        <f t="shared" si="75"/>
        <v>0</v>
      </c>
      <c r="AB183" s="34">
        <f t="shared" si="76"/>
        <v>0</v>
      </c>
      <c r="AC183" s="34">
        <f t="shared" si="77"/>
        <v>0</v>
      </c>
      <c r="AD183" s="34">
        <f t="shared" si="78"/>
        <v>0</v>
      </c>
      <c r="AE183" s="34">
        <f t="shared" si="79"/>
        <v>0</v>
      </c>
      <c r="AF183" s="34">
        <f t="shared" si="80"/>
        <v>0</v>
      </c>
      <c r="AG183" s="34">
        <f t="shared" si="81"/>
        <v>0</v>
      </c>
      <c r="AH183" s="34">
        <f t="shared" si="82"/>
        <v>0</v>
      </c>
      <c r="AI183" s="28" t="s">
        <v>1137</v>
      </c>
      <c r="AJ183" s="18">
        <f t="shared" si="83"/>
        <v>0</v>
      </c>
      <c r="AK183" s="18">
        <f t="shared" si="84"/>
        <v>0</v>
      </c>
      <c r="AL183" s="18">
        <f t="shared" si="85"/>
        <v>0</v>
      </c>
      <c r="AN183" s="34">
        <v>21</v>
      </c>
      <c r="AO183" s="34">
        <f t="shared" si="86"/>
        <v>0</v>
      </c>
      <c r="AP183" s="34">
        <f t="shared" si="87"/>
        <v>0</v>
      </c>
      <c r="AQ183" s="29" t="s">
        <v>13</v>
      </c>
      <c r="AV183" s="34">
        <f t="shared" si="88"/>
        <v>0</v>
      </c>
      <c r="AW183" s="34">
        <f t="shared" si="89"/>
        <v>0</v>
      </c>
      <c r="AX183" s="34">
        <f t="shared" si="90"/>
        <v>0</v>
      </c>
      <c r="AY183" s="35" t="s">
        <v>1154</v>
      </c>
      <c r="AZ183" s="35" t="s">
        <v>1170</v>
      </c>
      <c r="BA183" s="28" t="s">
        <v>1176</v>
      </c>
      <c r="BC183" s="34">
        <f t="shared" si="91"/>
        <v>0</v>
      </c>
      <c r="BD183" s="34">
        <f t="shared" si="92"/>
        <v>0</v>
      </c>
      <c r="BE183" s="34">
        <v>0</v>
      </c>
      <c r="BF183" s="34">
        <f>183</f>
        <v>183</v>
      </c>
      <c r="BH183" s="18">
        <f t="shared" si="93"/>
        <v>0</v>
      </c>
      <c r="BI183" s="18">
        <f t="shared" si="94"/>
        <v>0</v>
      </c>
      <c r="BJ183" s="18">
        <f t="shared" si="95"/>
        <v>0</v>
      </c>
    </row>
    <row r="184" spans="1:62" x14ac:dyDescent="0.2">
      <c r="A184" s="5" t="s">
        <v>136</v>
      </c>
      <c r="B184" s="5" t="s">
        <v>499</v>
      </c>
      <c r="C184" s="135" t="s">
        <v>798</v>
      </c>
      <c r="D184" s="136"/>
      <c r="E184" s="136"/>
      <c r="F184" s="5" t="s">
        <v>1103</v>
      </c>
      <c r="G184" s="18">
        <v>6</v>
      </c>
      <c r="H184" s="79">
        <v>0</v>
      </c>
      <c r="I184" s="18">
        <f t="shared" si="72"/>
        <v>0</v>
      </c>
      <c r="J184" s="18">
        <f t="shared" si="73"/>
        <v>0</v>
      </c>
      <c r="K184" s="18">
        <f t="shared" si="74"/>
        <v>0</v>
      </c>
      <c r="L184" s="29" t="s">
        <v>1127</v>
      </c>
      <c r="Z184" s="34">
        <f t="shared" si="75"/>
        <v>0</v>
      </c>
      <c r="AB184" s="34">
        <f t="shared" si="76"/>
        <v>0</v>
      </c>
      <c r="AC184" s="34">
        <f t="shared" si="77"/>
        <v>0</v>
      </c>
      <c r="AD184" s="34">
        <f t="shared" si="78"/>
        <v>0</v>
      </c>
      <c r="AE184" s="34">
        <f t="shared" si="79"/>
        <v>0</v>
      </c>
      <c r="AF184" s="34">
        <f t="shared" si="80"/>
        <v>0</v>
      </c>
      <c r="AG184" s="34">
        <f t="shared" si="81"/>
        <v>0</v>
      </c>
      <c r="AH184" s="34">
        <f t="shared" si="82"/>
        <v>0</v>
      </c>
      <c r="AI184" s="28" t="s">
        <v>1137</v>
      </c>
      <c r="AJ184" s="18">
        <f t="shared" si="83"/>
        <v>0</v>
      </c>
      <c r="AK184" s="18">
        <f t="shared" si="84"/>
        <v>0</v>
      </c>
      <c r="AL184" s="18">
        <f t="shared" si="85"/>
        <v>0</v>
      </c>
      <c r="AN184" s="34">
        <v>21</v>
      </c>
      <c r="AO184" s="34">
        <f t="shared" si="86"/>
        <v>0</v>
      </c>
      <c r="AP184" s="34">
        <f t="shared" si="87"/>
        <v>0</v>
      </c>
      <c r="AQ184" s="29" t="s">
        <v>13</v>
      </c>
      <c r="AV184" s="34">
        <f t="shared" si="88"/>
        <v>0</v>
      </c>
      <c r="AW184" s="34">
        <f t="shared" si="89"/>
        <v>0</v>
      </c>
      <c r="AX184" s="34">
        <f t="shared" si="90"/>
        <v>0</v>
      </c>
      <c r="AY184" s="35" t="s">
        <v>1154</v>
      </c>
      <c r="AZ184" s="35" t="s">
        <v>1170</v>
      </c>
      <c r="BA184" s="28" t="s">
        <v>1176</v>
      </c>
      <c r="BC184" s="34">
        <f t="shared" si="91"/>
        <v>0</v>
      </c>
      <c r="BD184" s="34">
        <f t="shared" si="92"/>
        <v>0</v>
      </c>
      <c r="BE184" s="34">
        <v>0</v>
      </c>
      <c r="BF184" s="34">
        <f>184</f>
        <v>184</v>
      </c>
      <c r="BH184" s="18">
        <f t="shared" si="93"/>
        <v>0</v>
      </c>
      <c r="BI184" s="18">
        <f t="shared" si="94"/>
        <v>0</v>
      </c>
      <c r="BJ184" s="18">
        <f t="shared" si="95"/>
        <v>0</v>
      </c>
    </row>
    <row r="185" spans="1:62" x14ac:dyDescent="0.2">
      <c r="A185" s="5" t="s">
        <v>137</v>
      </c>
      <c r="B185" s="5" t="s">
        <v>500</v>
      </c>
      <c r="C185" s="135" t="s">
        <v>864</v>
      </c>
      <c r="D185" s="136"/>
      <c r="E185" s="136"/>
      <c r="F185" s="5" t="s">
        <v>1101</v>
      </c>
      <c r="G185" s="18">
        <v>101</v>
      </c>
      <c r="H185" s="79">
        <v>0</v>
      </c>
      <c r="I185" s="18">
        <f t="shared" si="72"/>
        <v>0</v>
      </c>
      <c r="J185" s="18">
        <f t="shared" si="73"/>
        <v>0</v>
      </c>
      <c r="K185" s="18">
        <f t="shared" si="74"/>
        <v>0</v>
      </c>
      <c r="L185" s="29" t="s">
        <v>1127</v>
      </c>
      <c r="Z185" s="34">
        <f t="shared" si="75"/>
        <v>0</v>
      </c>
      <c r="AB185" s="34">
        <f t="shared" si="76"/>
        <v>0</v>
      </c>
      <c r="AC185" s="34">
        <f t="shared" si="77"/>
        <v>0</v>
      </c>
      <c r="AD185" s="34">
        <f t="shared" si="78"/>
        <v>0</v>
      </c>
      <c r="AE185" s="34">
        <f t="shared" si="79"/>
        <v>0</v>
      </c>
      <c r="AF185" s="34">
        <f t="shared" si="80"/>
        <v>0</v>
      </c>
      <c r="AG185" s="34">
        <f t="shared" si="81"/>
        <v>0</v>
      </c>
      <c r="AH185" s="34">
        <f t="shared" si="82"/>
        <v>0</v>
      </c>
      <c r="AI185" s="28" t="s">
        <v>1137</v>
      </c>
      <c r="AJ185" s="18">
        <f t="shared" si="83"/>
        <v>0</v>
      </c>
      <c r="AK185" s="18">
        <f t="shared" si="84"/>
        <v>0</v>
      </c>
      <c r="AL185" s="18">
        <f t="shared" si="85"/>
        <v>0</v>
      </c>
      <c r="AN185" s="34">
        <v>21</v>
      </c>
      <c r="AO185" s="34">
        <f t="shared" si="86"/>
        <v>0</v>
      </c>
      <c r="AP185" s="34">
        <f t="shared" si="87"/>
        <v>0</v>
      </c>
      <c r="AQ185" s="29" t="s">
        <v>13</v>
      </c>
      <c r="AV185" s="34">
        <f t="shared" si="88"/>
        <v>0</v>
      </c>
      <c r="AW185" s="34">
        <f t="shared" si="89"/>
        <v>0</v>
      </c>
      <c r="AX185" s="34">
        <f t="shared" si="90"/>
        <v>0</v>
      </c>
      <c r="AY185" s="35" t="s">
        <v>1154</v>
      </c>
      <c r="AZ185" s="35" t="s">
        <v>1170</v>
      </c>
      <c r="BA185" s="28" t="s">
        <v>1176</v>
      </c>
      <c r="BC185" s="34">
        <f t="shared" si="91"/>
        <v>0</v>
      </c>
      <c r="BD185" s="34">
        <f t="shared" si="92"/>
        <v>0</v>
      </c>
      <c r="BE185" s="34">
        <v>0</v>
      </c>
      <c r="BF185" s="34">
        <f>185</f>
        <v>185</v>
      </c>
      <c r="BH185" s="18">
        <f t="shared" si="93"/>
        <v>0</v>
      </c>
      <c r="BI185" s="18">
        <f t="shared" si="94"/>
        <v>0</v>
      </c>
      <c r="BJ185" s="18">
        <f t="shared" si="95"/>
        <v>0</v>
      </c>
    </row>
    <row r="186" spans="1:62" x14ac:dyDescent="0.2">
      <c r="A186" s="5" t="s">
        <v>138</v>
      </c>
      <c r="B186" s="5" t="s">
        <v>501</v>
      </c>
      <c r="C186" s="135" t="s">
        <v>865</v>
      </c>
      <c r="D186" s="136"/>
      <c r="E186" s="136"/>
      <c r="F186" s="5" t="s">
        <v>1101</v>
      </c>
      <c r="G186" s="18">
        <v>30.5</v>
      </c>
      <c r="H186" s="79">
        <v>0</v>
      </c>
      <c r="I186" s="18">
        <f t="shared" si="72"/>
        <v>0</v>
      </c>
      <c r="J186" s="18">
        <f t="shared" si="73"/>
        <v>0</v>
      </c>
      <c r="K186" s="18">
        <f t="shared" si="74"/>
        <v>0</v>
      </c>
      <c r="L186" s="29" t="s">
        <v>1127</v>
      </c>
      <c r="Z186" s="34">
        <f t="shared" si="75"/>
        <v>0</v>
      </c>
      <c r="AB186" s="34">
        <f t="shared" si="76"/>
        <v>0</v>
      </c>
      <c r="AC186" s="34">
        <f t="shared" si="77"/>
        <v>0</v>
      </c>
      <c r="AD186" s="34">
        <f t="shared" si="78"/>
        <v>0</v>
      </c>
      <c r="AE186" s="34">
        <f t="shared" si="79"/>
        <v>0</v>
      </c>
      <c r="AF186" s="34">
        <f t="shared" si="80"/>
        <v>0</v>
      </c>
      <c r="AG186" s="34">
        <f t="shared" si="81"/>
        <v>0</v>
      </c>
      <c r="AH186" s="34">
        <f t="shared" si="82"/>
        <v>0</v>
      </c>
      <c r="AI186" s="28" t="s">
        <v>1137</v>
      </c>
      <c r="AJ186" s="18">
        <f t="shared" si="83"/>
        <v>0</v>
      </c>
      <c r="AK186" s="18">
        <f t="shared" si="84"/>
        <v>0</v>
      </c>
      <c r="AL186" s="18">
        <f t="shared" si="85"/>
        <v>0</v>
      </c>
      <c r="AN186" s="34">
        <v>21</v>
      </c>
      <c r="AO186" s="34">
        <f t="shared" si="86"/>
        <v>0</v>
      </c>
      <c r="AP186" s="34">
        <f t="shared" si="87"/>
        <v>0</v>
      </c>
      <c r="AQ186" s="29" t="s">
        <v>13</v>
      </c>
      <c r="AV186" s="34">
        <f t="shared" si="88"/>
        <v>0</v>
      </c>
      <c r="AW186" s="34">
        <f t="shared" si="89"/>
        <v>0</v>
      </c>
      <c r="AX186" s="34">
        <f t="shared" si="90"/>
        <v>0</v>
      </c>
      <c r="AY186" s="35" t="s">
        <v>1154</v>
      </c>
      <c r="AZ186" s="35" t="s">
        <v>1170</v>
      </c>
      <c r="BA186" s="28" t="s">
        <v>1176</v>
      </c>
      <c r="BC186" s="34">
        <f t="shared" si="91"/>
        <v>0</v>
      </c>
      <c r="BD186" s="34">
        <f t="shared" si="92"/>
        <v>0</v>
      </c>
      <c r="BE186" s="34">
        <v>0</v>
      </c>
      <c r="BF186" s="34">
        <f>186</f>
        <v>186</v>
      </c>
      <c r="BH186" s="18">
        <f t="shared" si="93"/>
        <v>0</v>
      </c>
      <c r="BI186" s="18">
        <f t="shared" si="94"/>
        <v>0</v>
      </c>
      <c r="BJ186" s="18">
        <f t="shared" si="95"/>
        <v>0</v>
      </c>
    </row>
    <row r="187" spans="1:62" x14ac:dyDescent="0.2">
      <c r="A187" s="5" t="s">
        <v>139</v>
      </c>
      <c r="B187" s="5" t="s">
        <v>502</v>
      </c>
      <c r="C187" s="135" t="s">
        <v>866</v>
      </c>
      <c r="D187" s="136"/>
      <c r="E187" s="136"/>
      <c r="F187" s="5" t="s">
        <v>1103</v>
      </c>
      <c r="G187" s="18">
        <v>2</v>
      </c>
      <c r="H187" s="79">
        <v>0</v>
      </c>
      <c r="I187" s="18">
        <f t="shared" si="72"/>
        <v>0</v>
      </c>
      <c r="J187" s="18">
        <f t="shared" si="73"/>
        <v>0</v>
      </c>
      <c r="K187" s="18">
        <f t="shared" si="74"/>
        <v>0</v>
      </c>
      <c r="L187" s="29" t="s">
        <v>1127</v>
      </c>
      <c r="Z187" s="34">
        <f t="shared" si="75"/>
        <v>0</v>
      </c>
      <c r="AB187" s="34">
        <f t="shared" si="76"/>
        <v>0</v>
      </c>
      <c r="AC187" s="34">
        <f t="shared" si="77"/>
        <v>0</v>
      </c>
      <c r="AD187" s="34">
        <f t="shared" si="78"/>
        <v>0</v>
      </c>
      <c r="AE187" s="34">
        <f t="shared" si="79"/>
        <v>0</v>
      </c>
      <c r="AF187" s="34">
        <f t="shared" si="80"/>
        <v>0</v>
      </c>
      <c r="AG187" s="34">
        <f t="shared" si="81"/>
        <v>0</v>
      </c>
      <c r="AH187" s="34">
        <f t="shared" si="82"/>
        <v>0</v>
      </c>
      <c r="AI187" s="28" t="s">
        <v>1137</v>
      </c>
      <c r="AJ187" s="18">
        <f t="shared" si="83"/>
        <v>0</v>
      </c>
      <c r="AK187" s="18">
        <f t="shared" si="84"/>
        <v>0</v>
      </c>
      <c r="AL187" s="18">
        <f t="shared" si="85"/>
        <v>0</v>
      </c>
      <c r="AN187" s="34">
        <v>21</v>
      </c>
      <c r="AO187" s="34">
        <f t="shared" si="86"/>
        <v>0</v>
      </c>
      <c r="AP187" s="34">
        <f t="shared" si="87"/>
        <v>0</v>
      </c>
      <c r="AQ187" s="29" t="s">
        <v>13</v>
      </c>
      <c r="AV187" s="34">
        <f t="shared" si="88"/>
        <v>0</v>
      </c>
      <c r="AW187" s="34">
        <f t="shared" si="89"/>
        <v>0</v>
      </c>
      <c r="AX187" s="34">
        <f t="shared" si="90"/>
        <v>0</v>
      </c>
      <c r="AY187" s="35" t="s">
        <v>1154</v>
      </c>
      <c r="AZ187" s="35" t="s">
        <v>1170</v>
      </c>
      <c r="BA187" s="28" t="s">
        <v>1176</v>
      </c>
      <c r="BC187" s="34">
        <f t="shared" si="91"/>
        <v>0</v>
      </c>
      <c r="BD187" s="34">
        <f t="shared" si="92"/>
        <v>0</v>
      </c>
      <c r="BE187" s="34">
        <v>0</v>
      </c>
      <c r="BF187" s="34">
        <f>187</f>
        <v>187</v>
      </c>
      <c r="BH187" s="18">
        <f t="shared" si="93"/>
        <v>0</v>
      </c>
      <c r="BI187" s="18">
        <f t="shared" si="94"/>
        <v>0</v>
      </c>
      <c r="BJ187" s="18">
        <f t="shared" si="95"/>
        <v>0</v>
      </c>
    </row>
    <row r="188" spans="1:62" x14ac:dyDescent="0.2">
      <c r="A188" s="5" t="s">
        <v>140</v>
      </c>
      <c r="B188" s="5" t="s">
        <v>503</v>
      </c>
      <c r="C188" s="135" t="s">
        <v>867</v>
      </c>
      <c r="D188" s="136"/>
      <c r="E188" s="136"/>
      <c r="F188" s="5" t="s">
        <v>1103</v>
      </c>
      <c r="G188" s="18">
        <v>6</v>
      </c>
      <c r="H188" s="79">
        <v>0</v>
      </c>
      <c r="I188" s="18">
        <f t="shared" si="72"/>
        <v>0</v>
      </c>
      <c r="J188" s="18">
        <f t="shared" si="73"/>
        <v>0</v>
      </c>
      <c r="K188" s="18">
        <f t="shared" si="74"/>
        <v>0</v>
      </c>
      <c r="L188" s="29" t="s">
        <v>1127</v>
      </c>
      <c r="Z188" s="34">
        <f t="shared" si="75"/>
        <v>0</v>
      </c>
      <c r="AB188" s="34">
        <f t="shared" si="76"/>
        <v>0</v>
      </c>
      <c r="AC188" s="34">
        <f t="shared" si="77"/>
        <v>0</v>
      </c>
      <c r="AD188" s="34">
        <f t="shared" si="78"/>
        <v>0</v>
      </c>
      <c r="AE188" s="34">
        <f t="shared" si="79"/>
        <v>0</v>
      </c>
      <c r="AF188" s="34">
        <f t="shared" si="80"/>
        <v>0</v>
      </c>
      <c r="AG188" s="34">
        <f t="shared" si="81"/>
        <v>0</v>
      </c>
      <c r="AH188" s="34">
        <f t="shared" si="82"/>
        <v>0</v>
      </c>
      <c r="AI188" s="28" t="s">
        <v>1137</v>
      </c>
      <c r="AJ188" s="18">
        <f t="shared" si="83"/>
        <v>0</v>
      </c>
      <c r="AK188" s="18">
        <f t="shared" si="84"/>
        <v>0</v>
      </c>
      <c r="AL188" s="18">
        <f t="shared" si="85"/>
        <v>0</v>
      </c>
      <c r="AN188" s="34">
        <v>21</v>
      </c>
      <c r="AO188" s="34">
        <f t="shared" si="86"/>
        <v>0</v>
      </c>
      <c r="AP188" s="34">
        <f t="shared" si="87"/>
        <v>0</v>
      </c>
      <c r="AQ188" s="29" t="s">
        <v>13</v>
      </c>
      <c r="AV188" s="34">
        <f t="shared" si="88"/>
        <v>0</v>
      </c>
      <c r="AW188" s="34">
        <f t="shared" si="89"/>
        <v>0</v>
      </c>
      <c r="AX188" s="34">
        <f t="shared" si="90"/>
        <v>0</v>
      </c>
      <c r="AY188" s="35" t="s">
        <v>1154</v>
      </c>
      <c r="AZ188" s="35" t="s">
        <v>1170</v>
      </c>
      <c r="BA188" s="28" t="s">
        <v>1176</v>
      </c>
      <c r="BC188" s="34">
        <f t="shared" si="91"/>
        <v>0</v>
      </c>
      <c r="BD188" s="34">
        <f t="shared" si="92"/>
        <v>0</v>
      </c>
      <c r="BE188" s="34">
        <v>0</v>
      </c>
      <c r="BF188" s="34">
        <f>188</f>
        <v>188</v>
      </c>
      <c r="BH188" s="18">
        <f t="shared" si="93"/>
        <v>0</v>
      </c>
      <c r="BI188" s="18">
        <f t="shared" si="94"/>
        <v>0</v>
      </c>
      <c r="BJ188" s="18">
        <f t="shared" si="95"/>
        <v>0</v>
      </c>
    </row>
    <row r="189" spans="1:62" x14ac:dyDescent="0.2">
      <c r="A189" s="5" t="s">
        <v>141</v>
      </c>
      <c r="B189" s="5" t="s">
        <v>504</v>
      </c>
      <c r="C189" s="135" t="s">
        <v>820</v>
      </c>
      <c r="D189" s="136"/>
      <c r="E189" s="136"/>
      <c r="F189" s="5" t="s">
        <v>1104</v>
      </c>
      <c r="G189" s="18">
        <v>40</v>
      </c>
      <c r="H189" s="79">
        <v>0</v>
      </c>
      <c r="I189" s="18">
        <f t="shared" si="72"/>
        <v>0</v>
      </c>
      <c r="J189" s="18">
        <f t="shared" si="73"/>
        <v>0</v>
      </c>
      <c r="K189" s="18">
        <f t="shared" si="74"/>
        <v>0</v>
      </c>
      <c r="L189" s="29" t="s">
        <v>1127</v>
      </c>
      <c r="Z189" s="34">
        <f t="shared" si="75"/>
        <v>0</v>
      </c>
      <c r="AB189" s="34">
        <f t="shared" si="76"/>
        <v>0</v>
      </c>
      <c r="AC189" s="34">
        <f t="shared" si="77"/>
        <v>0</v>
      </c>
      <c r="AD189" s="34">
        <f t="shared" si="78"/>
        <v>0</v>
      </c>
      <c r="AE189" s="34">
        <f t="shared" si="79"/>
        <v>0</v>
      </c>
      <c r="AF189" s="34">
        <f t="shared" si="80"/>
        <v>0</v>
      </c>
      <c r="AG189" s="34">
        <f t="shared" si="81"/>
        <v>0</v>
      </c>
      <c r="AH189" s="34">
        <f t="shared" si="82"/>
        <v>0</v>
      </c>
      <c r="AI189" s="28" t="s">
        <v>1137</v>
      </c>
      <c r="AJ189" s="18">
        <f t="shared" si="83"/>
        <v>0</v>
      </c>
      <c r="AK189" s="18">
        <f t="shared" si="84"/>
        <v>0</v>
      </c>
      <c r="AL189" s="18">
        <f t="shared" si="85"/>
        <v>0</v>
      </c>
      <c r="AN189" s="34">
        <v>21</v>
      </c>
      <c r="AO189" s="34">
        <f t="shared" si="86"/>
        <v>0</v>
      </c>
      <c r="AP189" s="34">
        <f t="shared" si="87"/>
        <v>0</v>
      </c>
      <c r="AQ189" s="29" t="s">
        <v>13</v>
      </c>
      <c r="AV189" s="34">
        <f t="shared" si="88"/>
        <v>0</v>
      </c>
      <c r="AW189" s="34">
        <f t="shared" si="89"/>
        <v>0</v>
      </c>
      <c r="AX189" s="34">
        <f t="shared" si="90"/>
        <v>0</v>
      </c>
      <c r="AY189" s="35" t="s">
        <v>1154</v>
      </c>
      <c r="AZ189" s="35" t="s">
        <v>1170</v>
      </c>
      <c r="BA189" s="28" t="s">
        <v>1176</v>
      </c>
      <c r="BC189" s="34">
        <f t="shared" si="91"/>
        <v>0</v>
      </c>
      <c r="BD189" s="34">
        <f t="shared" si="92"/>
        <v>0</v>
      </c>
      <c r="BE189" s="34">
        <v>0</v>
      </c>
      <c r="BF189" s="34">
        <f>189</f>
        <v>189</v>
      </c>
      <c r="BH189" s="18">
        <f t="shared" si="93"/>
        <v>0</v>
      </c>
      <c r="BI189" s="18">
        <f t="shared" si="94"/>
        <v>0</v>
      </c>
      <c r="BJ189" s="18">
        <f t="shared" si="95"/>
        <v>0</v>
      </c>
    </row>
    <row r="190" spans="1:62" x14ac:dyDescent="0.2">
      <c r="A190" s="5" t="s">
        <v>142</v>
      </c>
      <c r="B190" s="5" t="s">
        <v>505</v>
      </c>
      <c r="C190" s="135" t="s">
        <v>868</v>
      </c>
      <c r="D190" s="136"/>
      <c r="E190" s="136"/>
      <c r="F190" s="5" t="s">
        <v>1103</v>
      </c>
      <c r="G190" s="18">
        <v>1</v>
      </c>
      <c r="H190" s="79">
        <v>0</v>
      </c>
      <c r="I190" s="18">
        <f t="shared" si="72"/>
        <v>0</v>
      </c>
      <c r="J190" s="18">
        <f t="shared" si="73"/>
        <v>0</v>
      </c>
      <c r="K190" s="18">
        <f t="shared" si="74"/>
        <v>0</v>
      </c>
      <c r="L190" s="29" t="s">
        <v>1127</v>
      </c>
      <c r="Z190" s="34">
        <f t="shared" si="75"/>
        <v>0</v>
      </c>
      <c r="AB190" s="34">
        <f t="shared" si="76"/>
        <v>0</v>
      </c>
      <c r="AC190" s="34">
        <f t="shared" si="77"/>
        <v>0</v>
      </c>
      <c r="AD190" s="34">
        <f t="shared" si="78"/>
        <v>0</v>
      </c>
      <c r="AE190" s="34">
        <f t="shared" si="79"/>
        <v>0</v>
      </c>
      <c r="AF190" s="34">
        <f t="shared" si="80"/>
        <v>0</v>
      </c>
      <c r="AG190" s="34">
        <f t="shared" si="81"/>
        <v>0</v>
      </c>
      <c r="AH190" s="34">
        <f t="shared" si="82"/>
        <v>0</v>
      </c>
      <c r="AI190" s="28" t="s">
        <v>1137</v>
      </c>
      <c r="AJ190" s="18">
        <f t="shared" si="83"/>
        <v>0</v>
      </c>
      <c r="AK190" s="18">
        <f t="shared" si="84"/>
        <v>0</v>
      </c>
      <c r="AL190" s="18">
        <f t="shared" si="85"/>
        <v>0</v>
      </c>
      <c r="AN190" s="34">
        <v>21</v>
      </c>
      <c r="AO190" s="34">
        <f t="shared" si="86"/>
        <v>0</v>
      </c>
      <c r="AP190" s="34">
        <f t="shared" si="87"/>
        <v>0</v>
      </c>
      <c r="AQ190" s="29" t="s">
        <v>13</v>
      </c>
      <c r="AV190" s="34">
        <f t="shared" si="88"/>
        <v>0</v>
      </c>
      <c r="AW190" s="34">
        <f t="shared" si="89"/>
        <v>0</v>
      </c>
      <c r="AX190" s="34">
        <f t="shared" si="90"/>
        <v>0</v>
      </c>
      <c r="AY190" s="35" t="s">
        <v>1154</v>
      </c>
      <c r="AZ190" s="35" t="s">
        <v>1170</v>
      </c>
      <c r="BA190" s="28" t="s">
        <v>1176</v>
      </c>
      <c r="BC190" s="34">
        <f t="shared" si="91"/>
        <v>0</v>
      </c>
      <c r="BD190" s="34">
        <f t="shared" si="92"/>
        <v>0</v>
      </c>
      <c r="BE190" s="34">
        <v>0</v>
      </c>
      <c r="BF190" s="34">
        <f>190</f>
        <v>190</v>
      </c>
      <c r="BH190" s="18">
        <f t="shared" si="93"/>
        <v>0</v>
      </c>
      <c r="BI190" s="18">
        <f t="shared" si="94"/>
        <v>0</v>
      </c>
      <c r="BJ190" s="18">
        <f t="shared" si="95"/>
        <v>0</v>
      </c>
    </row>
    <row r="191" spans="1:62" x14ac:dyDescent="0.2">
      <c r="A191" s="5" t="s">
        <v>143</v>
      </c>
      <c r="B191" s="5" t="s">
        <v>506</v>
      </c>
      <c r="C191" s="135" t="s">
        <v>869</v>
      </c>
      <c r="D191" s="136"/>
      <c r="E191" s="136"/>
      <c r="F191" s="5" t="s">
        <v>1103</v>
      </c>
      <c r="G191" s="18">
        <v>1</v>
      </c>
      <c r="H191" s="79">
        <v>0</v>
      </c>
      <c r="I191" s="18">
        <f t="shared" si="72"/>
        <v>0</v>
      </c>
      <c r="J191" s="18">
        <f t="shared" si="73"/>
        <v>0</v>
      </c>
      <c r="K191" s="18">
        <f t="shared" si="74"/>
        <v>0</v>
      </c>
      <c r="L191" s="29" t="s">
        <v>1127</v>
      </c>
      <c r="Z191" s="34">
        <f t="shared" si="75"/>
        <v>0</v>
      </c>
      <c r="AB191" s="34">
        <f t="shared" si="76"/>
        <v>0</v>
      </c>
      <c r="AC191" s="34">
        <f t="shared" si="77"/>
        <v>0</v>
      </c>
      <c r="AD191" s="34">
        <f t="shared" si="78"/>
        <v>0</v>
      </c>
      <c r="AE191" s="34">
        <f t="shared" si="79"/>
        <v>0</v>
      </c>
      <c r="AF191" s="34">
        <f t="shared" si="80"/>
        <v>0</v>
      </c>
      <c r="AG191" s="34">
        <f t="shared" si="81"/>
        <v>0</v>
      </c>
      <c r="AH191" s="34">
        <f t="shared" si="82"/>
        <v>0</v>
      </c>
      <c r="AI191" s="28" t="s">
        <v>1137</v>
      </c>
      <c r="AJ191" s="18">
        <f t="shared" si="83"/>
        <v>0</v>
      </c>
      <c r="AK191" s="18">
        <f t="shared" si="84"/>
        <v>0</v>
      </c>
      <c r="AL191" s="18">
        <f t="shared" si="85"/>
        <v>0</v>
      </c>
      <c r="AN191" s="34">
        <v>21</v>
      </c>
      <c r="AO191" s="34">
        <f t="shared" si="86"/>
        <v>0</v>
      </c>
      <c r="AP191" s="34">
        <f t="shared" si="87"/>
        <v>0</v>
      </c>
      <c r="AQ191" s="29" t="s">
        <v>13</v>
      </c>
      <c r="AV191" s="34">
        <f t="shared" si="88"/>
        <v>0</v>
      </c>
      <c r="AW191" s="34">
        <f t="shared" si="89"/>
        <v>0</v>
      </c>
      <c r="AX191" s="34">
        <f t="shared" si="90"/>
        <v>0</v>
      </c>
      <c r="AY191" s="35" t="s">
        <v>1154</v>
      </c>
      <c r="AZ191" s="35" t="s">
        <v>1170</v>
      </c>
      <c r="BA191" s="28" t="s">
        <v>1176</v>
      </c>
      <c r="BC191" s="34">
        <f t="shared" si="91"/>
        <v>0</v>
      </c>
      <c r="BD191" s="34">
        <f t="shared" si="92"/>
        <v>0</v>
      </c>
      <c r="BE191" s="34">
        <v>0</v>
      </c>
      <c r="BF191" s="34">
        <f>191</f>
        <v>191</v>
      </c>
      <c r="BH191" s="18">
        <f t="shared" si="93"/>
        <v>0</v>
      </c>
      <c r="BI191" s="18">
        <f t="shared" si="94"/>
        <v>0</v>
      </c>
      <c r="BJ191" s="18">
        <f t="shared" si="95"/>
        <v>0</v>
      </c>
    </row>
    <row r="192" spans="1:62" x14ac:dyDescent="0.2">
      <c r="A192" s="5" t="s">
        <v>144</v>
      </c>
      <c r="B192" s="5" t="s">
        <v>507</v>
      </c>
      <c r="C192" s="135" t="s">
        <v>870</v>
      </c>
      <c r="D192" s="136"/>
      <c r="E192" s="136"/>
      <c r="F192" s="5" t="s">
        <v>1103</v>
      </c>
      <c r="G192" s="18">
        <v>1</v>
      </c>
      <c r="H192" s="79">
        <v>0</v>
      </c>
      <c r="I192" s="18">
        <f t="shared" si="72"/>
        <v>0</v>
      </c>
      <c r="J192" s="18">
        <f t="shared" si="73"/>
        <v>0</v>
      </c>
      <c r="K192" s="18">
        <f t="shared" si="74"/>
        <v>0</v>
      </c>
      <c r="L192" s="29" t="s">
        <v>1127</v>
      </c>
      <c r="Z192" s="34">
        <f t="shared" si="75"/>
        <v>0</v>
      </c>
      <c r="AB192" s="34">
        <f t="shared" si="76"/>
        <v>0</v>
      </c>
      <c r="AC192" s="34">
        <f t="shared" si="77"/>
        <v>0</v>
      </c>
      <c r="AD192" s="34">
        <f t="shared" si="78"/>
        <v>0</v>
      </c>
      <c r="AE192" s="34">
        <f t="shared" si="79"/>
        <v>0</v>
      </c>
      <c r="AF192" s="34">
        <f t="shared" si="80"/>
        <v>0</v>
      </c>
      <c r="AG192" s="34">
        <f t="shared" si="81"/>
        <v>0</v>
      </c>
      <c r="AH192" s="34">
        <f t="shared" si="82"/>
        <v>0</v>
      </c>
      <c r="AI192" s="28" t="s">
        <v>1137</v>
      </c>
      <c r="AJ192" s="18">
        <f t="shared" si="83"/>
        <v>0</v>
      </c>
      <c r="AK192" s="18">
        <f t="shared" si="84"/>
        <v>0</v>
      </c>
      <c r="AL192" s="18">
        <f t="shared" si="85"/>
        <v>0</v>
      </c>
      <c r="AN192" s="34">
        <v>21</v>
      </c>
      <c r="AO192" s="34">
        <f t="shared" si="86"/>
        <v>0</v>
      </c>
      <c r="AP192" s="34">
        <f t="shared" si="87"/>
        <v>0</v>
      </c>
      <c r="AQ192" s="29" t="s">
        <v>13</v>
      </c>
      <c r="AV192" s="34">
        <f t="shared" si="88"/>
        <v>0</v>
      </c>
      <c r="AW192" s="34">
        <f t="shared" si="89"/>
        <v>0</v>
      </c>
      <c r="AX192" s="34">
        <f t="shared" si="90"/>
        <v>0</v>
      </c>
      <c r="AY192" s="35" t="s">
        <v>1154</v>
      </c>
      <c r="AZ192" s="35" t="s">
        <v>1170</v>
      </c>
      <c r="BA192" s="28" t="s">
        <v>1176</v>
      </c>
      <c r="BC192" s="34">
        <f t="shared" si="91"/>
        <v>0</v>
      </c>
      <c r="BD192" s="34">
        <f t="shared" si="92"/>
        <v>0</v>
      </c>
      <c r="BE192" s="34">
        <v>0</v>
      </c>
      <c r="BF192" s="34">
        <f>192</f>
        <v>192</v>
      </c>
      <c r="BH192" s="18">
        <f t="shared" si="93"/>
        <v>0</v>
      </c>
      <c r="BI192" s="18">
        <f t="shared" si="94"/>
        <v>0</v>
      </c>
      <c r="BJ192" s="18">
        <f t="shared" si="95"/>
        <v>0</v>
      </c>
    </row>
    <row r="193" spans="1:62" x14ac:dyDescent="0.2">
      <c r="A193" s="5" t="s">
        <v>145</v>
      </c>
      <c r="B193" s="5" t="s">
        <v>508</v>
      </c>
      <c r="C193" s="135" t="s">
        <v>871</v>
      </c>
      <c r="D193" s="136"/>
      <c r="E193" s="136"/>
      <c r="F193" s="5" t="s">
        <v>1101</v>
      </c>
      <c r="G193" s="18">
        <v>235.5</v>
      </c>
      <c r="H193" s="79">
        <v>0</v>
      </c>
      <c r="I193" s="18">
        <f t="shared" si="72"/>
        <v>0</v>
      </c>
      <c r="J193" s="18">
        <f t="shared" si="73"/>
        <v>0</v>
      </c>
      <c r="K193" s="18">
        <f t="shared" si="74"/>
        <v>0</v>
      </c>
      <c r="L193" s="29" t="s">
        <v>1127</v>
      </c>
      <c r="Z193" s="34">
        <f t="shared" si="75"/>
        <v>0</v>
      </c>
      <c r="AB193" s="34">
        <f t="shared" si="76"/>
        <v>0</v>
      </c>
      <c r="AC193" s="34">
        <f t="shared" si="77"/>
        <v>0</v>
      </c>
      <c r="AD193" s="34">
        <f t="shared" si="78"/>
        <v>0</v>
      </c>
      <c r="AE193" s="34">
        <f t="shared" si="79"/>
        <v>0</v>
      </c>
      <c r="AF193" s="34">
        <f t="shared" si="80"/>
        <v>0</v>
      </c>
      <c r="AG193" s="34">
        <f t="shared" si="81"/>
        <v>0</v>
      </c>
      <c r="AH193" s="34">
        <f t="shared" si="82"/>
        <v>0</v>
      </c>
      <c r="AI193" s="28" t="s">
        <v>1137</v>
      </c>
      <c r="AJ193" s="18">
        <f t="shared" si="83"/>
        <v>0</v>
      </c>
      <c r="AK193" s="18">
        <f t="shared" si="84"/>
        <v>0</v>
      </c>
      <c r="AL193" s="18">
        <f t="shared" si="85"/>
        <v>0</v>
      </c>
      <c r="AN193" s="34">
        <v>21</v>
      </c>
      <c r="AO193" s="34">
        <f t="shared" si="86"/>
        <v>0</v>
      </c>
      <c r="AP193" s="34">
        <f t="shared" si="87"/>
        <v>0</v>
      </c>
      <c r="AQ193" s="29" t="s">
        <v>13</v>
      </c>
      <c r="AV193" s="34">
        <f t="shared" si="88"/>
        <v>0</v>
      </c>
      <c r="AW193" s="34">
        <f t="shared" si="89"/>
        <v>0</v>
      </c>
      <c r="AX193" s="34">
        <f t="shared" si="90"/>
        <v>0</v>
      </c>
      <c r="AY193" s="35" t="s">
        <v>1154</v>
      </c>
      <c r="AZ193" s="35" t="s">
        <v>1170</v>
      </c>
      <c r="BA193" s="28" t="s">
        <v>1176</v>
      </c>
      <c r="BC193" s="34">
        <f t="shared" si="91"/>
        <v>0</v>
      </c>
      <c r="BD193" s="34">
        <f t="shared" si="92"/>
        <v>0</v>
      </c>
      <c r="BE193" s="34">
        <v>0</v>
      </c>
      <c r="BF193" s="34">
        <f>193</f>
        <v>193</v>
      </c>
      <c r="BH193" s="18">
        <f t="shared" si="93"/>
        <v>0</v>
      </c>
      <c r="BI193" s="18">
        <f t="shared" si="94"/>
        <v>0</v>
      </c>
      <c r="BJ193" s="18">
        <f t="shared" si="95"/>
        <v>0</v>
      </c>
    </row>
    <row r="194" spans="1:62" x14ac:dyDescent="0.2">
      <c r="A194" s="5" t="s">
        <v>146</v>
      </c>
      <c r="B194" s="5" t="s">
        <v>509</v>
      </c>
      <c r="C194" s="135" t="s">
        <v>872</v>
      </c>
      <c r="D194" s="136"/>
      <c r="E194" s="136"/>
      <c r="F194" s="5" t="s">
        <v>1101</v>
      </c>
      <c r="G194" s="18">
        <v>235.5</v>
      </c>
      <c r="H194" s="79">
        <v>0</v>
      </c>
      <c r="I194" s="18">
        <f t="shared" si="72"/>
        <v>0</v>
      </c>
      <c r="J194" s="18">
        <f t="shared" si="73"/>
        <v>0</v>
      </c>
      <c r="K194" s="18">
        <f t="shared" si="74"/>
        <v>0</v>
      </c>
      <c r="L194" s="29" t="s">
        <v>1127</v>
      </c>
      <c r="Z194" s="34">
        <f t="shared" si="75"/>
        <v>0</v>
      </c>
      <c r="AB194" s="34">
        <f t="shared" si="76"/>
        <v>0</v>
      </c>
      <c r="AC194" s="34">
        <f t="shared" si="77"/>
        <v>0</v>
      </c>
      <c r="AD194" s="34">
        <f t="shared" si="78"/>
        <v>0</v>
      </c>
      <c r="AE194" s="34">
        <f t="shared" si="79"/>
        <v>0</v>
      </c>
      <c r="AF194" s="34">
        <f t="shared" si="80"/>
        <v>0</v>
      </c>
      <c r="AG194" s="34">
        <f t="shared" si="81"/>
        <v>0</v>
      </c>
      <c r="AH194" s="34">
        <f t="shared" si="82"/>
        <v>0</v>
      </c>
      <c r="AI194" s="28" t="s">
        <v>1137</v>
      </c>
      <c r="AJ194" s="18">
        <f t="shared" si="83"/>
        <v>0</v>
      </c>
      <c r="AK194" s="18">
        <f t="shared" si="84"/>
        <v>0</v>
      </c>
      <c r="AL194" s="18">
        <f t="shared" si="85"/>
        <v>0</v>
      </c>
      <c r="AN194" s="34">
        <v>21</v>
      </c>
      <c r="AO194" s="34">
        <f t="shared" si="86"/>
        <v>0</v>
      </c>
      <c r="AP194" s="34">
        <f t="shared" si="87"/>
        <v>0</v>
      </c>
      <c r="AQ194" s="29" t="s">
        <v>13</v>
      </c>
      <c r="AV194" s="34">
        <f t="shared" si="88"/>
        <v>0</v>
      </c>
      <c r="AW194" s="34">
        <f t="shared" si="89"/>
        <v>0</v>
      </c>
      <c r="AX194" s="34">
        <f t="shared" si="90"/>
        <v>0</v>
      </c>
      <c r="AY194" s="35" t="s">
        <v>1154</v>
      </c>
      <c r="AZ194" s="35" t="s">
        <v>1170</v>
      </c>
      <c r="BA194" s="28" t="s">
        <v>1176</v>
      </c>
      <c r="BC194" s="34">
        <f t="shared" si="91"/>
        <v>0</v>
      </c>
      <c r="BD194" s="34">
        <f t="shared" si="92"/>
        <v>0</v>
      </c>
      <c r="BE194" s="34">
        <v>0</v>
      </c>
      <c r="BF194" s="34">
        <f>194</f>
        <v>194</v>
      </c>
      <c r="BH194" s="18">
        <f t="shared" si="93"/>
        <v>0</v>
      </c>
      <c r="BI194" s="18">
        <f t="shared" si="94"/>
        <v>0</v>
      </c>
      <c r="BJ194" s="18">
        <f t="shared" si="95"/>
        <v>0</v>
      </c>
    </row>
    <row r="195" spans="1:62" x14ac:dyDescent="0.2">
      <c r="A195" s="5" t="s">
        <v>147</v>
      </c>
      <c r="B195" s="5" t="s">
        <v>510</v>
      </c>
      <c r="C195" s="135" t="s">
        <v>873</v>
      </c>
      <c r="D195" s="136"/>
      <c r="E195" s="136"/>
      <c r="F195" s="5" t="s">
        <v>1101</v>
      </c>
      <c r="G195" s="18">
        <v>235.5</v>
      </c>
      <c r="H195" s="79">
        <v>0</v>
      </c>
      <c r="I195" s="18">
        <f t="shared" si="72"/>
        <v>0</v>
      </c>
      <c r="J195" s="18">
        <f t="shared" si="73"/>
        <v>0</v>
      </c>
      <c r="K195" s="18">
        <f t="shared" si="74"/>
        <v>0</v>
      </c>
      <c r="L195" s="29" t="s">
        <v>1127</v>
      </c>
      <c r="Z195" s="34">
        <f t="shared" si="75"/>
        <v>0</v>
      </c>
      <c r="AB195" s="34">
        <f t="shared" si="76"/>
        <v>0</v>
      </c>
      <c r="AC195" s="34">
        <f t="shared" si="77"/>
        <v>0</v>
      </c>
      <c r="AD195" s="34">
        <f t="shared" si="78"/>
        <v>0</v>
      </c>
      <c r="AE195" s="34">
        <f t="shared" si="79"/>
        <v>0</v>
      </c>
      <c r="AF195" s="34">
        <f t="shared" si="80"/>
        <v>0</v>
      </c>
      <c r="AG195" s="34">
        <f t="shared" si="81"/>
        <v>0</v>
      </c>
      <c r="AH195" s="34">
        <f t="shared" si="82"/>
        <v>0</v>
      </c>
      <c r="AI195" s="28" t="s">
        <v>1137</v>
      </c>
      <c r="AJ195" s="18">
        <f t="shared" si="83"/>
        <v>0</v>
      </c>
      <c r="AK195" s="18">
        <f t="shared" si="84"/>
        <v>0</v>
      </c>
      <c r="AL195" s="18">
        <f t="shared" si="85"/>
        <v>0</v>
      </c>
      <c r="AN195" s="34">
        <v>21</v>
      </c>
      <c r="AO195" s="34">
        <f t="shared" si="86"/>
        <v>0</v>
      </c>
      <c r="AP195" s="34">
        <f t="shared" si="87"/>
        <v>0</v>
      </c>
      <c r="AQ195" s="29" t="s">
        <v>13</v>
      </c>
      <c r="AV195" s="34">
        <f t="shared" si="88"/>
        <v>0</v>
      </c>
      <c r="AW195" s="34">
        <f t="shared" si="89"/>
        <v>0</v>
      </c>
      <c r="AX195" s="34">
        <f t="shared" si="90"/>
        <v>0</v>
      </c>
      <c r="AY195" s="35" t="s">
        <v>1154</v>
      </c>
      <c r="AZ195" s="35" t="s">
        <v>1170</v>
      </c>
      <c r="BA195" s="28" t="s">
        <v>1176</v>
      </c>
      <c r="BC195" s="34">
        <f t="shared" si="91"/>
        <v>0</v>
      </c>
      <c r="BD195" s="34">
        <f t="shared" si="92"/>
        <v>0</v>
      </c>
      <c r="BE195" s="34">
        <v>0</v>
      </c>
      <c r="BF195" s="34">
        <f>195</f>
        <v>195</v>
      </c>
      <c r="BH195" s="18">
        <f t="shared" si="93"/>
        <v>0</v>
      </c>
      <c r="BI195" s="18">
        <f t="shared" si="94"/>
        <v>0</v>
      </c>
      <c r="BJ195" s="18">
        <f t="shared" si="95"/>
        <v>0</v>
      </c>
    </row>
    <row r="196" spans="1:62" x14ac:dyDescent="0.2">
      <c r="A196" s="5" t="s">
        <v>148</v>
      </c>
      <c r="B196" s="5" t="s">
        <v>511</v>
      </c>
      <c r="C196" s="135" t="s">
        <v>825</v>
      </c>
      <c r="D196" s="136"/>
      <c r="E196" s="136"/>
      <c r="F196" s="5" t="s">
        <v>1104</v>
      </c>
      <c r="G196" s="18">
        <v>25</v>
      </c>
      <c r="H196" s="79">
        <v>0</v>
      </c>
      <c r="I196" s="18">
        <f t="shared" si="72"/>
        <v>0</v>
      </c>
      <c r="J196" s="18">
        <f t="shared" si="73"/>
        <v>0</v>
      </c>
      <c r="K196" s="18">
        <f t="shared" si="74"/>
        <v>0</v>
      </c>
      <c r="L196" s="29" t="s">
        <v>1127</v>
      </c>
      <c r="Z196" s="34">
        <f t="shared" si="75"/>
        <v>0</v>
      </c>
      <c r="AB196" s="34">
        <f t="shared" si="76"/>
        <v>0</v>
      </c>
      <c r="AC196" s="34">
        <f t="shared" si="77"/>
        <v>0</v>
      </c>
      <c r="AD196" s="34">
        <f t="shared" si="78"/>
        <v>0</v>
      </c>
      <c r="AE196" s="34">
        <f t="shared" si="79"/>
        <v>0</v>
      </c>
      <c r="AF196" s="34">
        <f t="shared" si="80"/>
        <v>0</v>
      </c>
      <c r="AG196" s="34">
        <f t="shared" si="81"/>
        <v>0</v>
      </c>
      <c r="AH196" s="34">
        <f t="shared" si="82"/>
        <v>0</v>
      </c>
      <c r="AI196" s="28" t="s">
        <v>1137</v>
      </c>
      <c r="AJ196" s="18">
        <f t="shared" si="83"/>
        <v>0</v>
      </c>
      <c r="AK196" s="18">
        <f t="shared" si="84"/>
        <v>0</v>
      </c>
      <c r="AL196" s="18">
        <f t="shared" si="85"/>
        <v>0</v>
      </c>
      <c r="AN196" s="34">
        <v>21</v>
      </c>
      <c r="AO196" s="34">
        <f t="shared" si="86"/>
        <v>0</v>
      </c>
      <c r="AP196" s="34">
        <f t="shared" si="87"/>
        <v>0</v>
      </c>
      <c r="AQ196" s="29" t="s">
        <v>13</v>
      </c>
      <c r="AV196" s="34">
        <f t="shared" si="88"/>
        <v>0</v>
      </c>
      <c r="AW196" s="34">
        <f t="shared" si="89"/>
        <v>0</v>
      </c>
      <c r="AX196" s="34">
        <f t="shared" si="90"/>
        <v>0</v>
      </c>
      <c r="AY196" s="35" t="s">
        <v>1154</v>
      </c>
      <c r="AZ196" s="35" t="s">
        <v>1170</v>
      </c>
      <c r="BA196" s="28" t="s">
        <v>1176</v>
      </c>
      <c r="BC196" s="34">
        <f t="shared" si="91"/>
        <v>0</v>
      </c>
      <c r="BD196" s="34">
        <f t="shared" si="92"/>
        <v>0</v>
      </c>
      <c r="BE196" s="34">
        <v>0</v>
      </c>
      <c r="BF196" s="34">
        <f>196</f>
        <v>196</v>
      </c>
      <c r="BH196" s="18">
        <f t="shared" si="93"/>
        <v>0</v>
      </c>
      <c r="BI196" s="18">
        <f t="shared" si="94"/>
        <v>0</v>
      </c>
      <c r="BJ196" s="18">
        <f t="shared" si="95"/>
        <v>0</v>
      </c>
    </row>
    <row r="197" spans="1:62" x14ac:dyDescent="0.2">
      <c r="A197" s="5" t="s">
        <v>149</v>
      </c>
      <c r="B197" s="5" t="s">
        <v>512</v>
      </c>
      <c r="C197" s="135" t="s">
        <v>826</v>
      </c>
      <c r="D197" s="136"/>
      <c r="E197" s="136"/>
      <c r="F197" s="5" t="s">
        <v>1103</v>
      </c>
      <c r="G197" s="18">
        <v>1</v>
      </c>
      <c r="H197" s="79">
        <v>0</v>
      </c>
      <c r="I197" s="18">
        <f t="shared" si="72"/>
        <v>0</v>
      </c>
      <c r="J197" s="18">
        <f t="shared" si="73"/>
        <v>0</v>
      </c>
      <c r="K197" s="18">
        <f t="shared" si="74"/>
        <v>0</v>
      </c>
      <c r="L197" s="29" t="s">
        <v>1127</v>
      </c>
      <c r="Z197" s="34">
        <f t="shared" si="75"/>
        <v>0</v>
      </c>
      <c r="AB197" s="34">
        <f t="shared" si="76"/>
        <v>0</v>
      </c>
      <c r="AC197" s="34">
        <f t="shared" si="77"/>
        <v>0</v>
      </c>
      <c r="AD197" s="34">
        <f t="shared" si="78"/>
        <v>0</v>
      </c>
      <c r="AE197" s="34">
        <f t="shared" si="79"/>
        <v>0</v>
      </c>
      <c r="AF197" s="34">
        <f t="shared" si="80"/>
        <v>0</v>
      </c>
      <c r="AG197" s="34">
        <f t="shared" si="81"/>
        <v>0</v>
      </c>
      <c r="AH197" s="34">
        <f t="shared" si="82"/>
        <v>0</v>
      </c>
      <c r="AI197" s="28" t="s">
        <v>1137</v>
      </c>
      <c r="AJ197" s="18">
        <f t="shared" si="83"/>
        <v>0</v>
      </c>
      <c r="AK197" s="18">
        <f t="shared" si="84"/>
        <v>0</v>
      </c>
      <c r="AL197" s="18">
        <f t="shared" si="85"/>
        <v>0</v>
      </c>
      <c r="AN197" s="34">
        <v>21</v>
      </c>
      <c r="AO197" s="34">
        <f t="shared" si="86"/>
        <v>0</v>
      </c>
      <c r="AP197" s="34">
        <f t="shared" si="87"/>
        <v>0</v>
      </c>
      <c r="AQ197" s="29" t="s">
        <v>13</v>
      </c>
      <c r="AV197" s="34">
        <f t="shared" si="88"/>
        <v>0</v>
      </c>
      <c r="AW197" s="34">
        <f t="shared" si="89"/>
        <v>0</v>
      </c>
      <c r="AX197" s="34">
        <f t="shared" si="90"/>
        <v>0</v>
      </c>
      <c r="AY197" s="35" t="s">
        <v>1154</v>
      </c>
      <c r="AZ197" s="35" t="s">
        <v>1170</v>
      </c>
      <c r="BA197" s="28" t="s">
        <v>1176</v>
      </c>
      <c r="BC197" s="34">
        <f t="shared" si="91"/>
        <v>0</v>
      </c>
      <c r="BD197" s="34">
        <f t="shared" si="92"/>
        <v>0</v>
      </c>
      <c r="BE197" s="34">
        <v>0</v>
      </c>
      <c r="BF197" s="34">
        <f>197</f>
        <v>197</v>
      </c>
      <c r="BH197" s="18">
        <f t="shared" si="93"/>
        <v>0</v>
      </c>
      <c r="BI197" s="18">
        <f t="shared" si="94"/>
        <v>0</v>
      </c>
      <c r="BJ197" s="18">
        <f t="shared" si="95"/>
        <v>0</v>
      </c>
    </row>
    <row r="198" spans="1:62" x14ac:dyDescent="0.2">
      <c r="A198" s="5" t="s">
        <v>150</v>
      </c>
      <c r="B198" s="5" t="s">
        <v>513</v>
      </c>
      <c r="C198" s="135" t="s">
        <v>827</v>
      </c>
      <c r="D198" s="136"/>
      <c r="E198" s="136"/>
      <c r="F198" s="5" t="s">
        <v>1103</v>
      </c>
      <c r="G198" s="18">
        <v>1</v>
      </c>
      <c r="H198" s="79">
        <v>0</v>
      </c>
      <c r="I198" s="18">
        <f t="shared" si="72"/>
        <v>0</v>
      </c>
      <c r="J198" s="18">
        <f t="shared" si="73"/>
        <v>0</v>
      </c>
      <c r="K198" s="18">
        <f t="shared" si="74"/>
        <v>0</v>
      </c>
      <c r="L198" s="29" t="s">
        <v>1127</v>
      </c>
      <c r="Z198" s="34">
        <f t="shared" si="75"/>
        <v>0</v>
      </c>
      <c r="AB198" s="34">
        <f t="shared" si="76"/>
        <v>0</v>
      </c>
      <c r="AC198" s="34">
        <f t="shared" si="77"/>
        <v>0</v>
      </c>
      <c r="AD198" s="34">
        <f t="shared" si="78"/>
        <v>0</v>
      </c>
      <c r="AE198" s="34">
        <f t="shared" si="79"/>
        <v>0</v>
      </c>
      <c r="AF198" s="34">
        <f t="shared" si="80"/>
        <v>0</v>
      </c>
      <c r="AG198" s="34">
        <f t="shared" si="81"/>
        <v>0</v>
      </c>
      <c r="AH198" s="34">
        <f t="shared" si="82"/>
        <v>0</v>
      </c>
      <c r="AI198" s="28" t="s">
        <v>1137</v>
      </c>
      <c r="AJ198" s="18">
        <f t="shared" si="83"/>
        <v>0</v>
      </c>
      <c r="AK198" s="18">
        <f t="shared" si="84"/>
        <v>0</v>
      </c>
      <c r="AL198" s="18">
        <f t="shared" si="85"/>
        <v>0</v>
      </c>
      <c r="AN198" s="34">
        <v>21</v>
      </c>
      <c r="AO198" s="34">
        <f t="shared" si="86"/>
        <v>0</v>
      </c>
      <c r="AP198" s="34">
        <f t="shared" si="87"/>
        <v>0</v>
      </c>
      <c r="AQ198" s="29" t="s">
        <v>13</v>
      </c>
      <c r="AV198" s="34">
        <f t="shared" si="88"/>
        <v>0</v>
      </c>
      <c r="AW198" s="34">
        <f t="shared" si="89"/>
        <v>0</v>
      </c>
      <c r="AX198" s="34">
        <f t="shared" si="90"/>
        <v>0</v>
      </c>
      <c r="AY198" s="35" t="s">
        <v>1154</v>
      </c>
      <c r="AZ198" s="35" t="s">
        <v>1170</v>
      </c>
      <c r="BA198" s="28" t="s">
        <v>1176</v>
      </c>
      <c r="BC198" s="34">
        <f t="shared" si="91"/>
        <v>0</v>
      </c>
      <c r="BD198" s="34">
        <f t="shared" si="92"/>
        <v>0</v>
      </c>
      <c r="BE198" s="34">
        <v>0</v>
      </c>
      <c r="BF198" s="34">
        <f>198</f>
        <v>198</v>
      </c>
      <c r="BH198" s="18">
        <f t="shared" si="93"/>
        <v>0</v>
      </c>
      <c r="BI198" s="18">
        <f t="shared" si="94"/>
        <v>0</v>
      </c>
      <c r="BJ198" s="18">
        <f t="shared" si="95"/>
        <v>0</v>
      </c>
    </row>
    <row r="199" spans="1:62" x14ac:dyDescent="0.2">
      <c r="A199" s="5" t="s">
        <v>151</v>
      </c>
      <c r="B199" s="5" t="s">
        <v>514</v>
      </c>
      <c r="C199" s="135" t="s">
        <v>828</v>
      </c>
      <c r="D199" s="136"/>
      <c r="E199" s="136"/>
      <c r="F199" s="5" t="s">
        <v>1103</v>
      </c>
      <c r="G199" s="18">
        <v>1</v>
      </c>
      <c r="H199" s="79">
        <v>0</v>
      </c>
      <c r="I199" s="18">
        <f t="shared" si="72"/>
        <v>0</v>
      </c>
      <c r="J199" s="18">
        <f t="shared" si="73"/>
        <v>0</v>
      </c>
      <c r="K199" s="18">
        <f t="shared" si="74"/>
        <v>0</v>
      </c>
      <c r="L199" s="29" t="s">
        <v>1127</v>
      </c>
      <c r="Z199" s="34">
        <f t="shared" si="75"/>
        <v>0</v>
      </c>
      <c r="AB199" s="34">
        <f t="shared" si="76"/>
        <v>0</v>
      </c>
      <c r="AC199" s="34">
        <f t="shared" si="77"/>
        <v>0</v>
      </c>
      <c r="AD199" s="34">
        <f t="shared" si="78"/>
        <v>0</v>
      </c>
      <c r="AE199" s="34">
        <f t="shared" si="79"/>
        <v>0</v>
      </c>
      <c r="AF199" s="34">
        <f t="shared" si="80"/>
        <v>0</v>
      </c>
      <c r="AG199" s="34">
        <f t="shared" si="81"/>
        <v>0</v>
      </c>
      <c r="AH199" s="34">
        <f t="shared" si="82"/>
        <v>0</v>
      </c>
      <c r="AI199" s="28" t="s">
        <v>1137</v>
      </c>
      <c r="AJ199" s="18">
        <f t="shared" si="83"/>
        <v>0</v>
      </c>
      <c r="AK199" s="18">
        <f t="shared" si="84"/>
        <v>0</v>
      </c>
      <c r="AL199" s="18">
        <f t="shared" si="85"/>
        <v>0</v>
      </c>
      <c r="AN199" s="34">
        <v>21</v>
      </c>
      <c r="AO199" s="34">
        <f t="shared" si="86"/>
        <v>0</v>
      </c>
      <c r="AP199" s="34">
        <f t="shared" si="87"/>
        <v>0</v>
      </c>
      <c r="AQ199" s="29" t="s">
        <v>13</v>
      </c>
      <c r="AV199" s="34">
        <f t="shared" si="88"/>
        <v>0</v>
      </c>
      <c r="AW199" s="34">
        <f t="shared" si="89"/>
        <v>0</v>
      </c>
      <c r="AX199" s="34">
        <f t="shared" si="90"/>
        <v>0</v>
      </c>
      <c r="AY199" s="35" t="s">
        <v>1154</v>
      </c>
      <c r="AZ199" s="35" t="s">
        <v>1170</v>
      </c>
      <c r="BA199" s="28" t="s">
        <v>1176</v>
      </c>
      <c r="BC199" s="34">
        <f t="shared" si="91"/>
        <v>0</v>
      </c>
      <c r="BD199" s="34">
        <f t="shared" si="92"/>
        <v>0</v>
      </c>
      <c r="BE199" s="34">
        <v>0</v>
      </c>
      <c r="BF199" s="34">
        <f>199</f>
        <v>199</v>
      </c>
      <c r="BH199" s="18">
        <f t="shared" si="93"/>
        <v>0</v>
      </c>
      <c r="BI199" s="18">
        <f t="shared" si="94"/>
        <v>0</v>
      </c>
      <c r="BJ199" s="18">
        <f t="shared" si="95"/>
        <v>0</v>
      </c>
    </row>
    <row r="200" spans="1:62" x14ac:dyDescent="0.2">
      <c r="A200" s="4"/>
      <c r="B200" s="14" t="s">
        <v>515</v>
      </c>
      <c r="C200" s="133" t="s">
        <v>874</v>
      </c>
      <c r="D200" s="134"/>
      <c r="E200" s="134"/>
      <c r="F200" s="4" t="s">
        <v>6</v>
      </c>
      <c r="G200" s="4" t="s">
        <v>6</v>
      </c>
      <c r="H200" s="4" t="s">
        <v>6</v>
      </c>
      <c r="I200" s="37">
        <f>SUM(I201:I239)</f>
        <v>0</v>
      </c>
      <c r="J200" s="37">
        <f>SUM(J201:J239)</f>
        <v>0</v>
      </c>
      <c r="K200" s="37">
        <f>SUM(K201:K239)</f>
        <v>0</v>
      </c>
      <c r="L200" s="28"/>
      <c r="AI200" s="28" t="s">
        <v>1137</v>
      </c>
      <c r="AS200" s="37">
        <f>SUM(AJ201:AJ239)</f>
        <v>0</v>
      </c>
      <c r="AT200" s="37">
        <f>SUM(AK201:AK239)</f>
        <v>0</v>
      </c>
      <c r="AU200" s="37">
        <f>SUM(AL201:AL239)</f>
        <v>0</v>
      </c>
    </row>
    <row r="201" spans="1:62" x14ac:dyDescent="0.2">
      <c r="A201" s="5" t="s">
        <v>152</v>
      </c>
      <c r="B201" s="5" t="s">
        <v>107</v>
      </c>
      <c r="C201" s="135" t="s">
        <v>875</v>
      </c>
      <c r="D201" s="136"/>
      <c r="E201" s="136"/>
      <c r="F201" s="5" t="s">
        <v>1103</v>
      </c>
      <c r="G201" s="18">
        <v>1</v>
      </c>
      <c r="H201" s="79">
        <v>0</v>
      </c>
      <c r="I201" s="18">
        <f t="shared" ref="I201:I239" si="96">G201*AO201</f>
        <v>0</v>
      </c>
      <c r="J201" s="18">
        <f t="shared" ref="J201:J239" si="97">G201*AP201</f>
        <v>0</v>
      </c>
      <c r="K201" s="18">
        <f t="shared" ref="K201:K239" si="98">G201*H201</f>
        <v>0</v>
      </c>
      <c r="L201" s="29" t="s">
        <v>1127</v>
      </c>
      <c r="Z201" s="34">
        <f t="shared" ref="Z201:Z239" si="99">IF(AQ201="5",BJ201,0)</f>
        <v>0</v>
      </c>
      <c r="AB201" s="34">
        <f t="shared" ref="AB201:AB239" si="100">IF(AQ201="1",BH201,0)</f>
        <v>0</v>
      </c>
      <c r="AC201" s="34">
        <f t="shared" ref="AC201:AC239" si="101">IF(AQ201="1",BI201,0)</f>
        <v>0</v>
      </c>
      <c r="AD201" s="34">
        <f t="shared" ref="AD201:AD239" si="102">IF(AQ201="7",BH201,0)</f>
        <v>0</v>
      </c>
      <c r="AE201" s="34">
        <f t="shared" ref="AE201:AE239" si="103">IF(AQ201="7",BI201,0)</f>
        <v>0</v>
      </c>
      <c r="AF201" s="34">
        <f t="shared" ref="AF201:AF239" si="104">IF(AQ201="2",BH201,0)</f>
        <v>0</v>
      </c>
      <c r="AG201" s="34">
        <f t="shared" ref="AG201:AG239" si="105">IF(AQ201="2",BI201,0)</f>
        <v>0</v>
      </c>
      <c r="AH201" s="34">
        <f t="shared" ref="AH201:AH239" si="106">IF(AQ201="0",BJ201,0)</f>
        <v>0</v>
      </c>
      <c r="AI201" s="28" t="s">
        <v>1137</v>
      </c>
      <c r="AJ201" s="18">
        <f t="shared" ref="AJ201:AJ239" si="107">IF(AN201=0,K201,0)</f>
        <v>0</v>
      </c>
      <c r="AK201" s="18">
        <f t="shared" ref="AK201:AK239" si="108">IF(AN201=15,K201,0)</f>
        <v>0</v>
      </c>
      <c r="AL201" s="18">
        <f t="shared" ref="AL201:AL239" si="109">IF(AN201=21,K201,0)</f>
        <v>0</v>
      </c>
      <c r="AN201" s="34">
        <v>21</v>
      </c>
      <c r="AO201" s="34">
        <f t="shared" ref="AO201:AO239" si="110">H201*0</f>
        <v>0</v>
      </c>
      <c r="AP201" s="34">
        <f t="shared" ref="AP201:AP239" si="111">H201*(1-0)</f>
        <v>0</v>
      </c>
      <c r="AQ201" s="29" t="s">
        <v>13</v>
      </c>
      <c r="AV201" s="34">
        <f t="shared" ref="AV201:AV239" si="112">AW201+AX201</f>
        <v>0</v>
      </c>
      <c r="AW201" s="34">
        <f t="shared" ref="AW201:AW239" si="113">G201*AO201</f>
        <v>0</v>
      </c>
      <c r="AX201" s="34">
        <f t="shared" ref="AX201:AX239" si="114">G201*AP201</f>
        <v>0</v>
      </c>
      <c r="AY201" s="35" t="s">
        <v>1155</v>
      </c>
      <c r="AZ201" s="35" t="s">
        <v>1170</v>
      </c>
      <c r="BA201" s="28" t="s">
        <v>1176</v>
      </c>
      <c r="BC201" s="34">
        <f t="shared" ref="BC201:BC239" si="115">AW201+AX201</f>
        <v>0</v>
      </c>
      <c r="BD201" s="34">
        <f t="shared" ref="BD201:BD239" si="116">H201/(100-BE201)*100</f>
        <v>0</v>
      </c>
      <c r="BE201" s="34">
        <v>0</v>
      </c>
      <c r="BF201" s="34">
        <f>201</f>
        <v>201</v>
      </c>
      <c r="BH201" s="18">
        <f t="shared" ref="BH201:BH239" si="117">G201*AO201</f>
        <v>0</v>
      </c>
      <c r="BI201" s="18">
        <f t="shared" ref="BI201:BI239" si="118">G201*AP201</f>
        <v>0</v>
      </c>
      <c r="BJ201" s="18">
        <f t="shared" ref="BJ201:BJ239" si="119">G201*H201</f>
        <v>0</v>
      </c>
    </row>
    <row r="202" spans="1:62" x14ac:dyDescent="0.2">
      <c r="A202" s="5" t="s">
        <v>153</v>
      </c>
      <c r="B202" s="5" t="s">
        <v>516</v>
      </c>
      <c r="C202" s="135" t="s">
        <v>876</v>
      </c>
      <c r="D202" s="136"/>
      <c r="E202" s="136"/>
      <c r="F202" s="5" t="s">
        <v>1103</v>
      </c>
      <c r="G202" s="18">
        <v>1</v>
      </c>
      <c r="H202" s="79">
        <v>0</v>
      </c>
      <c r="I202" s="18">
        <f t="shared" si="96"/>
        <v>0</v>
      </c>
      <c r="J202" s="18">
        <f t="shared" si="97"/>
        <v>0</v>
      </c>
      <c r="K202" s="18">
        <f t="shared" si="98"/>
        <v>0</v>
      </c>
      <c r="L202" s="29" t="s">
        <v>1127</v>
      </c>
      <c r="Z202" s="34">
        <f t="shared" si="99"/>
        <v>0</v>
      </c>
      <c r="AB202" s="34">
        <f t="shared" si="100"/>
        <v>0</v>
      </c>
      <c r="AC202" s="34">
        <f t="shared" si="101"/>
        <v>0</v>
      </c>
      <c r="AD202" s="34">
        <f t="shared" si="102"/>
        <v>0</v>
      </c>
      <c r="AE202" s="34">
        <f t="shared" si="103"/>
        <v>0</v>
      </c>
      <c r="AF202" s="34">
        <f t="shared" si="104"/>
        <v>0</v>
      </c>
      <c r="AG202" s="34">
        <f t="shared" si="105"/>
        <v>0</v>
      </c>
      <c r="AH202" s="34">
        <f t="shared" si="106"/>
        <v>0</v>
      </c>
      <c r="AI202" s="28" t="s">
        <v>1137</v>
      </c>
      <c r="AJ202" s="18">
        <f t="shared" si="107"/>
        <v>0</v>
      </c>
      <c r="AK202" s="18">
        <f t="shared" si="108"/>
        <v>0</v>
      </c>
      <c r="AL202" s="18">
        <f t="shared" si="109"/>
        <v>0</v>
      </c>
      <c r="AN202" s="34">
        <v>21</v>
      </c>
      <c r="AO202" s="34">
        <f t="shared" si="110"/>
        <v>0</v>
      </c>
      <c r="AP202" s="34">
        <f t="shared" si="111"/>
        <v>0</v>
      </c>
      <c r="AQ202" s="29" t="s">
        <v>13</v>
      </c>
      <c r="AV202" s="34">
        <f t="shared" si="112"/>
        <v>0</v>
      </c>
      <c r="AW202" s="34">
        <f t="shared" si="113"/>
        <v>0</v>
      </c>
      <c r="AX202" s="34">
        <f t="shared" si="114"/>
        <v>0</v>
      </c>
      <c r="AY202" s="35" t="s">
        <v>1155</v>
      </c>
      <c r="AZ202" s="35" t="s">
        <v>1170</v>
      </c>
      <c r="BA202" s="28" t="s">
        <v>1176</v>
      </c>
      <c r="BC202" s="34">
        <f t="shared" si="115"/>
        <v>0</v>
      </c>
      <c r="BD202" s="34">
        <f t="shared" si="116"/>
        <v>0</v>
      </c>
      <c r="BE202" s="34">
        <v>0</v>
      </c>
      <c r="BF202" s="34">
        <f>202</f>
        <v>202</v>
      </c>
      <c r="BH202" s="18">
        <f t="shared" si="117"/>
        <v>0</v>
      </c>
      <c r="BI202" s="18">
        <f t="shared" si="118"/>
        <v>0</v>
      </c>
      <c r="BJ202" s="18">
        <f t="shared" si="119"/>
        <v>0</v>
      </c>
    </row>
    <row r="203" spans="1:62" x14ac:dyDescent="0.2">
      <c r="A203" s="5" t="s">
        <v>154</v>
      </c>
      <c r="B203" s="5" t="s">
        <v>517</v>
      </c>
      <c r="C203" s="135" t="s">
        <v>877</v>
      </c>
      <c r="D203" s="136"/>
      <c r="E203" s="136"/>
      <c r="F203" s="5" t="s">
        <v>1103</v>
      </c>
      <c r="G203" s="18">
        <v>1</v>
      </c>
      <c r="H203" s="79">
        <v>0</v>
      </c>
      <c r="I203" s="18">
        <f t="shared" si="96"/>
        <v>0</v>
      </c>
      <c r="J203" s="18">
        <f t="shared" si="97"/>
        <v>0</v>
      </c>
      <c r="K203" s="18">
        <f t="shared" si="98"/>
        <v>0</v>
      </c>
      <c r="L203" s="29" t="s">
        <v>1127</v>
      </c>
      <c r="Z203" s="34">
        <f t="shared" si="99"/>
        <v>0</v>
      </c>
      <c r="AB203" s="34">
        <f t="shared" si="100"/>
        <v>0</v>
      </c>
      <c r="AC203" s="34">
        <f t="shared" si="101"/>
        <v>0</v>
      </c>
      <c r="AD203" s="34">
        <f t="shared" si="102"/>
        <v>0</v>
      </c>
      <c r="AE203" s="34">
        <f t="shared" si="103"/>
        <v>0</v>
      </c>
      <c r="AF203" s="34">
        <f t="shared" si="104"/>
        <v>0</v>
      </c>
      <c r="AG203" s="34">
        <f t="shared" si="105"/>
        <v>0</v>
      </c>
      <c r="AH203" s="34">
        <f t="shared" si="106"/>
        <v>0</v>
      </c>
      <c r="AI203" s="28" t="s">
        <v>1137</v>
      </c>
      <c r="AJ203" s="18">
        <f t="shared" si="107"/>
        <v>0</v>
      </c>
      <c r="AK203" s="18">
        <f t="shared" si="108"/>
        <v>0</v>
      </c>
      <c r="AL203" s="18">
        <f t="shared" si="109"/>
        <v>0</v>
      </c>
      <c r="AN203" s="34">
        <v>21</v>
      </c>
      <c r="AO203" s="34">
        <f t="shared" si="110"/>
        <v>0</v>
      </c>
      <c r="AP203" s="34">
        <f t="shared" si="111"/>
        <v>0</v>
      </c>
      <c r="AQ203" s="29" t="s">
        <v>13</v>
      </c>
      <c r="AV203" s="34">
        <f t="shared" si="112"/>
        <v>0</v>
      </c>
      <c r="AW203" s="34">
        <f t="shared" si="113"/>
        <v>0</v>
      </c>
      <c r="AX203" s="34">
        <f t="shared" si="114"/>
        <v>0</v>
      </c>
      <c r="AY203" s="35" t="s">
        <v>1155</v>
      </c>
      <c r="AZ203" s="35" t="s">
        <v>1170</v>
      </c>
      <c r="BA203" s="28" t="s">
        <v>1176</v>
      </c>
      <c r="BC203" s="34">
        <f t="shared" si="115"/>
        <v>0</v>
      </c>
      <c r="BD203" s="34">
        <f t="shared" si="116"/>
        <v>0</v>
      </c>
      <c r="BE203" s="34">
        <v>0</v>
      </c>
      <c r="BF203" s="34">
        <f>203</f>
        <v>203</v>
      </c>
      <c r="BH203" s="18">
        <f t="shared" si="117"/>
        <v>0</v>
      </c>
      <c r="BI203" s="18">
        <f t="shared" si="118"/>
        <v>0</v>
      </c>
      <c r="BJ203" s="18">
        <f t="shared" si="119"/>
        <v>0</v>
      </c>
    </row>
    <row r="204" spans="1:62" x14ac:dyDescent="0.2">
      <c r="A204" s="5" t="s">
        <v>155</v>
      </c>
      <c r="B204" s="5" t="s">
        <v>518</v>
      </c>
      <c r="C204" s="135" t="s">
        <v>878</v>
      </c>
      <c r="D204" s="136"/>
      <c r="E204" s="136"/>
      <c r="F204" s="5" t="s">
        <v>1103</v>
      </c>
      <c r="G204" s="18">
        <v>1</v>
      </c>
      <c r="H204" s="79">
        <v>0</v>
      </c>
      <c r="I204" s="18">
        <f t="shared" si="96"/>
        <v>0</v>
      </c>
      <c r="J204" s="18">
        <f t="shared" si="97"/>
        <v>0</v>
      </c>
      <c r="K204" s="18">
        <f t="shared" si="98"/>
        <v>0</v>
      </c>
      <c r="L204" s="29" t="s">
        <v>1127</v>
      </c>
      <c r="Z204" s="34">
        <f t="shared" si="99"/>
        <v>0</v>
      </c>
      <c r="AB204" s="34">
        <f t="shared" si="100"/>
        <v>0</v>
      </c>
      <c r="AC204" s="34">
        <f t="shared" si="101"/>
        <v>0</v>
      </c>
      <c r="AD204" s="34">
        <f t="shared" si="102"/>
        <v>0</v>
      </c>
      <c r="AE204" s="34">
        <f t="shared" si="103"/>
        <v>0</v>
      </c>
      <c r="AF204" s="34">
        <f t="shared" si="104"/>
        <v>0</v>
      </c>
      <c r="AG204" s="34">
        <f t="shared" si="105"/>
        <v>0</v>
      </c>
      <c r="AH204" s="34">
        <f t="shared" si="106"/>
        <v>0</v>
      </c>
      <c r="AI204" s="28" t="s">
        <v>1137</v>
      </c>
      <c r="AJ204" s="18">
        <f t="shared" si="107"/>
        <v>0</v>
      </c>
      <c r="AK204" s="18">
        <f t="shared" si="108"/>
        <v>0</v>
      </c>
      <c r="AL204" s="18">
        <f t="shared" si="109"/>
        <v>0</v>
      </c>
      <c r="AN204" s="34">
        <v>21</v>
      </c>
      <c r="AO204" s="34">
        <f t="shared" si="110"/>
        <v>0</v>
      </c>
      <c r="AP204" s="34">
        <f t="shared" si="111"/>
        <v>0</v>
      </c>
      <c r="AQ204" s="29" t="s">
        <v>13</v>
      </c>
      <c r="AV204" s="34">
        <f t="shared" si="112"/>
        <v>0</v>
      </c>
      <c r="AW204" s="34">
        <f t="shared" si="113"/>
        <v>0</v>
      </c>
      <c r="AX204" s="34">
        <f t="shared" si="114"/>
        <v>0</v>
      </c>
      <c r="AY204" s="35" t="s">
        <v>1155</v>
      </c>
      <c r="AZ204" s="35" t="s">
        <v>1170</v>
      </c>
      <c r="BA204" s="28" t="s">
        <v>1176</v>
      </c>
      <c r="BC204" s="34">
        <f t="shared" si="115"/>
        <v>0</v>
      </c>
      <c r="BD204" s="34">
        <f t="shared" si="116"/>
        <v>0</v>
      </c>
      <c r="BE204" s="34">
        <v>0</v>
      </c>
      <c r="BF204" s="34">
        <f>204</f>
        <v>204</v>
      </c>
      <c r="BH204" s="18">
        <f t="shared" si="117"/>
        <v>0</v>
      </c>
      <c r="BI204" s="18">
        <f t="shared" si="118"/>
        <v>0</v>
      </c>
      <c r="BJ204" s="18">
        <f t="shared" si="119"/>
        <v>0</v>
      </c>
    </row>
    <row r="205" spans="1:62" x14ac:dyDescent="0.2">
      <c r="A205" s="5" t="s">
        <v>156</v>
      </c>
      <c r="B205" s="5" t="s">
        <v>111</v>
      </c>
      <c r="C205" s="135" t="s">
        <v>1324</v>
      </c>
      <c r="D205" s="136"/>
      <c r="E205" s="136"/>
      <c r="F205" s="5" t="s">
        <v>1101</v>
      </c>
      <c r="G205" s="18">
        <v>0.6</v>
      </c>
      <c r="H205" s="79">
        <v>0</v>
      </c>
      <c r="I205" s="18">
        <f t="shared" si="96"/>
        <v>0</v>
      </c>
      <c r="J205" s="18">
        <f t="shared" si="97"/>
        <v>0</v>
      </c>
      <c r="K205" s="18">
        <f t="shared" si="98"/>
        <v>0</v>
      </c>
      <c r="L205" s="29" t="s">
        <v>1127</v>
      </c>
      <c r="Z205" s="34">
        <f t="shared" si="99"/>
        <v>0</v>
      </c>
      <c r="AB205" s="34">
        <f t="shared" si="100"/>
        <v>0</v>
      </c>
      <c r="AC205" s="34">
        <f t="shared" si="101"/>
        <v>0</v>
      </c>
      <c r="AD205" s="34">
        <f t="shared" si="102"/>
        <v>0</v>
      </c>
      <c r="AE205" s="34">
        <f t="shared" si="103"/>
        <v>0</v>
      </c>
      <c r="AF205" s="34">
        <f t="shared" si="104"/>
        <v>0</v>
      </c>
      <c r="AG205" s="34">
        <f t="shared" si="105"/>
        <v>0</v>
      </c>
      <c r="AH205" s="34">
        <f t="shared" si="106"/>
        <v>0</v>
      </c>
      <c r="AI205" s="28" t="s">
        <v>1137</v>
      </c>
      <c r="AJ205" s="18">
        <f t="shared" si="107"/>
        <v>0</v>
      </c>
      <c r="AK205" s="18">
        <f t="shared" si="108"/>
        <v>0</v>
      </c>
      <c r="AL205" s="18">
        <f t="shared" si="109"/>
        <v>0</v>
      </c>
      <c r="AN205" s="34">
        <v>21</v>
      </c>
      <c r="AO205" s="34">
        <f t="shared" si="110"/>
        <v>0</v>
      </c>
      <c r="AP205" s="34">
        <f t="shared" si="111"/>
        <v>0</v>
      </c>
      <c r="AQ205" s="29" t="s">
        <v>13</v>
      </c>
      <c r="AV205" s="34">
        <f t="shared" si="112"/>
        <v>0</v>
      </c>
      <c r="AW205" s="34">
        <f t="shared" si="113"/>
        <v>0</v>
      </c>
      <c r="AX205" s="34">
        <f t="shared" si="114"/>
        <v>0</v>
      </c>
      <c r="AY205" s="35" t="s">
        <v>1155</v>
      </c>
      <c r="AZ205" s="35" t="s">
        <v>1170</v>
      </c>
      <c r="BA205" s="28" t="s">
        <v>1176</v>
      </c>
      <c r="BC205" s="34">
        <f t="shared" si="115"/>
        <v>0</v>
      </c>
      <c r="BD205" s="34">
        <f t="shared" si="116"/>
        <v>0</v>
      </c>
      <c r="BE205" s="34">
        <v>0</v>
      </c>
      <c r="BF205" s="34">
        <f>205</f>
        <v>205</v>
      </c>
      <c r="BH205" s="18">
        <f t="shared" si="117"/>
        <v>0</v>
      </c>
      <c r="BI205" s="18">
        <f t="shared" si="118"/>
        <v>0</v>
      </c>
      <c r="BJ205" s="18">
        <f t="shared" si="119"/>
        <v>0</v>
      </c>
    </row>
    <row r="206" spans="1:62" x14ac:dyDescent="0.2">
      <c r="A206" s="5" t="s">
        <v>157</v>
      </c>
      <c r="B206" s="5" t="s">
        <v>112</v>
      </c>
      <c r="C206" s="135" t="s">
        <v>1325</v>
      </c>
      <c r="D206" s="136"/>
      <c r="E206" s="136"/>
      <c r="F206" s="5" t="s">
        <v>1101</v>
      </c>
      <c r="G206" s="18">
        <v>1.9</v>
      </c>
      <c r="H206" s="79">
        <v>0</v>
      </c>
      <c r="I206" s="18">
        <f t="shared" si="96"/>
        <v>0</v>
      </c>
      <c r="J206" s="18">
        <f t="shared" si="97"/>
        <v>0</v>
      </c>
      <c r="K206" s="18">
        <f t="shared" si="98"/>
        <v>0</v>
      </c>
      <c r="L206" s="29" t="s">
        <v>1127</v>
      </c>
      <c r="Z206" s="34">
        <f t="shared" si="99"/>
        <v>0</v>
      </c>
      <c r="AB206" s="34">
        <f t="shared" si="100"/>
        <v>0</v>
      </c>
      <c r="AC206" s="34">
        <f t="shared" si="101"/>
        <v>0</v>
      </c>
      <c r="AD206" s="34">
        <f t="shared" si="102"/>
        <v>0</v>
      </c>
      <c r="AE206" s="34">
        <f t="shared" si="103"/>
        <v>0</v>
      </c>
      <c r="AF206" s="34">
        <f t="shared" si="104"/>
        <v>0</v>
      </c>
      <c r="AG206" s="34">
        <f t="shared" si="105"/>
        <v>0</v>
      </c>
      <c r="AH206" s="34">
        <f t="shared" si="106"/>
        <v>0</v>
      </c>
      <c r="AI206" s="28" t="s">
        <v>1137</v>
      </c>
      <c r="AJ206" s="18">
        <f t="shared" si="107"/>
        <v>0</v>
      </c>
      <c r="AK206" s="18">
        <f t="shared" si="108"/>
        <v>0</v>
      </c>
      <c r="AL206" s="18">
        <f t="shared" si="109"/>
        <v>0</v>
      </c>
      <c r="AN206" s="34">
        <v>21</v>
      </c>
      <c r="AO206" s="34">
        <f t="shared" si="110"/>
        <v>0</v>
      </c>
      <c r="AP206" s="34">
        <f t="shared" si="111"/>
        <v>0</v>
      </c>
      <c r="AQ206" s="29" t="s">
        <v>13</v>
      </c>
      <c r="AV206" s="34">
        <f t="shared" si="112"/>
        <v>0</v>
      </c>
      <c r="AW206" s="34">
        <f t="shared" si="113"/>
        <v>0</v>
      </c>
      <c r="AX206" s="34">
        <f t="shared" si="114"/>
        <v>0</v>
      </c>
      <c r="AY206" s="35" t="s">
        <v>1155</v>
      </c>
      <c r="AZ206" s="35" t="s">
        <v>1170</v>
      </c>
      <c r="BA206" s="28" t="s">
        <v>1176</v>
      </c>
      <c r="BC206" s="34">
        <f t="shared" si="115"/>
        <v>0</v>
      </c>
      <c r="BD206" s="34">
        <f t="shared" si="116"/>
        <v>0</v>
      </c>
      <c r="BE206" s="34">
        <v>0</v>
      </c>
      <c r="BF206" s="34">
        <f>206</f>
        <v>206</v>
      </c>
      <c r="BH206" s="18">
        <f t="shared" si="117"/>
        <v>0</v>
      </c>
      <c r="BI206" s="18">
        <f t="shared" si="118"/>
        <v>0</v>
      </c>
      <c r="BJ206" s="18">
        <f t="shared" si="119"/>
        <v>0</v>
      </c>
    </row>
    <row r="207" spans="1:62" x14ac:dyDescent="0.2">
      <c r="A207" s="5" t="s">
        <v>158</v>
      </c>
      <c r="B207" s="5" t="s">
        <v>113</v>
      </c>
      <c r="C207" s="135" t="s">
        <v>1326</v>
      </c>
      <c r="D207" s="136"/>
      <c r="E207" s="136"/>
      <c r="F207" s="5" t="s">
        <v>1101</v>
      </c>
      <c r="G207" s="18">
        <v>14.5</v>
      </c>
      <c r="H207" s="79">
        <v>0</v>
      </c>
      <c r="I207" s="18">
        <f t="shared" si="96"/>
        <v>0</v>
      </c>
      <c r="J207" s="18">
        <f t="shared" si="97"/>
        <v>0</v>
      </c>
      <c r="K207" s="18">
        <f t="shared" si="98"/>
        <v>0</v>
      </c>
      <c r="L207" s="29" t="s">
        <v>1127</v>
      </c>
      <c r="Z207" s="34">
        <f t="shared" si="99"/>
        <v>0</v>
      </c>
      <c r="AB207" s="34">
        <f t="shared" si="100"/>
        <v>0</v>
      </c>
      <c r="AC207" s="34">
        <f t="shared" si="101"/>
        <v>0</v>
      </c>
      <c r="AD207" s="34">
        <f t="shared" si="102"/>
        <v>0</v>
      </c>
      <c r="AE207" s="34">
        <f t="shared" si="103"/>
        <v>0</v>
      </c>
      <c r="AF207" s="34">
        <f t="shared" si="104"/>
        <v>0</v>
      </c>
      <c r="AG207" s="34">
        <f t="shared" si="105"/>
        <v>0</v>
      </c>
      <c r="AH207" s="34">
        <f t="shared" si="106"/>
        <v>0</v>
      </c>
      <c r="AI207" s="28" t="s">
        <v>1137</v>
      </c>
      <c r="AJ207" s="18">
        <f t="shared" si="107"/>
        <v>0</v>
      </c>
      <c r="AK207" s="18">
        <f t="shared" si="108"/>
        <v>0</v>
      </c>
      <c r="AL207" s="18">
        <f t="shared" si="109"/>
        <v>0</v>
      </c>
      <c r="AN207" s="34">
        <v>21</v>
      </c>
      <c r="AO207" s="34">
        <f t="shared" si="110"/>
        <v>0</v>
      </c>
      <c r="AP207" s="34">
        <f t="shared" si="111"/>
        <v>0</v>
      </c>
      <c r="AQ207" s="29" t="s">
        <v>13</v>
      </c>
      <c r="AV207" s="34">
        <f t="shared" si="112"/>
        <v>0</v>
      </c>
      <c r="AW207" s="34">
        <f t="shared" si="113"/>
        <v>0</v>
      </c>
      <c r="AX207" s="34">
        <f t="shared" si="114"/>
        <v>0</v>
      </c>
      <c r="AY207" s="35" t="s">
        <v>1155</v>
      </c>
      <c r="AZ207" s="35" t="s">
        <v>1170</v>
      </c>
      <c r="BA207" s="28" t="s">
        <v>1176</v>
      </c>
      <c r="BC207" s="34">
        <f t="shared" si="115"/>
        <v>0</v>
      </c>
      <c r="BD207" s="34">
        <f t="shared" si="116"/>
        <v>0</v>
      </c>
      <c r="BE207" s="34">
        <v>0</v>
      </c>
      <c r="BF207" s="34">
        <f>207</f>
        <v>207</v>
      </c>
      <c r="BH207" s="18">
        <f t="shared" si="117"/>
        <v>0</v>
      </c>
      <c r="BI207" s="18">
        <f t="shared" si="118"/>
        <v>0</v>
      </c>
      <c r="BJ207" s="18">
        <f t="shared" si="119"/>
        <v>0</v>
      </c>
    </row>
    <row r="208" spans="1:62" x14ac:dyDescent="0.2">
      <c r="A208" s="5" t="s">
        <v>159</v>
      </c>
      <c r="B208" s="5" t="s">
        <v>116</v>
      </c>
      <c r="C208" s="135" t="s">
        <v>1327</v>
      </c>
      <c r="D208" s="136"/>
      <c r="E208" s="136"/>
      <c r="F208" s="5" t="s">
        <v>1101</v>
      </c>
      <c r="G208" s="18">
        <v>6.5</v>
      </c>
      <c r="H208" s="79">
        <v>0</v>
      </c>
      <c r="I208" s="18">
        <f t="shared" si="96"/>
        <v>0</v>
      </c>
      <c r="J208" s="18">
        <f t="shared" si="97"/>
        <v>0</v>
      </c>
      <c r="K208" s="18">
        <f t="shared" si="98"/>
        <v>0</v>
      </c>
      <c r="L208" s="29" t="s">
        <v>1127</v>
      </c>
      <c r="Z208" s="34">
        <f t="shared" si="99"/>
        <v>0</v>
      </c>
      <c r="AB208" s="34">
        <f t="shared" si="100"/>
        <v>0</v>
      </c>
      <c r="AC208" s="34">
        <f t="shared" si="101"/>
        <v>0</v>
      </c>
      <c r="AD208" s="34">
        <f t="shared" si="102"/>
        <v>0</v>
      </c>
      <c r="AE208" s="34">
        <f t="shared" si="103"/>
        <v>0</v>
      </c>
      <c r="AF208" s="34">
        <f t="shared" si="104"/>
        <v>0</v>
      </c>
      <c r="AG208" s="34">
        <f t="shared" si="105"/>
        <v>0</v>
      </c>
      <c r="AH208" s="34">
        <f t="shared" si="106"/>
        <v>0</v>
      </c>
      <c r="AI208" s="28" t="s">
        <v>1137</v>
      </c>
      <c r="AJ208" s="18">
        <f t="shared" si="107"/>
        <v>0</v>
      </c>
      <c r="AK208" s="18">
        <f t="shared" si="108"/>
        <v>0</v>
      </c>
      <c r="AL208" s="18">
        <f t="shared" si="109"/>
        <v>0</v>
      </c>
      <c r="AN208" s="34">
        <v>21</v>
      </c>
      <c r="AO208" s="34">
        <f t="shared" si="110"/>
        <v>0</v>
      </c>
      <c r="AP208" s="34">
        <f t="shared" si="111"/>
        <v>0</v>
      </c>
      <c r="AQ208" s="29" t="s">
        <v>13</v>
      </c>
      <c r="AV208" s="34">
        <f t="shared" si="112"/>
        <v>0</v>
      </c>
      <c r="AW208" s="34">
        <f t="shared" si="113"/>
        <v>0</v>
      </c>
      <c r="AX208" s="34">
        <f t="shared" si="114"/>
        <v>0</v>
      </c>
      <c r="AY208" s="35" t="s">
        <v>1155</v>
      </c>
      <c r="AZ208" s="35" t="s">
        <v>1170</v>
      </c>
      <c r="BA208" s="28" t="s">
        <v>1176</v>
      </c>
      <c r="BC208" s="34">
        <f t="shared" si="115"/>
        <v>0</v>
      </c>
      <c r="BD208" s="34">
        <f t="shared" si="116"/>
        <v>0</v>
      </c>
      <c r="BE208" s="34">
        <v>0</v>
      </c>
      <c r="BF208" s="34">
        <f>208</f>
        <v>208</v>
      </c>
      <c r="BH208" s="18">
        <f t="shared" si="117"/>
        <v>0</v>
      </c>
      <c r="BI208" s="18">
        <f t="shared" si="118"/>
        <v>0</v>
      </c>
      <c r="BJ208" s="18">
        <f t="shared" si="119"/>
        <v>0</v>
      </c>
    </row>
    <row r="209" spans="1:62" x14ac:dyDescent="0.2">
      <c r="A209" s="5" t="s">
        <v>160</v>
      </c>
      <c r="B209" s="5" t="s">
        <v>119</v>
      </c>
      <c r="C209" s="135" t="s">
        <v>1320</v>
      </c>
      <c r="D209" s="136"/>
      <c r="E209" s="136"/>
      <c r="F209" s="5" t="s">
        <v>1101</v>
      </c>
      <c r="G209" s="18">
        <v>10.9</v>
      </c>
      <c r="H209" s="79">
        <v>0</v>
      </c>
      <c r="I209" s="18">
        <f t="shared" si="96"/>
        <v>0</v>
      </c>
      <c r="J209" s="18">
        <f t="shared" si="97"/>
        <v>0</v>
      </c>
      <c r="K209" s="18">
        <f t="shared" si="98"/>
        <v>0</v>
      </c>
      <c r="L209" s="29" t="s">
        <v>1127</v>
      </c>
      <c r="Z209" s="34">
        <f t="shared" si="99"/>
        <v>0</v>
      </c>
      <c r="AB209" s="34">
        <f t="shared" si="100"/>
        <v>0</v>
      </c>
      <c r="AC209" s="34">
        <f t="shared" si="101"/>
        <v>0</v>
      </c>
      <c r="AD209" s="34">
        <f t="shared" si="102"/>
        <v>0</v>
      </c>
      <c r="AE209" s="34">
        <f t="shared" si="103"/>
        <v>0</v>
      </c>
      <c r="AF209" s="34">
        <f t="shared" si="104"/>
        <v>0</v>
      </c>
      <c r="AG209" s="34">
        <f t="shared" si="105"/>
        <v>0</v>
      </c>
      <c r="AH209" s="34">
        <f t="shared" si="106"/>
        <v>0</v>
      </c>
      <c r="AI209" s="28" t="s">
        <v>1137</v>
      </c>
      <c r="AJ209" s="18">
        <f t="shared" si="107"/>
        <v>0</v>
      </c>
      <c r="AK209" s="18">
        <f t="shared" si="108"/>
        <v>0</v>
      </c>
      <c r="AL209" s="18">
        <f t="shared" si="109"/>
        <v>0</v>
      </c>
      <c r="AN209" s="34">
        <v>21</v>
      </c>
      <c r="AO209" s="34">
        <f t="shared" si="110"/>
        <v>0</v>
      </c>
      <c r="AP209" s="34">
        <f t="shared" si="111"/>
        <v>0</v>
      </c>
      <c r="AQ209" s="29" t="s">
        <v>13</v>
      </c>
      <c r="AV209" s="34">
        <f t="shared" si="112"/>
        <v>0</v>
      </c>
      <c r="AW209" s="34">
        <f t="shared" si="113"/>
        <v>0</v>
      </c>
      <c r="AX209" s="34">
        <f t="shared" si="114"/>
        <v>0</v>
      </c>
      <c r="AY209" s="35" t="s">
        <v>1155</v>
      </c>
      <c r="AZ209" s="35" t="s">
        <v>1170</v>
      </c>
      <c r="BA209" s="28" t="s">
        <v>1176</v>
      </c>
      <c r="BC209" s="34">
        <f t="shared" si="115"/>
        <v>0</v>
      </c>
      <c r="BD209" s="34">
        <f t="shared" si="116"/>
        <v>0</v>
      </c>
      <c r="BE209" s="34">
        <v>0</v>
      </c>
      <c r="BF209" s="34">
        <f>209</f>
        <v>209</v>
      </c>
      <c r="BH209" s="18">
        <f t="shared" si="117"/>
        <v>0</v>
      </c>
      <c r="BI209" s="18">
        <f t="shared" si="118"/>
        <v>0</v>
      </c>
      <c r="BJ209" s="18">
        <f t="shared" si="119"/>
        <v>0</v>
      </c>
    </row>
    <row r="210" spans="1:62" x14ac:dyDescent="0.2">
      <c r="A210" s="5" t="s">
        <v>161</v>
      </c>
      <c r="B210" s="5" t="s">
        <v>120</v>
      </c>
      <c r="C210" s="135" t="s">
        <v>879</v>
      </c>
      <c r="D210" s="136"/>
      <c r="E210" s="136"/>
      <c r="F210" s="5" t="s">
        <v>1103</v>
      </c>
      <c r="G210" s="18">
        <v>4</v>
      </c>
      <c r="H210" s="79">
        <v>0</v>
      </c>
      <c r="I210" s="18">
        <f t="shared" si="96"/>
        <v>0</v>
      </c>
      <c r="J210" s="18">
        <f t="shared" si="97"/>
        <v>0</v>
      </c>
      <c r="K210" s="18">
        <f t="shared" si="98"/>
        <v>0</v>
      </c>
      <c r="L210" s="29" t="s">
        <v>1127</v>
      </c>
      <c r="Z210" s="34">
        <f t="shared" si="99"/>
        <v>0</v>
      </c>
      <c r="AB210" s="34">
        <f t="shared" si="100"/>
        <v>0</v>
      </c>
      <c r="AC210" s="34">
        <f t="shared" si="101"/>
        <v>0</v>
      </c>
      <c r="AD210" s="34">
        <f t="shared" si="102"/>
        <v>0</v>
      </c>
      <c r="AE210" s="34">
        <f t="shared" si="103"/>
        <v>0</v>
      </c>
      <c r="AF210" s="34">
        <f t="shared" si="104"/>
        <v>0</v>
      </c>
      <c r="AG210" s="34">
        <f t="shared" si="105"/>
        <v>0</v>
      </c>
      <c r="AH210" s="34">
        <f t="shared" si="106"/>
        <v>0</v>
      </c>
      <c r="AI210" s="28" t="s">
        <v>1137</v>
      </c>
      <c r="AJ210" s="18">
        <f t="shared" si="107"/>
        <v>0</v>
      </c>
      <c r="AK210" s="18">
        <f t="shared" si="108"/>
        <v>0</v>
      </c>
      <c r="AL210" s="18">
        <f t="shared" si="109"/>
        <v>0</v>
      </c>
      <c r="AN210" s="34">
        <v>21</v>
      </c>
      <c r="AO210" s="34">
        <f t="shared" si="110"/>
        <v>0</v>
      </c>
      <c r="AP210" s="34">
        <f t="shared" si="111"/>
        <v>0</v>
      </c>
      <c r="AQ210" s="29" t="s">
        <v>13</v>
      </c>
      <c r="AV210" s="34">
        <f t="shared" si="112"/>
        <v>0</v>
      </c>
      <c r="AW210" s="34">
        <f t="shared" si="113"/>
        <v>0</v>
      </c>
      <c r="AX210" s="34">
        <f t="shared" si="114"/>
        <v>0</v>
      </c>
      <c r="AY210" s="35" t="s">
        <v>1155</v>
      </c>
      <c r="AZ210" s="35" t="s">
        <v>1170</v>
      </c>
      <c r="BA210" s="28" t="s">
        <v>1176</v>
      </c>
      <c r="BC210" s="34">
        <f t="shared" si="115"/>
        <v>0</v>
      </c>
      <c r="BD210" s="34">
        <f t="shared" si="116"/>
        <v>0</v>
      </c>
      <c r="BE210" s="34">
        <v>0</v>
      </c>
      <c r="BF210" s="34">
        <f>210</f>
        <v>210</v>
      </c>
      <c r="BH210" s="18">
        <f t="shared" si="117"/>
        <v>0</v>
      </c>
      <c r="BI210" s="18">
        <f t="shared" si="118"/>
        <v>0</v>
      </c>
      <c r="BJ210" s="18">
        <f t="shared" si="119"/>
        <v>0</v>
      </c>
    </row>
    <row r="211" spans="1:62" x14ac:dyDescent="0.2">
      <c r="A211" s="5" t="s">
        <v>162</v>
      </c>
      <c r="B211" s="5" t="s">
        <v>121</v>
      </c>
      <c r="C211" s="135" t="s">
        <v>880</v>
      </c>
      <c r="D211" s="136"/>
      <c r="E211" s="136"/>
      <c r="F211" s="5" t="s">
        <v>1103</v>
      </c>
      <c r="G211" s="18">
        <v>2</v>
      </c>
      <c r="H211" s="79">
        <v>0</v>
      </c>
      <c r="I211" s="18">
        <f t="shared" si="96"/>
        <v>0</v>
      </c>
      <c r="J211" s="18">
        <f t="shared" si="97"/>
        <v>0</v>
      </c>
      <c r="K211" s="18">
        <f t="shared" si="98"/>
        <v>0</v>
      </c>
      <c r="L211" s="29" t="s">
        <v>1127</v>
      </c>
      <c r="Z211" s="34">
        <f t="shared" si="99"/>
        <v>0</v>
      </c>
      <c r="AB211" s="34">
        <f t="shared" si="100"/>
        <v>0</v>
      </c>
      <c r="AC211" s="34">
        <f t="shared" si="101"/>
        <v>0</v>
      </c>
      <c r="AD211" s="34">
        <f t="shared" si="102"/>
        <v>0</v>
      </c>
      <c r="AE211" s="34">
        <f t="shared" si="103"/>
        <v>0</v>
      </c>
      <c r="AF211" s="34">
        <f t="shared" si="104"/>
        <v>0</v>
      </c>
      <c r="AG211" s="34">
        <f t="shared" si="105"/>
        <v>0</v>
      </c>
      <c r="AH211" s="34">
        <f t="shared" si="106"/>
        <v>0</v>
      </c>
      <c r="AI211" s="28" t="s">
        <v>1137</v>
      </c>
      <c r="AJ211" s="18">
        <f t="shared" si="107"/>
        <v>0</v>
      </c>
      <c r="AK211" s="18">
        <f t="shared" si="108"/>
        <v>0</v>
      </c>
      <c r="AL211" s="18">
        <f t="shared" si="109"/>
        <v>0</v>
      </c>
      <c r="AN211" s="34">
        <v>21</v>
      </c>
      <c r="AO211" s="34">
        <f t="shared" si="110"/>
        <v>0</v>
      </c>
      <c r="AP211" s="34">
        <f t="shared" si="111"/>
        <v>0</v>
      </c>
      <c r="AQ211" s="29" t="s">
        <v>13</v>
      </c>
      <c r="AV211" s="34">
        <f t="shared" si="112"/>
        <v>0</v>
      </c>
      <c r="AW211" s="34">
        <f t="shared" si="113"/>
        <v>0</v>
      </c>
      <c r="AX211" s="34">
        <f t="shared" si="114"/>
        <v>0</v>
      </c>
      <c r="AY211" s="35" t="s">
        <v>1155</v>
      </c>
      <c r="AZ211" s="35" t="s">
        <v>1170</v>
      </c>
      <c r="BA211" s="28" t="s">
        <v>1176</v>
      </c>
      <c r="BC211" s="34">
        <f t="shared" si="115"/>
        <v>0</v>
      </c>
      <c r="BD211" s="34">
        <f t="shared" si="116"/>
        <v>0</v>
      </c>
      <c r="BE211" s="34">
        <v>0</v>
      </c>
      <c r="BF211" s="34">
        <f>211</f>
        <v>211</v>
      </c>
      <c r="BH211" s="18">
        <f t="shared" si="117"/>
        <v>0</v>
      </c>
      <c r="BI211" s="18">
        <f t="shared" si="118"/>
        <v>0</v>
      </c>
      <c r="BJ211" s="18">
        <f t="shared" si="119"/>
        <v>0</v>
      </c>
    </row>
    <row r="212" spans="1:62" x14ac:dyDescent="0.2">
      <c r="A212" s="5" t="s">
        <v>163</v>
      </c>
      <c r="B212" s="5" t="s">
        <v>122</v>
      </c>
      <c r="C212" s="135" t="s">
        <v>881</v>
      </c>
      <c r="D212" s="136"/>
      <c r="E212" s="136"/>
      <c r="F212" s="5" t="s">
        <v>1103</v>
      </c>
      <c r="G212" s="18">
        <v>4</v>
      </c>
      <c r="H212" s="79">
        <v>0</v>
      </c>
      <c r="I212" s="18">
        <f t="shared" si="96"/>
        <v>0</v>
      </c>
      <c r="J212" s="18">
        <f t="shared" si="97"/>
        <v>0</v>
      </c>
      <c r="K212" s="18">
        <f t="shared" si="98"/>
        <v>0</v>
      </c>
      <c r="L212" s="29" t="s">
        <v>1127</v>
      </c>
      <c r="Z212" s="34">
        <f t="shared" si="99"/>
        <v>0</v>
      </c>
      <c r="AB212" s="34">
        <f t="shared" si="100"/>
        <v>0</v>
      </c>
      <c r="AC212" s="34">
        <f t="shared" si="101"/>
        <v>0</v>
      </c>
      <c r="AD212" s="34">
        <f t="shared" si="102"/>
        <v>0</v>
      </c>
      <c r="AE212" s="34">
        <f t="shared" si="103"/>
        <v>0</v>
      </c>
      <c r="AF212" s="34">
        <f t="shared" si="104"/>
        <v>0</v>
      </c>
      <c r="AG212" s="34">
        <f t="shared" si="105"/>
        <v>0</v>
      </c>
      <c r="AH212" s="34">
        <f t="shared" si="106"/>
        <v>0</v>
      </c>
      <c r="AI212" s="28" t="s">
        <v>1137</v>
      </c>
      <c r="AJ212" s="18">
        <f t="shared" si="107"/>
        <v>0</v>
      </c>
      <c r="AK212" s="18">
        <f t="shared" si="108"/>
        <v>0</v>
      </c>
      <c r="AL212" s="18">
        <f t="shared" si="109"/>
        <v>0</v>
      </c>
      <c r="AN212" s="34">
        <v>21</v>
      </c>
      <c r="AO212" s="34">
        <f t="shared" si="110"/>
        <v>0</v>
      </c>
      <c r="AP212" s="34">
        <f t="shared" si="111"/>
        <v>0</v>
      </c>
      <c r="AQ212" s="29" t="s">
        <v>13</v>
      </c>
      <c r="AV212" s="34">
        <f t="shared" si="112"/>
        <v>0</v>
      </c>
      <c r="AW212" s="34">
        <f t="shared" si="113"/>
        <v>0</v>
      </c>
      <c r="AX212" s="34">
        <f t="shared" si="114"/>
        <v>0</v>
      </c>
      <c r="AY212" s="35" t="s">
        <v>1155</v>
      </c>
      <c r="AZ212" s="35" t="s">
        <v>1170</v>
      </c>
      <c r="BA212" s="28" t="s">
        <v>1176</v>
      </c>
      <c r="BC212" s="34">
        <f t="shared" si="115"/>
        <v>0</v>
      </c>
      <c r="BD212" s="34">
        <f t="shared" si="116"/>
        <v>0</v>
      </c>
      <c r="BE212" s="34">
        <v>0</v>
      </c>
      <c r="BF212" s="34">
        <f>212</f>
        <v>212</v>
      </c>
      <c r="BH212" s="18">
        <f t="shared" si="117"/>
        <v>0</v>
      </c>
      <c r="BI212" s="18">
        <f t="shared" si="118"/>
        <v>0</v>
      </c>
      <c r="BJ212" s="18">
        <f t="shared" si="119"/>
        <v>0</v>
      </c>
    </row>
    <row r="213" spans="1:62" x14ac:dyDescent="0.2">
      <c r="A213" s="5" t="s">
        <v>164</v>
      </c>
      <c r="B213" s="5" t="s">
        <v>125</v>
      </c>
      <c r="C213" s="135" t="s">
        <v>882</v>
      </c>
      <c r="D213" s="136"/>
      <c r="E213" s="136"/>
      <c r="F213" s="5" t="s">
        <v>1103</v>
      </c>
      <c r="G213" s="18">
        <v>1</v>
      </c>
      <c r="H213" s="79">
        <v>0</v>
      </c>
      <c r="I213" s="18">
        <f t="shared" si="96"/>
        <v>0</v>
      </c>
      <c r="J213" s="18">
        <f t="shared" si="97"/>
        <v>0</v>
      </c>
      <c r="K213" s="18">
        <f t="shared" si="98"/>
        <v>0</v>
      </c>
      <c r="L213" s="29" t="s">
        <v>1127</v>
      </c>
      <c r="Z213" s="34">
        <f t="shared" si="99"/>
        <v>0</v>
      </c>
      <c r="AB213" s="34">
        <f t="shared" si="100"/>
        <v>0</v>
      </c>
      <c r="AC213" s="34">
        <f t="shared" si="101"/>
        <v>0</v>
      </c>
      <c r="AD213" s="34">
        <f t="shared" si="102"/>
        <v>0</v>
      </c>
      <c r="AE213" s="34">
        <f t="shared" si="103"/>
        <v>0</v>
      </c>
      <c r="AF213" s="34">
        <f t="shared" si="104"/>
        <v>0</v>
      </c>
      <c r="AG213" s="34">
        <f t="shared" si="105"/>
        <v>0</v>
      </c>
      <c r="AH213" s="34">
        <f t="shared" si="106"/>
        <v>0</v>
      </c>
      <c r="AI213" s="28" t="s">
        <v>1137</v>
      </c>
      <c r="AJ213" s="18">
        <f t="shared" si="107"/>
        <v>0</v>
      </c>
      <c r="AK213" s="18">
        <f t="shared" si="108"/>
        <v>0</v>
      </c>
      <c r="AL213" s="18">
        <f t="shared" si="109"/>
        <v>0</v>
      </c>
      <c r="AN213" s="34">
        <v>21</v>
      </c>
      <c r="AO213" s="34">
        <f t="shared" si="110"/>
        <v>0</v>
      </c>
      <c r="AP213" s="34">
        <f t="shared" si="111"/>
        <v>0</v>
      </c>
      <c r="AQ213" s="29" t="s">
        <v>13</v>
      </c>
      <c r="AV213" s="34">
        <f t="shared" si="112"/>
        <v>0</v>
      </c>
      <c r="AW213" s="34">
        <f t="shared" si="113"/>
        <v>0</v>
      </c>
      <c r="AX213" s="34">
        <f t="shared" si="114"/>
        <v>0</v>
      </c>
      <c r="AY213" s="35" t="s">
        <v>1155</v>
      </c>
      <c r="AZ213" s="35" t="s">
        <v>1170</v>
      </c>
      <c r="BA213" s="28" t="s">
        <v>1176</v>
      </c>
      <c r="BC213" s="34">
        <f t="shared" si="115"/>
        <v>0</v>
      </c>
      <c r="BD213" s="34">
        <f t="shared" si="116"/>
        <v>0</v>
      </c>
      <c r="BE213" s="34">
        <v>0</v>
      </c>
      <c r="BF213" s="34">
        <f>213</f>
        <v>213</v>
      </c>
      <c r="BH213" s="18">
        <f t="shared" si="117"/>
        <v>0</v>
      </c>
      <c r="BI213" s="18">
        <f t="shared" si="118"/>
        <v>0</v>
      </c>
      <c r="BJ213" s="18">
        <f t="shared" si="119"/>
        <v>0</v>
      </c>
    </row>
    <row r="214" spans="1:62" x14ac:dyDescent="0.2">
      <c r="A214" s="5" t="s">
        <v>165</v>
      </c>
      <c r="B214" s="5" t="s">
        <v>128</v>
      </c>
      <c r="C214" s="135" t="s">
        <v>883</v>
      </c>
      <c r="D214" s="136"/>
      <c r="E214" s="136"/>
      <c r="F214" s="5" t="s">
        <v>1103</v>
      </c>
      <c r="G214" s="18">
        <v>1</v>
      </c>
      <c r="H214" s="79">
        <v>0</v>
      </c>
      <c r="I214" s="18">
        <f t="shared" si="96"/>
        <v>0</v>
      </c>
      <c r="J214" s="18">
        <f t="shared" si="97"/>
        <v>0</v>
      </c>
      <c r="K214" s="18">
        <f t="shared" si="98"/>
        <v>0</v>
      </c>
      <c r="L214" s="29" t="s">
        <v>1127</v>
      </c>
      <c r="Z214" s="34">
        <f t="shared" si="99"/>
        <v>0</v>
      </c>
      <c r="AB214" s="34">
        <f t="shared" si="100"/>
        <v>0</v>
      </c>
      <c r="AC214" s="34">
        <f t="shared" si="101"/>
        <v>0</v>
      </c>
      <c r="AD214" s="34">
        <f t="shared" si="102"/>
        <v>0</v>
      </c>
      <c r="AE214" s="34">
        <f t="shared" si="103"/>
        <v>0</v>
      </c>
      <c r="AF214" s="34">
        <f t="shared" si="104"/>
        <v>0</v>
      </c>
      <c r="AG214" s="34">
        <f t="shared" si="105"/>
        <v>0</v>
      </c>
      <c r="AH214" s="34">
        <f t="shared" si="106"/>
        <v>0</v>
      </c>
      <c r="AI214" s="28" t="s">
        <v>1137</v>
      </c>
      <c r="AJ214" s="18">
        <f t="shared" si="107"/>
        <v>0</v>
      </c>
      <c r="AK214" s="18">
        <f t="shared" si="108"/>
        <v>0</v>
      </c>
      <c r="AL214" s="18">
        <f t="shared" si="109"/>
        <v>0</v>
      </c>
      <c r="AN214" s="34">
        <v>21</v>
      </c>
      <c r="AO214" s="34">
        <f t="shared" si="110"/>
        <v>0</v>
      </c>
      <c r="AP214" s="34">
        <f t="shared" si="111"/>
        <v>0</v>
      </c>
      <c r="AQ214" s="29" t="s">
        <v>13</v>
      </c>
      <c r="AV214" s="34">
        <f t="shared" si="112"/>
        <v>0</v>
      </c>
      <c r="AW214" s="34">
        <f t="shared" si="113"/>
        <v>0</v>
      </c>
      <c r="AX214" s="34">
        <f t="shared" si="114"/>
        <v>0</v>
      </c>
      <c r="AY214" s="35" t="s">
        <v>1155</v>
      </c>
      <c r="AZ214" s="35" t="s">
        <v>1170</v>
      </c>
      <c r="BA214" s="28" t="s">
        <v>1176</v>
      </c>
      <c r="BC214" s="34">
        <f t="shared" si="115"/>
        <v>0</v>
      </c>
      <c r="BD214" s="34">
        <f t="shared" si="116"/>
        <v>0</v>
      </c>
      <c r="BE214" s="34">
        <v>0</v>
      </c>
      <c r="BF214" s="34">
        <f>214</f>
        <v>214</v>
      </c>
      <c r="BH214" s="18">
        <f t="shared" si="117"/>
        <v>0</v>
      </c>
      <c r="BI214" s="18">
        <f t="shared" si="118"/>
        <v>0</v>
      </c>
      <c r="BJ214" s="18">
        <f t="shared" si="119"/>
        <v>0</v>
      </c>
    </row>
    <row r="215" spans="1:62" x14ac:dyDescent="0.2">
      <c r="A215" s="5" t="s">
        <v>166</v>
      </c>
      <c r="B215" s="5" t="s">
        <v>131</v>
      </c>
      <c r="C215" s="135" t="s">
        <v>884</v>
      </c>
      <c r="D215" s="136"/>
      <c r="E215" s="136"/>
      <c r="F215" s="5" t="s">
        <v>1103</v>
      </c>
      <c r="G215" s="18">
        <v>1</v>
      </c>
      <c r="H215" s="79">
        <v>0</v>
      </c>
      <c r="I215" s="18">
        <f t="shared" si="96"/>
        <v>0</v>
      </c>
      <c r="J215" s="18">
        <f t="shared" si="97"/>
        <v>0</v>
      </c>
      <c r="K215" s="18">
        <f t="shared" si="98"/>
        <v>0</v>
      </c>
      <c r="L215" s="29" t="s">
        <v>1127</v>
      </c>
      <c r="Z215" s="34">
        <f t="shared" si="99"/>
        <v>0</v>
      </c>
      <c r="AB215" s="34">
        <f t="shared" si="100"/>
        <v>0</v>
      </c>
      <c r="AC215" s="34">
        <f t="shared" si="101"/>
        <v>0</v>
      </c>
      <c r="AD215" s="34">
        <f t="shared" si="102"/>
        <v>0</v>
      </c>
      <c r="AE215" s="34">
        <f t="shared" si="103"/>
        <v>0</v>
      </c>
      <c r="AF215" s="34">
        <f t="shared" si="104"/>
        <v>0</v>
      </c>
      <c r="AG215" s="34">
        <f t="shared" si="105"/>
        <v>0</v>
      </c>
      <c r="AH215" s="34">
        <f t="shared" si="106"/>
        <v>0</v>
      </c>
      <c r="AI215" s="28" t="s">
        <v>1137</v>
      </c>
      <c r="AJ215" s="18">
        <f t="shared" si="107"/>
        <v>0</v>
      </c>
      <c r="AK215" s="18">
        <f t="shared" si="108"/>
        <v>0</v>
      </c>
      <c r="AL215" s="18">
        <f t="shared" si="109"/>
        <v>0</v>
      </c>
      <c r="AN215" s="34">
        <v>21</v>
      </c>
      <c r="AO215" s="34">
        <f t="shared" si="110"/>
        <v>0</v>
      </c>
      <c r="AP215" s="34">
        <f t="shared" si="111"/>
        <v>0</v>
      </c>
      <c r="AQ215" s="29" t="s">
        <v>13</v>
      </c>
      <c r="AV215" s="34">
        <f t="shared" si="112"/>
        <v>0</v>
      </c>
      <c r="AW215" s="34">
        <f t="shared" si="113"/>
        <v>0</v>
      </c>
      <c r="AX215" s="34">
        <f t="shared" si="114"/>
        <v>0</v>
      </c>
      <c r="AY215" s="35" t="s">
        <v>1155</v>
      </c>
      <c r="AZ215" s="35" t="s">
        <v>1170</v>
      </c>
      <c r="BA215" s="28" t="s">
        <v>1176</v>
      </c>
      <c r="BC215" s="34">
        <f t="shared" si="115"/>
        <v>0</v>
      </c>
      <c r="BD215" s="34">
        <f t="shared" si="116"/>
        <v>0</v>
      </c>
      <c r="BE215" s="34">
        <v>0</v>
      </c>
      <c r="BF215" s="34">
        <f>215</f>
        <v>215</v>
      </c>
      <c r="BH215" s="18">
        <f t="shared" si="117"/>
        <v>0</v>
      </c>
      <c r="BI215" s="18">
        <f t="shared" si="118"/>
        <v>0</v>
      </c>
      <c r="BJ215" s="18">
        <f t="shared" si="119"/>
        <v>0</v>
      </c>
    </row>
    <row r="216" spans="1:62" x14ac:dyDescent="0.2">
      <c r="A216" s="5" t="s">
        <v>167</v>
      </c>
      <c r="B216" s="5" t="s">
        <v>134</v>
      </c>
      <c r="C216" s="135" t="s">
        <v>885</v>
      </c>
      <c r="D216" s="136"/>
      <c r="E216" s="136"/>
      <c r="F216" s="5" t="s">
        <v>1103</v>
      </c>
      <c r="G216" s="18">
        <v>1</v>
      </c>
      <c r="H216" s="79">
        <v>0</v>
      </c>
      <c r="I216" s="18">
        <f t="shared" si="96"/>
        <v>0</v>
      </c>
      <c r="J216" s="18">
        <f t="shared" si="97"/>
        <v>0</v>
      </c>
      <c r="K216" s="18">
        <f t="shared" si="98"/>
        <v>0</v>
      </c>
      <c r="L216" s="29" t="s">
        <v>1127</v>
      </c>
      <c r="Z216" s="34">
        <f t="shared" si="99"/>
        <v>0</v>
      </c>
      <c r="AB216" s="34">
        <f t="shared" si="100"/>
        <v>0</v>
      </c>
      <c r="AC216" s="34">
        <f t="shared" si="101"/>
        <v>0</v>
      </c>
      <c r="AD216" s="34">
        <f t="shared" si="102"/>
        <v>0</v>
      </c>
      <c r="AE216" s="34">
        <f t="shared" si="103"/>
        <v>0</v>
      </c>
      <c r="AF216" s="34">
        <f t="shared" si="104"/>
        <v>0</v>
      </c>
      <c r="AG216" s="34">
        <f t="shared" si="105"/>
        <v>0</v>
      </c>
      <c r="AH216" s="34">
        <f t="shared" si="106"/>
        <v>0</v>
      </c>
      <c r="AI216" s="28" t="s">
        <v>1137</v>
      </c>
      <c r="AJ216" s="18">
        <f t="shared" si="107"/>
        <v>0</v>
      </c>
      <c r="AK216" s="18">
        <f t="shared" si="108"/>
        <v>0</v>
      </c>
      <c r="AL216" s="18">
        <f t="shared" si="109"/>
        <v>0</v>
      </c>
      <c r="AN216" s="34">
        <v>21</v>
      </c>
      <c r="AO216" s="34">
        <f t="shared" si="110"/>
        <v>0</v>
      </c>
      <c r="AP216" s="34">
        <f t="shared" si="111"/>
        <v>0</v>
      </c>
      <c r="AQ216" s="29" t="s">
        <v>13</v>
      </c>
      <c r="AV216" s="34">
        <f t="shared" si="112"/>
        <v>0</v>
      </c>
      <c r="AW216" s="34">
        <f t="shared" si="113"/>
        <v>0</v>
      </c>
      <c r="AX216" s="34">
        <f t="shared" si="114"/>
        <v>0</v>
      </c>
      <c r="AY216" s="35" t="s">
        <v>1155</v>
      </c>
      <c r="AZ216" s="35" t="s">
        <v>1170</v>
      </c>
      <c r="BA216" s="28" t="s">
        <v>1176</v>
      </c>
      <c r="BC216" s="34">
        <f t="shared" si="115"/>
        <v>0</v>
      </c>
      <c r="BD216" s="34">
        <f t="shared" si="116"/>
        <v>0</v>
      </c>
      <c r="BE216" s="34">
        <v>0</v>
      </c>
      <c r="BF216" s="34">
        <f>216</f>
        <v>216</v>
      </c>
      <c r="BH216" s="18">
        <f t="shared" si="117"/>
        <v>0</v>
      </c>
      <c r="BI216" s="18">
        <f t="shared" si="118"/>
        <v>0</v>
      </c>
      <c r="BJ216" s="18">
        <f t="shared" si="119"/>
        <v>0</v>
      </c>
    </row>
    <row r="217" spans="1:62" x14ac:dyDescent="0.2">
      <c r="A217" s="5" t="s">
        <v>168</v>
      </c>
      <c r="B217" s="5" t="s">
        <v>137</v>
      </c>
      <c r="C217" s="135" t="s">
        <v>886</v>
      </c>
      <c r="D217" s="136"/>
      <c r="E217" s="136"/>
      <c r="F217" s="5" t="s">
        <v>1103</v>
      </c>
      <c r="G217" s="18">
        <v>1</v>
      </c>
      <c r="H217" s="79">
        <v>0</v>
      </c>
      <c r="I217" s="18">
        <f t="shared" si="96"/>
        <v>0</v>
      </c>
      <c r="J217" s="18">
        <f t="shared" si="97"/>
        <v>0</v>
      </c>
      <c r="K217" s="18">
        <f t="shared" si="98"/>
        <v>0</v>
      </c>
      <c r="L217" s="29" t="s">
        <v>1127</v>
      </c>
      <c r="Z217" s="34">
        <f t="shared" si="99"/>
        <v>0</v>
      </c>
      <c r="AB217" s="34">
        <f t="shared" si="100"/>
        <v>0</v>
      </c>
      <c r="AC217" s="34">
        <f t="shared" si="101"/>
        <v>0</v>
      </c>
      <c r="AD217" s="34">
        <f t="shared" si="102"/>
        <v>0</v>
      </c>
      <c r="AE217" s="34">
        <f t="shared" si="103"/>
        <v>0</v>
      </c>
      <c r="AF217" s="34">
        <f t="shared" si="104"/>
        <v>0</v>
      </c>
      <c r="AG217" s="34">
        <f t="shared" si="105"/>
        <v>0</v>
      </c>
      <c r="AH217" s="34">
        <f t="shared" si="106"/>
        <v>0</v>
      </c>
      <c r="AI217" s="28" t="s">
        <v>1137</v>
      </c>
      <c r="AJ217" s="18">
        <f t="shared" si="107"/>
        <v>0</v>
      </c>
      <c r="AK217" s="18">
        <f t="shared" si="108"/>
        <v>0</v>
      </c>
      <c r="AL217" s="18">
        <f t="shared" si="109"/>
        <v>0</v>
      </c>
      <c r="AN217" s="34">
        <v>21</v>
      </c>
      <c r="AO217" s="34">
        <f t="shared" si="110"/>
        <v>0</v>
      </c>
      <c r="AP217" s="34">
        <f t="shared" si="111"/>
        <v>0</v>
      </c>
      <c r="AQ217" s="29" t="s">
        <v>13</v>
      </c>
      <c r="AV217" s="34">
        <f t="shared" si="112"/>
        <v>0</v>
      </c>
      <c r="AW217" s="34">
        <f t="shared" si="113"/>
        <v>0</v>
      </c>
      <c r="AX217" s="34">
        <f t="shared" si="114"/>
        <v>0</v>
      </c>
      <c r="AY217" s="35" t="s">
        <v>1155</v>
      </c>
      <c r="AZ217" s="35" t="s">
        <v>1170</v>
      </c>
      <c r="BA217" s="28" t="s">
        <v>1176</v>
      </c>
      <c r="BC217" s="34">
        <f t="shared" si="115"/>
        <v>0</v>
      </c>
      <c r="BD217" s="34">
        <f t="shared" si="116"/>
        <v>0</v>
      </c>
      <c r="BE217" s="34">
        <v>0</v>
      </c>
      <c r="BF217" s="34">
        <f>217</f>
        <v>217</v>
      </c>
      <c r="BH217" s="18">
        <f t="shared" si="117"/>
        <v>0</v>
      </c>
      <c r="BI217" s="18">
        <f t="shared" si="118"/>
        <v>0</v>
      </c>
      <c r="BJ217" s="18">
        <f t="shared" si="119"/>
        <v>0</v>
      </c>
    </row>
    <row r="218" spans="1:62" x14ac:dyDescent="0.2">
      <c r="A218" s="5" t="s">
        <v>169</v>
      </c>
      <c r="B218" s="5" t="s">
        <v>140</v>
      </c>
      <c r="C218" s="135" t="s">
        <v>887</v>
      </c>
      <c r="D218" s="136"/>
      <c r="E218" s="136"/>
      <c r="F218" s="5" t="s">
        <v>1103</v>
      </c>
      <c r="G218" s="18">
        <v>4</v>
      </c>
      <c r="H218" s="79">
        <v>0</v>
      </c>
      <c r="I218" s="18">
        <f t="shared" si="96"/>
        <v>0</v>
      </c>
      <c r="J218" s="18">
        <f t="shared" si="97"/>
        <v>0</v>
      </c>
      <c r="K218" s="18">
        <f t="shared" si="98"/>
        <v>0</v>
      </c>
      <c r="L218" s="29" t="s">
        <v>1127</v>
      </c>
      <c r="Z218" s="34">
        <f t="shared" si="99"/>
        <v>0</v>
      </c>
      <c r="AB218" s="34">
        <f t="shared" si="100"/>
        <v>0</v>
      </c>
      <c r="AC218" s="34">
        <f t="shared" si="101"/>
        <v>0</v>
      </c>
      <c r="AD218" s="34">
        <f t="shared" si="102"/>
        <v>0</v>
      </c>
      <c r="AE218" s="34">
        <f t="shared" si="103"/>
        <v>0</v>
      </c>
      <c r="AF218" s="34">
        <f t="shared" si="104"/>
        <v>0</v>
      </c>
      <c r="AG218" s="34">
        <f t="shared" si="105"/>
        <v>0</v>
      </c>
      <c r="AH218" s="34">
        <f t="shared" si="106"/>
        <v>0</v>
      </c>
      <c r="AI218" s="28" t="s">
        <v>1137</v>
      </c>
      <c r="AJ218" s="18">
        <f t="shared" si="107"/>
        <v>0</v>
      </c>
      <c r="AK218" s="18">
        <f t="shared" si="108"/>
        <v>0</v>
      </c>
      <c r="AL218" s="18">
        <f t="shared" si="109"/>
        <v>0</v>
      </c>
      <c r="AN218" s="34">
        <v>21</v>
      </c>
      <c r="AO218" s="34">
        <f t="shared" si="110"/>
        <v>0</v>
      </c>
      <c r="AP218" s="34">
        <f t="shared" si="111"/>
        <v>0</v>
      </c>
      <c r="AQ218" s="29" t="s">
        <v>13</v>
      </c>
      <c r="AV218" s="34">
        <f t="shared" si="112"/>
        <v>0</v>
      </c>
      <c r="AW218" s="34">
        <f t="shared" si="113"/>
        <v>0</v>
      </c>
      <c r="AX218" s="34">
        <f t="shared" si="114"/>
        <v>0</v>
      </c>
      <c r="AY218" s="35" t="s">
        <v>1155</v>
      </c>
      <c r="AZ218" s="35" t="s">
        <v>1170</v>
      </c>
      <c r="BA218" s="28" t="s">
        <v>1176</v>
      </c>
      <c r="BC218" s="34">
        <f t="shared" si="115"/>
        <v>0</v>
      </c>
      <c r="BD218" s="34">
        <f t="shared" si="116"/>
        <v>0</v>
      </c>
      <c r="BE218" s="34">
        <v>0</v>
      </c>
      <c r="BF218" s="34">
        <f>218</f>
        <v>218</v>
      </c>
      <c r="BH218" s="18">
        <f t="shared" si="117"/>
        <v>0</v>
      </c>
      <c r="BI218" s="18">
        <f t="shared" si="118"/>
        <v>0</v>
      </c>
      <c r="BJ218" s="18">
        <f t="shared" si="119"/>
        <v>0</v>
      </c>
    </row>
    <row r="219" spans="1:62" x14ac:dyDescent="0.2">
      <c r="A219" s="5" t="s">
        <v>170</v>
      </c>
      <c r="B219" s="5" t="s">
        <v>143</v>
      </c>
      <c r="C219" s="135" t="s">
        <v>888</v>
      </c>
      <c r="D219" s="136"/>
      <c r="E219" s="136"/>
      <c r="F219" s="5" t="s">
        <v>1103</v>
      </c>
      <c r="G219" s="18">
        <v>8</v>
      </c>
      <c r="H219" s="79">
        <v>0</v>
      </c>
      <c r="I219" s="18">
        <f t="shared" si="96"/>
        <v>0</v>
      </c>
      <c r="J219" s="18">
        <f t="shared" si="97"/>
        <v>0</v>
      </c>
      <c r="K219" s="18">
        <f t="shared" si="98"/>
        <v>0</v>
      </c>
      <c r="L219" s="29" t="s">
        <v>1127</v>
      </c>
      <c r="Z219" s="34">
        <f t="shared" si="99"/>
        <v>0</v>
      </c>
      <c r="AB219" s="34">
        <f t="shared" si="100"/>
        <v>0</v>
      </c>
      <c r="AC219" s="34">
        <f t="shared" si="101"/>
        <v>0</v>
      </c>
      <c r="AD219" s="34">
        <f t="shared" si="102"/>
        <v>0</v>
      </c>
      <c r="AE219" s="34">
        <f t="shared" si="103"/>
        <v>0</v>
      </c>
      <c r="AF219" s="34">
        <f t="shared" si="104"/>
        <v>0</v>
      </c>
      <c r="AG219" s="34">
        <f t="shared" si="105"/>
        <v>0</v>
      </c>
      <c r="AH219" s="34">
        <f t="shared" si="106"/>
        <v>0</v>
      </c>
      <c r="AI219" s="28" t="s">
        <v>1137</v>
      </c>
      <c r="AJ219" s="18">
        <f t="shared" si="107"/>
        <v>0</v>
      </c>
      <c r="AK219" s="18">
        <f t="shared" si="108"/>
        <v>0</v>
      </c>
      <c r="AL219" s="18">
        <f t="shared" si="109"/>
        <v>0</v>
      </c>
      <c r="AN219" s="34">
        <v>21</v>
      </c>
      <c r="AO219" s="34">
        <f t="shared" si="110"/>
        <v>0</v>
      </c>
      <c r="AP219" s="34">
        <f t="shared" si="111"/>
        <v>0</v>
      </c>
      <c r="AQ219" s="29" t="s">
        <v>13</v>
      </c>
      <c r="AV219" s="34">
        <f t="shared" si="112"/>
        <v>0</v>
      </c>
      <c r="AW219" s="34">
        <f t="shared" si="113"/>
        <v>0</v>
      </c>
      <c r="AX219" s="34">
        <f t="shared" si="114"/>
        <v>0</v>
      </c>
      <c r="AY219" s="35" t="s">
        <v>1155</v>
      </c>
      <c r="AZ219" s="35" t="s">
        <v>1170</v>
      </c>
      <c r="BA219" s="28" t="s">
        <v>1176</v>
      </c>
      <c r="BC219" s="34">
        <f t="shared" si="115"/>
        <v>0</v>
      </c>
      <c r="BD219" s="34">
        <f t="shared" si="116"/>
        <v>0</v>
      </c>
      <c r="BE219" s="34">
        <v>0</v>
      </c>
      <c r="BF219" s="34">
        <f>219</f>
        <v>219</v>
      </c>
      <c r="BH219" s="18">
        <f t="shared" si="117"/>
        <v>0</v>
      </c>
      <c r="BI219" s="18">
        <f t="shared" si="118"/>
        <v>0</v>
      </c>
      <c r="BJ219" s="18">
        <f t="shared" si="119"/>
        <v>0</v>
      </c>
    </row>
    <row r="220" spans="1:62" x14ac:dyDescent="0.2">
      <c r="A220" s="5" t="s">
        <v>171</v>
      </c>
      <c r="B220" s="5" t="s">
        <v>144</v>
      </c>
      <c r="C220" s="135" t="s">
        <v>889</v>
      </c>
      <c r="D220" s="136"/>
      <c r="E220" s="136"/>
      <c r="F220" s="5" t="s">
        <v>1100</v>
      </c>
      <c r="G220" s="18">
        <v>15.31967</v>
      </c>
      <c r="H220" s="79">
        <v>0</v>
      </c>
      <c r="I220" s="18">
        <f t="shared" si="96"/>
        <v>0</v>
      </c>
      <c r="J220" s="18">
        <f t="shared" si="97"/>
        <v>0</v>
      </c>
      <c r="K220" s="18">
        <f t="shared" si="98"/>
        <v>0</v>
      </c>
      <c r="L220" s="29" t="s">
        <v>1127</v>
      </c>
      <c r="Z220" s="34">
        <f t="shared" si="99"/>
        <v>0</v>
      </c>
      <c r="AB220" s="34">
        <f t="shared" si="100"/>
        <v>0</v>
      </c>
      <c r="AC220" s="34">
        <f t="shared" si="101"/>
        <v>0</v>
      </c>
      <c r="AD220" s="34">
        <f t="shared" si="102"/>
        <v>0</v>
      </c>
      <c r="AE220" s="34">
        <f t="shared" si="103"/>
        <v>0</v>
      </c>
      <c r="AF220" s="34">
        <f t="shared" si="104"/>
        <v>0</v>
      </c>
      <c r="AG220" s="34">
        <f t="shared" si="105"/>
        <v>0</v>
      </c>
      <c r="AH220" s="34">
        <f t="shared" si="106"/>
        <v>0</v>
      </c>
      <c r="AI220" s="28" t="s">
        <v>1137</v>
      </c>
      <c r="AJ220" s="18">
        <f t="shared" si="107"/>
        <v>0</v>
      </c>
      <c r="AK220" s="18">
        <f t="shared" si="108"/>
        <v>0</v>
      </c>
      <c r="AL220" s="18">
        <f t="shared" si="109"/>
        <v>0</v>
      </c>
      <c r="AN220" s="34">
        <v>21</v>
      </c>
      <c r="AO220" s="34">
        <f t="shared" si="110"/>
        <v>0</v>
      </c>
      <c r="AP220" s="34">
        <f t="shared" si="111"/>
        <v>0</v>
      </c>
      <c r="AQ220" s="29" t="s">
        <v>13</v>
      </c>
      <c r="AV220" s="34">
        <f t="shared" si="112"/>
        <v>0</v>
      </c>
      <c r="AW220" s="34">
        <f t="shared" si="113"/>
        <v>0</v>
      </c>
      <c r="AX220" s="34">
        <f t="shared" si="114"/>
        <v>0</v>
      </c>
      <c r="AY220" s="35" t="s">
        <v>1155</v>
      </c>
      <c r="AZ220" s="35" t="s">
        <v>1170</v>
      </c>
      <c r="BA220" s="28" t="s">
        <v>1176</v>
      </c>
      <c r="BC220" s="34">
        <f t="shared" si="115"/>
        <v>0</v>
      </c>
      <c r="BD220" s="34">
        <f t="shared" si="116"/>
        <v>0</v>
      </c>
      <c r="BE220" s="34">
        <v>0</v>
      </c>
      <c r="BF220" s="34">
        <f>220</f>
        <v>220</v>
      </c>
      <c r="BH220" s="18">
        <f t="shared" si="117"/>
        <v>0</v>
      </c>
      <c r="BI220" s="18">
        <f t="shared" si="118"/>
        <v>0</v>
      </c>
      <c r="BJ220" s="18">
        <f t="shared" si="119"/>
        <v>0</v>
      </c>
    </row>
    <row r="221" spans="1:62" x14ac:dyDescent="0.2">
      <c r="A221" s="5" t="s">
        <v>172</v>
      </c>
      <c r="B221" s="5" t="s">
        <v>145</v>
      </c>
      <c r="C221" s="135" t="s">
        <v>890</v>
      </c>
      <c r="D221" s="136"/>
      <c r="E221" s="136"/>
      <c r="F221" s="5" t="s">
        <v>1105</v>
      </c>
      <c r="G221" s="18">
        <v>25</v>
      </c>
      <c r="H221" s="79">
        <v>0</v>
      </c>
      <c r="I221" s="18">
        <f t="shared" si="96"/>
        <v>0</v>
      </c>
      <c r="J221" s="18">
        <f t="shared" si="97"/>
        <v>0</v>
      </c>
      <c r="K221" s="18">
        <f t="shared" si="98"/>
        <v>0</v>
      </c>
      <c r="L221" s="29" t="s">
        <v>1127</v>
      </c>
      <c r="Z221" s="34">
        <f t="shared" si="99"/>
        <v>0</v>
      </c>
      <c r="AB221" s="34">
        <f t="shared" si="100"/>
        <v>0</v>
      </c>
      <c r="AC221" s="34">
        <f t="shared" si="101"/>
        <v>0</v>
      </c>
      <c r="AD221" s="34">
        <f t="shared" si="102"/>
        <v>0</v>
      </c>
      <c r="AE221" s="34">
        <f t="shared" si="103"/>
        <v>0</v>
      </c>
      <c r="AF221" s="34">
        <f t="shared" si="104"/>
        <v>0</v>
      </c>
      <c r="AG221" s="34">
        <f t="shared" si="105"/>
        <v>0</v>
      </c>
      <c r="AH221" s="34">
        <f t="shared" si="106"/>
        <v>0</v>
      </c>
      <c r="AI221" s="28" t="s">
        <v>1137</v>
      </c>
      <c r="AJ221" s="18">
        <f t="shared" si="107"/>
        <v>0</v>
      </c>
      <c r="AK221" s="18">
        <f t="shared" si="108"/>
        <v>0</v>
      </c>
      <c r="AL221" s="18">
        <f t="shared" si="109"/>
        <v>0</v>
      </c>
      <c r="AN221" s="34">
        <v>21</v>
      </c>
      <c r="AO221" s="34">
        <f t="shared" si="110"/>
        <v>0</v>
      </c>
      <c r="AP221" s="34">
        <f t="shared" si="111"/>
        <v>0</v>
      </c>
      <c r="AQ221" s="29" t="s">
        <v>13</v>
      </c>
      <c r="AV221" s="34">
        <f t="shared" si="112"/>
        <v>0</v>
      </c>
      <c r="AW221" s="34">
        <f t="shared" si="113"/>
        <v>0</v>
      </c>
      <c r="AX221" s="34">
        <f t="shared" si="114"/>
        <v>0</v>
      </c>
      <c r="AY221" s="35" t="s">
        <v>1155</v>
      </c>
      <c r="AZ221" s="35" t="s">
        <v>1170</v>
      </c>
      <c r="BA221" s="28" t="s">
        <v>1176</v>
      </c>
      <c r="BC221" s="34">
        <f t="shared" si="115"/>
        <v>0</v>
      </c>
      <c r="BD221" s="34">
        <f t="shared" si="116"/>
        <v>0</v>
      </c>
      <c r="BE221" s="34">
        <v>0</v>
      </c>
      <c r="BF221" s="34">
        <f>221</f>
        <v>221</v>
      </c>
      <c r="BH221" s="18">
        <f t="shared" si="117"/>
        <v>0</v>
      </c>
      <c r="BI221" s="18">
        <f t="shared" si="118"/>
        <v>0</v>
      </c>
      <c r="BJ221" s="18">
        <f t="shared" si="119"/>
        <v>0</v>
      </c>
    </row>
    <row r="222" spans="1:62" x14ac:dyDescent="0.2">
      <c r="A222" s="5" t="s">
        <v>173</v>
      </c>
      <c r="B222" s="5" t="s">
        <v>146</v>
      </c>
      <c r="C222" s="135" t="s">
        <v>891</v>
      </c>
      <c r="D222" s="136"/>
      <c r="E222" s="136"/>
      <c r="F222" s="5" t="s">
        <v>1105</v>
      </c>
      <c r="G222" s="18">
        <v>15</v>
      </c>
      <c r="H222" s="79">
        <v>0</v>
      </c>
      <c r="I222" s="18">
        <f t="shared" si="96"/>
        <v>0</v>
      </c>
      <c r="J222" s="18">
        <f t="shared" si="97"/>
        <v>0</v>
      </c>
      <c r="K222" s="18">
        <f t="shared" si="98"/>
        <v>0</v>
      </c>
      <c r="L222" s="29" t="s">
        <v>1127</v>
      </c>
      <c r="Z222" s="34">
        <f t="shared" si="99"/>
        <v>0</v>
      </c>
      <c r="AB222" s="34">
        <f t="shared" si="100"/>
        <v>0</v>
      </c>
      <c r="AC222" s="34">
        <f t="shared" si="101"/>
        <v>0</v>
      </c>
      <c r="AD222" s="34">
        <f t="shared" si="102"/>
        <v>0</v>
      </c>
      <c r="AE222" s="34">
        <f t="shared" si="103"/>
        <v>0</v>
      </c>
      <c r="AF222" s="34">
        <f t="shared" si="104"/>
        <v>0</v>
      </c>
      <c r="AG222" s="34">
        <f t="shared" si="105"/>
        <v>0</v>
      </c>
      <c r="AH222" s="34">
        <f t="shared" si="106"/>
        <v>0</v>
      </c>
      <c r="AI222" s="28" t="s">
        <v>1137</v>
      </c>
      <c r="AJ222" s="18">
        <f t="shared" si="107"/>
        <v>0</v>
      </c>
      <c r="AK222" s="18">
        <f t="shared" si="108"/>
        <v>0</v>
      </c>
      <c r="AL222" s="18">
        <f t="shared" si="109"/>
        <v>0</v>
      </c>
      <c r="AN222" s="34">
        <v>21</v>
      </c>
      <c r="AO222" s="34">
        <f t="shared" si="110"/>
        <v>0</v>
      </c>
      <c r="AP222" s="34">
        <f t="shared" si="111"/>
        <v>0</v>
      </c>
      <c r="AQ222" s="29" t="s">
        <v>13</v>
      </c>
      <c r="AV222" s="34">
        <f t="shared" si="112"/>
        <v>0</v>
      </c>
      <c r="AW222" s="34">
        <f t="shared" si="113"/>
        <v>0</v>
      </c>
      <c r="AX222" s="34">
        <f t="shared" si="114"/>
        <v>0</v>
      </c>
      <c r="AY222" s="35" t="s">
        <v>1155</v>
      </c>
      <c r="AZ222" s="35" t="s">
        <v>1170</v>
      </c>
      <c r="BA222" s="28" t="s">
        <v>1176</v>
      </c>
      <c r="BC222" s="34">
        <f t="shared" si="115"/>
        <v>0</v>
      </c>
      <c r="BD222" s="34">
        <f t="shared" si="116"/>
        <v>0</v>
      </c>
      <c r="BE222" s="34">
        <v>0</v>
      </c>
      <c r="BF222" s="34">
        <f>222</f>
        <v>222</v>
      </c>
      <c r="BH222" s="18">
        <f t="shared" si="117"/>
        <v>0</v>
      </c>
      <c r="BI222" s="18">
        <f t="shared" si="118"/>
        <v>0</v>
      </c>
      <c r="BJ222" s="18">
        <f t="shared" si="119"/>
        <v>0</v>
      </c>
    </row>
    <row r="223" spans="1:62" x14ac:dyDescent="0.2">
      <c r="A223" s="5" t="s">
        <v>174</v>
      </c>
      <c r="B223" s="5" t="s">
        <v>207</v>
      </c>
      <c r="C223" s="135" t="s">
        <v>892</v>
      </c>
      <c r="D223" s="136"/>
      <c r="E223" s="136"/>
      <c r="F223" s="5" t="s">
        <v>1099</v>
      </c>
      <c r="G223" s="18">
        <v>1</v>
      </c>
      <c r="H223" s="79">
        <v>0</v>
      </c>
      <c r="I223" s="18">
        <f t="shared" si="96"/>
        <v>0</v>
      </c>
      <c r="J223" s="18">
        <f t="shared" si="97"/>
        <v>0</v>
      </c>
      <c r="K223" s="18">
        <f t="shared" si="98"/>
        <v>0</v>
      </c>
      <c r="L223" s="29" t="s">
        <v>1127</v>
      </c>
      <c r="Z223" s="34">
        <f t="shared" si="99"/>
        <v>0</v>
      </c>
      <c r="AB223" s="34">
        <f t="shared" si="100"/>
        <v>0</v>
      </c>
      <c r="AC223" s="34">
        <f t="shared" si="101"/>
        <v>0</v>
      </c>
      <c r="AD223" s="34">
        <f t="shared" si="102"/>
        <v>0</v>
      </c>
      <c r="AE223" s="34">
        <f t="shared" si="103"/>
        <v>0</v>
      </c>
      <c r="AF223" s="34">
        <f t="shared" si="104"/>
        <v>0</v>
      </c>
      <c r="AG223" s="34">
        <f t="shared" si="105"/>
        <v>0</v>
      </c>
      <c r="AH223" s="34">
        <f t="shared" si="106"/>
        <v>0</v>
      </c>
      <c r="AI223" s="28" t="s">
        <v>1137</v>
      </c>
      <c r="AJ223" s="18">
        <f t="shared" si="107"/>
        <v>0</v>
      </c>
      <c r="AK223" s="18">
        <f t="shared" si="108"/>
        <v>0</v>
      </c>
      <c r="AL223" s="18">
        <f t="shared" si="109"/>
        <v>0</v>
      </c>
      <c r="AN223" s="34">
        <v>21</v>
      </c>
      <c r="AO223" s="34">
        <f t="shared" si="110"/>
        <v>0</v>
      </c>
      <c r="AP223" s="34">
        <f t="shared" si="111"/>
        <v>0</v>
      </c>
      <c r="AQ223" s="29" t="s">
        <v>13</v>
      </c>
      <c r="AV223" s="34">
        <f t="shared" si="112"/>
        <v>0</v>
      </c>
      <c r="AW223" s="34">
        <f t="shared" si="113"/>
        <v>0</v>
      </c>
      <c r="AX223" s="34">
        <f t="shared" si="114"/>
        <v>0</v>
      </c>
      <c r="AY223" s="35" t="s">
        <v>1155</v>
      </c>
      <c r="AZ223" s="35" t="s">
        <v>1170</v>
      </c>
      <c r="BA223" s="28" t="s">
        <v>1176</v>
      </c>
      <c r="BC223" s="34">
        <f t="shared" si="115"/>
        <v>0</v>
      </c>
      <c r="BD223" s="34">
        <f t="shared" si="116"/>
        <v>0</v>
      </c>
      <c r="BE223" s="34">
        <v>0</v>
      </c>
      <c r="BF223" s="34">
        <f>223</f>
        <v>223</v>
      </c>
      <c r="BH223" s="18">
        <f t="shared" si="117"/>
        <v>0</v>
      </c>
      <c r="BI223" s="18">
        <f t="shared" si="118"/>
        <v>0</v>
      </c>
      <c r="BJ223" s="18">
        <f t="shared" si="119"/>
        <v>0</v>
      </c>
    </row>
    <row r="224" spans="1:62" x14ac:dyDescent="0.2">
      <c r="A224" s="5" t="s">
        <v>175</v>
      </c>
      <c r="B224" s="5" t="s">
        <v>208</v>
      </c>
      <c r="C224" s="135" t="s">
        <v>893</v>
      </c>
      <c r="D224" s="136"/>
      <c r="E224" s="136"/>
      <c r="F224" s="5" t="s">
        <v>1101</v>
      </c>
      <c r="G224" s="18">
        <v>8</v>
      </c>
      <c r="H224" s="79">
        <v>0</v>
      </c>
      <c r="I224" s="18">
        <f t="shared" si="96"/>
        <v>0</v>
      </c>
      <c r="J224" s="18">
        <f t="shared" si="97"/>
        <v>0</v>
      </c>
      <c r="K224" s="18">
        <f t="shared" si="98"/>
        <v>0</v>
      </c>
      <c r="L224" s="29" t="s">
        <v>1127</v>
      </c>
      <c r="Z224" s="34">
        <f t="shared" si="99"/>
        <v>0</v>
      </c>
      <c r="AB224" s="34">
        <f t="shared" si="100"/>
        <v>0</v>
      </c>
      <c r="AC224" s="34">
        <f t="shared" si="101"/>
        <v>0</v>
      </c>
      <c r="AD224" s="34">
        <f t="shared" si="102"/>
        <v>0</v>
      </c>
      <c r="AE224" s="34">
        <f t="shared" si="103"/>
        <v>0</v>
      </c>
      <c r="AF224" s="34">
        <f t="shared" si="104"/>
        <v>0</v>
      </c>
      <c r="AG224" s="34">
        <f t="shared" si="105"/>
        <v>0</v>
      </c>
      <c r="AH224" s="34">
        <f t="shared" si="106"/>
        <v>0</v>
      </c>
      <c r="AI224" s="28" t="s">
        <v>1137</v>
      </c>
      <c r="AJ224" s="18">
        <f t="shared" si="107"/>
        <v>0</v>
      </c>
      <c r="AK224" s="18">
        <f t="shared" si="108"/>
        <v>0</v>
      </c>
      <c r="AL224" s="18">
        <f t="shared" si="109"/>
        <v>0</v>
      </c>
      <c r="AN224" s="34">
        <v>21</v>
      </c>
      <c r="AO224" s="34">
        <f t="shared" si="110"/>
        <v>0</v>
      </c>
      <c r="AP224" s="34">
        <f t="shared" si="111"/>
        <v>0</v>
      </c>
      <c r="AQ224" s="29" t="s">
        <v>13</v>
      </c>
      <c r="AV224" s="34">
        <f t="shared" si="112"/>
        <v>0</v>
      </c>
      <c r="AW224" s="34">
        <f t="shared" si="113"/>
        <v>0</v>
      </c>
      <c r="AX224" s="34">
        <f t="shared" si="114"/>
        <v>0</v>
      </c>
      <c r="AY224" s="35" t="s">
        <v>1155</v>
      </c>
      <c r="AZ224" s="35" t="s">
        <v>1170</v>
      </c>
      <c r="BA224" s="28" t="s">
        <v>1176</v>
      </c>
      <c r="BC224" s="34">
        <f t="shared" si="115"/>
        <v>0</v>
      </c>
      <c r="BD224" s="34">
        <f t="shared" si="116"/>
        <v>0</v>
      </c>
      <c r="BE224" s="34">
        <v>0</v>
      </c>
      <c r="BF224" s="34">
        <f>224</f>
        <v>224</v>
      </c>
      <c r="BH224" s="18">
        <f t="shared" si="117"/>
        <v>0</v>
      </c>
      <c r="BI224" s="18">
        <f t="shared" si="118"/>
        <v>0</v>
      </c>
      <c r="BJ224" s="18">
        <f t="shared" si="119"/>
        <v>0</v>
      </c>
    </row>
    <row r="225" spans="1:62" x14ac:dyDescent="0.2">
      <c r="A225" s="5" t="s">
        <v>176</v>
      </c>
      <c r="B225" s="5" t="s">
        <v>307</v>
      </c>
      <c r="C225" s="135" t="s">
        <v>894</v>
      </c>
      <c r="D225" s="136"/>
      <c r="E225" s="136"/>
      <c r="F225" s="5" t="s">
        <v>1103</v>
      </c>
      <c r="G225" s="18">
        <v>2</v>
      </c>
      <c r="H225" s="79">
        <v>0</v>
      </c>
      <c r="I225" s="18">
        <f t="shared" si="96"/>
        <v>0</v>
      </c>
      <c r="J225" s="18">
        <f t="shared" si="97"/>
        <v>0</v>
      </c>
      <c r="K225" s="18">
        <f t="shared" si="98"/>
        <v>0</v>
      </c>
      <c r="L225" s="29" t="s">
        <v>1127</v>
      </c>
      <c r="Z225" s="34">
        <f t="shared" si="99"/>
        <v>0</v>
      </c>
      <c r="AB225" s="34">
        <f t="shared" si="100"/>
        <v>0</v>
      </c>
      <c r="AC225" s="34">
        <f t="shared" si="101"/>
        <v>0</v>
      </c>
      <c r="AD225" s="34">
        <f t="shared" si="102"/>
        <v>0</v>
      </c>
      <c r="AE225" s="34">
        <f t="shared" si="103"/>
        <v>0</v>
      </c>
      <c r="AF225" s="34">
        <f t="shared" si="104"/>
        <v>0</v>
      </c>
      <c r="AG225" s="34">
        <f t="shared" si="105"/>
        <v>0</v>
      </c>
      <c r="AH225" s="34">
        <f t="shared" si="106"/>
        <v>0</v>
      </c>
      <c r="AI225" s="28" t="s">
        <v>1137</v>
      </c>
      <c r="AJ225" s="18">
        <f t="shared" si="107"/>
        <v>0</v>
      </c>
      <c r="AK225" s="18">
        <f t="shared" si="108"/>
        <v>0</v>
      </c>
      <c r="AL225" s="18">
        <f t="shared" si="109"/>
        <v>0</v>
      </c>
      <c r="AN225" s="34">
        <v>21</v>
      </c>
      <c r="AO225" s="34">
        <f t="shared" si="110"/>
        <v>0</v>
      </c>
      <c r="AP225" s="34">
        <f t="shared" si="111"/>
        <v>0</v>
      </c>
      <c r="AQ225" s="29" t="s">
        <v>13</v>
      </c>
      <c r="AV225" s="34">
        <f t="shared" si="112"/>
        <v>0</v>
      </c>
      <c r="AW225" s="34">
        <f t="shared" si="113"/>
        <v>0</v>
      </c>
      <c r="AX225" s="34">
        <f t="shared" si="114"/>
        <v>0</v>
      </c>
      <c r="AY225" s="35" t="s">
        <v>1155</v>
      </c>
      <c r="AZ225" s="35" t="s">
        <v>1170</v>
      </c>
      <c r="BA225" s="28" t="s">
        <v>1176</v>
      </c>
      <c r="BC225" s="34">
        <f t="shared" si="115"/>
        <v>0</v>
      </c>
      <c r="BD225" s="34">
        <f t="shared" si="116"/>
        <v>0</v>
      </c>
      <c r="BE225" s="34">
        <v>0</v>
      </c>
      <c r="BF225" s="34">
        <f>225</f>
        <v>225</v>
      </c>
      <c r="BH225" s="18">
        <f t="shared" si="117"/>
        <v>0</v>
      </c>
      <c r="BI225" s="18">
        <f t="shared" si="118"/>
        <v>0</v>
      </c>
      <c r="BJ225" s="18">
        <f t="shared" si="119"/>
        <v>0</v>
      </c>
    </row>
    <row r="226" spans="1:62" x14ac:dyDescent="0.2">
      <c r="A226" s="5" t="s">
        <v>177</v>
      </c>
      <c r="B226" s="5" t="s">
        <v>308</v>
      </c>
      <c r="C226" s="135" t="s">
        <v>895</v>
      </c>
      <c r="D226" s="136"/>
      <c r="E226" s="136"/>
      <c r="F226" s="5" t="s">
        <v>1103</v>
      </c>
      <c r="G226" s="18">
        <v>6</v>
      </c>
      <c r="H226" s="79">
        <v>0</v>
      </c>
      <c r="I226" s="18">
        <f t="shared" si="96"/>
        <v>0</v>
      </c>
      <c r="J226" s="18">
        <f t="shared" si="97"/>
        <v>0</v>
      </c>
      <c r="K226" s="18">
        <f t="shared" si="98"/>
        <v>0</v>
      </c>
      <c r="L226" s="29" t="s">
        <v>1127</v>
      </c>
      <c r="Z226" s="34">
        <f t="shared" si="99"/>
        <v>0</v>
      </c>
      <c r="AB226" s="34">
        <f t="shared" si="100"/>
        <v>0</v>
      </c>
      <c r="AC226" s="34">
        <f t="shared" si="101"/>
        <v>0</v>
      </c>
      <c r="AD226" s="34">
        <f t="shared" si="102"/>
        <v>0</v>
      </c>
      <c r="AE226" s="34">
        <f t="shared" si="103"/>
        <v>0</v>
      </c>
      <c r="AF226" s="34">
        <f t="shared" si="104"/>
        <v>0</v>
      </c>
      <c r="AG226" s="34">
        <f t="shared" si="105"/>
        <v>0</v>
      </c>
      <c r="AH226" s="34">
        <f t="shared" si="106"/>
        <v>0</v>
      </c>
      <c r="AI226" s="28" t="s">
        <v>1137</v>
      </c>
      <c r="AJ226" s="18">
        <f t="shared" si="107"/>
        <v>0</v>
      </c>
      <c r="AK226" s="18">
        <f t="shared" si="108"/>
        <v>0</v>
      </c>
      <c r="AL226" s="18">
        <f t="shared" si="109"/>
        <v>0</v>
      </c>
      <c r="AN226" s="34">
        <v>21</v>
      </c>
      <c r="AO226" s="34">
        <f t="shared" si="110"/>
        <v>0</v>
      </c>
      <c r="AP226" s="34">
        <f t="shared" si="111"/>
        <v>0</v>
      </c>
      <c r="AQ226" s="29" t="s">
        <v>13</v>
      </c>
      <c r="AV226" s="34">
        <f t="shared" si="112"/>
        <v>0</v>
      </c>
      <c r="AW226" s="34">
        <f t="shared" si="113"/>
        <v>0</v>
      </c>
      <c r="AX226" s="34">
        <f t="shared" si="114"/>
        <v>0</v>
      </c>
      <c r="AY226" s="35" t="s">
        <v>1155</v>
      </c>
      <c r="AZ226" s="35" t="s">
        <v>1170</v>
      </c>
      <c r="BA226" s="28" t="s">
        <v>1176</v>
      </c>
      <c r="BC226" s="34">
        <f t="shared" si="115"/>
        <v>0</v>
      </c>
      <c r="BD226" s="34">
        <f t="shared" si="116"/>
        <v>0</v>
      </c>
      <c r="BE226" s="34">
        <v>0</v>
      </c>
      <c r="BF226" s="34">
        <f>226</f>
        <v>226</v>
      </c>
      <c r="BH226" s="18">
        <f t="shared" si="117"/>
        <v>0</v>
      </c>
      <c r="BI226" s="18">
        <f t="shared" si="118"/>
        <v>0</v>
      </c>
      <c r="BJ226" s="18">
        <f t="shared" si="119"/>
        <v>0</v>
      </c>
    </row>
    <row r="227" spans="1:62" x14ac:dyDescent="0.2">
      <c r="A227" s="5" t="s">
        <v>178</v>
      </c>
      <c r="B227" s="5" t="s">
        <v>309</v>
      </c>
      <c r="C227" s="135" t="s">
        <v>896</v>
      </c>
      <c r="D227" s="136"/>
      <c r="E227" s="136"/>
      <c r="F227" s="5" t="s">
        <v>1106</v>
      </c>
      <c r="G227" s="18">
        <v>1</v>
      </c>
      <c r="H227" s="79">
        <v>0</v>
      </c>
      <c r="I227" s="18">
        <f t="shared" si="96"/>
        <v>0</v>
      </c>
      <c r="J227" s="18">
        <f t="shared" si="97"/>
        <v>0</v>
      </c>
      <c r="K227" s="18">
        <f t="shared" si="98"/>
        <v>0</v>
      </c>
      <c r="L227" s="29" t="s">
        <v>1127</v>
      </c>
      <c r="Z227" s="34">
        <f t="shared" si="99"/>
        <v>0</v>
      </c>
      <c r="AB227" s="34">
        <f t="shared" si="100"/>
        <v>0</v>
      </c>
      <c r="AC227" s="34">
        <f t="shared" si="101"/>
        <v>0</v>
      </c>
      <c r="AD227" s="34">
        <f t="shared" si="102"/>
        <v>0</v>
      </c>
      <c r="AE227" s="34">
        <f t="shared" si="103"/>
        <v>0</v>
      </c>
      <c r="AF227" s="34">
        <f t="shared" si="104"/>
        <v>0</v>
      </c>
      <c r="AG227" s="34">
        <f t="shared" si="105"/>
        <v>0</v>
      </c>
      <c r="AH227" s="34">
        <f t="shared" si="106"/>
        <v>0</v>
      </c>
      <c r="AI227" s="28" t="s">
        <v>1137</v>
      </c>
      <c r="AJ227" s="18">
        <f t="shared" si="107"/>
        <v>0</v>
      </c>
      <c r="AK227" s="18">
        <f t="shared" si="108"/>
        <v>0</v>
      </c>
      <c r="AL227" s="18">
        <f t="shared" si="109"/>
        <v>0</v>
      </c>
      <c r="AN227" s="34">
        <v>21</v>
      </c>
      <c r="AO227" s="34">
        <f t="shared" si="110"/>
        <v>0</v>
      </c>
      <c r="AP227" s="34">
        <f t="shared" si="111"/>
        <v>0</v>
      </c>
      <c r="AQ227" s="29" t="s">
        <v>13</v>
      </c>
      <c r="AV227" s="34">
        <f t="shared" si="112"/>
        <v>0</v>
      </c>
      <c r="AW227" s="34">
        <f t="shared" si="113"/>
        <v>0</v>
      </c>
      <c r="AX227" s="34">
        <f t="shared" si="114"/>
        <v>0</v>
      </c>
      <c r="AY227" s="35" t="s">
        <v>1155</v>
      </c>
      <c r="AZ227" s="35" t="s">
        <v>1170</v>
      </c>
      <c r="BA227" s="28" t="s">
        <v>1176</v>
      </c>
      <c r="BC227" s="34">
        <f t="shared" si="115"/>
        <v>0</v>
      </c>
      <c r="BD227" s="34">
        <f t="shared" si="116"/>
        <v>0</v>
      </c>
      <c r="BE227" s="34">
        <v>0</v>
      </c>
      <c r="BF227" s="34">
        <f>227</f>
        <v>227</v>
      </c>
      <c r="BH227" s="18">
        <f t="shared" si="117"/>
        <v>0</v>
      </c>
      <c r="BI227" s="18">
        <f t="shared" si="118"/>
        <v>0</v>
      </c>
      <c r="BJ227" s="18">
        <f t="shared" si="119"/>
        <v>0</v>
      </c>
    </row>
    <row r="228" spans="1:62" x14ac:dyDescent="0.2">
      <c r="A228" s="5" t="s">
        <v>179</v>
      </c>
      <c r="B228" s="5" t="s">
        <v>310</v>
      </c>
      <c r="C228" s="135" t="s">
        <v>820</v>
      </c>
      <c r="D228" s="136"/>
      <c r="E228" s="136"/>
      <c r="F228" s="5" t="s">
        <v>1104</v>
      </c>
      <c r="G228" s="18">
        <v>15</v>
      </c>
      <c r="H228" s="79">
        <v>0</v>
      </c>
      <c r="I228" s="18">
        <f t="shared" si="96"/>
        <v>0</v>
      </c>
      <c r="J228" s="18">
        <f t="shared" si="97"/>
        <v>0</v>
      </c>
      <c r="K228" s="18">
        <f t="shared" si="98"/>
        <v>0</v>
      </c>
      <c r="L228" s="29" t="s">
        <v>1127</v>
      </c>
      <c r="Z228" s="34">
        <f t="shared" si="99"/>
        <v>0</v>
      </c>
      <c r="AB228" s="34">
        <f t="shared" si="100"/>
        <v>0</v>
      </c>
      <c r="AC228" s="34">
        <f t="shared" si="101"/>
        <v>0</v>
      </c>
      <c r="AD228" s="34">
        <f t="shared" si="102"/>
        <v>0</v>
      </c>
      <c r="AE228" s="34">
        <f t="shared" si="103"/>
        <v>0</v>
      </c>
      <c r="AF228" s="34">
        <f t="shared" si="104"/>
        <v>0</v>
      </c>
      <c r="AG228" s="34">
        <f t="shared" si="105"/>
        <v>0</v>
      </c>
      <c r="AH228" s="34">
        <f t="shared" si="106"/>
        <v>0</v>
      </c>
      <c r="AI228" s="28" t="s">
        <v>1137</v>
      </c>
      <c r="AJ228" s="18">
        <f t="shared" si="107"/>
        <v>0</v>
      </c>
      <c r="AK228" s="18">
        <f t="shared" si="108"/>
        <v>0</v>
      </c>
      <c r="AL228" s="18">
        <f t="shared" si="109"/>
        <v>0</v>
      </c>
      <c r="AN228" s="34">
        <v>21</v>
      </c>
      <c r="AO228" s="34">
        <f t="shared" si="110"/>
        <v>0</v>
      </c>
      <c r="AP228" s="34">
        <f t="shared" si="111"/>
        <v>0</v>
      </c>
      <c r="AQ228" s="29" t="s">
        <v>13</v>
      </c>
      <c r="AV228" s="34">
        <f t="shared" si="112"/>
        <v>0</v>
      </c>
      <c r="AW228" s="34">
        <f t="shared" si="113"/>
        <v>0</v>
      </c>
      <c r="AX228" s="34">
        <f t="shared" si="114"/>
        <v>0</v>
      </c>
      <c r="AY228" s="35" t="s">
        <v>1155</v>
      </c>
      <c r="AZ228" s="35" t="s">
        <v>1170</v>
      </c>
      <c r="BA228" s="28" t="s">
        <v>1176</v>
      </c>
      <c r="BC228" s="34">
        <f t="shared" si="115"/>
        <v>0</v>
      </c>
      <c r="BD228" s="34">
        <f t="shared" si="116"/>
        <v>0</v>
      </c>
      <c r="BE228" s="34">
        <v>0</v>
      </c>
      <c r="BF228" s="34">
        <f>228</f>
        <v>228</v>
      </c>
      <c r="BH228" s="18">
        <f t="shared" si="117"/>
        <v>0</v>
      </c>
      <c r="BI228" s="18">
        <f t="shared" si="118"/>
        <v>0</v>
      </c>
      <c r="BJ228" s="18">
        <f t="shared" si="119"/>
        <v>0</v>
      </c>
    </row>
    <row r="229" spans="1:62" x14ac:dyDescent="0.2">
      <c r="A229" s="5" t="s">
        <v>180</v>
      </c>
      <c r="B229" s="5" t="s">
        <v>311</v>
      </c>
      <c r="C229" s="135" t="s">
        <v>897</v>
      </c>
      <c r="D229" s="136"/>
      <c r="E229" s="136"/>
      <c r="F229" s="5" t="s">
        <v>1103</v>
      </c>
      <c r="G229" s="18">
        <v>1</v>
      </c>
      <c r="H229" s="79">
        <v>0</v>
      </c>
      <c r="I229" s="18">
        <f t="shared" si="96"/>
        <v>0</v>
      </c>
      <c r="J229" s="18">
        <f t="shared" si="97"/>
        <v>0</v>
      </c>
      <c r="K229" s="18">
        <f t="shared" si="98"/>
        <v>0</v>
      </c>
      <c r="L229" s="29" t="s">
        <v>1127</v>
      </c>
      <c r="Z229" s="34">
        <f t="shared" si="99"/>
        <v>0</v>
      </c>
      <c r="AB229" s="34">
        <f t="shared" si="100"/>
        <v>0</v>
      </c>
      <c r="AC229" s="34">
        <f t="shared" si="101"/>
        <v>0</v>
      </c>
      <c r="AD229" s="34">
        <f t="shared" si="102"/>
        <v>0</v>
      </c>
      <c r="AE229" s="34">
        <f t="shared" si="103"/>
        <v>0</v>
      </c>
      <c r="AF229" s="34">
        <f t="shared" si="104"/>
        <v>0</v>
      </c>
      <c r="AG229" s="34">
        <f t="shared" si="105"/>
        <v>0</v>
      </c>
      <c r="AH229" s="34">
        <f t="shared" si="106"/>
        <v>0</v>
      </c>
      <c r="AI229" s="28" t="s">
        <v>1137</v>
      </c>
      <c r="AJ229" s="18">
        <f t="shared" si="107"/>
        <v>0</v>
      </c>
      <c r="AK229" s="18">
        <f t="shared" si="108"/>
        <v>0</v>
      </c>
      <c r="AL229" s="18">
        <f t="shared" si="109"/>
        <v>0</v>
      </c>
      <c r="AN229" s="34">
        <v>21</v>
      </c>
      <c r="AO229" s="34">
        <f t="shared" si="110"/>
        <v>0</v>
      </c>
      <c r="AP229" s="34">
        <f t="shared" si="111"/>
        <v>0</v>
      </c>
      <c r="AQ229" s="29" t="s">
        <v>13</v>
      </c>
      <c r="AV229" s="34">
        <f t="shared" si="112"/>
        <v>0</v>
      </c>
      <c r="AW229" s="34">
        <f t="shared" si="113"/>
        <v>0</v>
      </c>
      <c r="AX229" s="34">
        <f t="shared" si="114"/>
        <v>0</v>
      </c>
      <c r="AY229" s="35" t="s">
        <v>1155</v>
      </c>
      <c r="AZ229" s="35" t="s">
        <v>1170</v>
      </c>
      <c r="BA229" s="28" t="s">
        <v>1176</v>
      </c>
      <c r="BC229" s="34">
        <f t="shared" si="115"/>
        <v>0</v>
      </c>
      <c r="BD229" s="34">
        <f t="shared" si="116"/>
        <v>0</v>
      </c>
      <c r="BE229" s="34">
        <v>0</v>
      </c>
      <c r="BF229" s="34">
        <f>229</f>
        <v>229</v>
      </c>
      <c r="BH229" s="18">
        <f t="shared" si="117"/>
        <v>0</v>
      </c>
      <c r="BI229" s="18">
        <f t="shared" si="118"/>
        <v>0</v>
      </c>
      <c r="BJ229" s="18">
        <f t="shared" si="119"/>
        <v>0</v>
      </c>
    </row>
    <row r="230" spans="1:62" x14ac:dyDescent="0.2">
      <c r="A230" s="5" t="s">
        <v>181</v>
      </c>
      <c r="B230" s="5" t="s">
        <v>312</v>
      </c>
      <c r="C230" s="135" t="s">
        <v>898</v>
      </c>
      <c r="D230" s="136"/>
      <c r="E230" s="136"/>
      <c r="F230" s="5" t="s">
        <v>1103</v>
      </c>
      <c r="G230" s="18">
        <v>1</v>
      </c>
      <c r="H230" s="79">
        <v>0</v>
      </c>
      <c r="I230" s="18">
        <f t="shared" si="96"/>
        <v>0</v>
      </c>
      <c r="J230" s="18">
        <f t="shared" si="97"/>
        <v>0</v>
      </c>
      <c r="K230" s="18">
        <f t="shared" si="98"/>
        <v>0</v>
      </c>
      <c r="L230" s="29" t="s">
        <v>1127</v>
      </c>
      <c r="Z230" s="34">
        <f t="shared" si="99"/>
        <v>0</v>
      </c>
      <c r="AB230" s="34">
        <f t="shared" si="100"/>
        <v>0</v>
      </c>
      <c r="AC230" s="34">
        <f t="shared" si="101"/>
        <v>0</v>
      </c>
      <c r="AD230" s="34">
        <f t="shared" si="102"/>
        <v>0</v>
      </c>
      <c r="AE230" s="34">
        <f t="shared" si="103"/>
        <v>0</v>
      </c>
      <c r="AF230" s="34">
        <f t="shared" si="104"/>
        <v>0</v>
      </c>
      <c r="AG230" s="34">
        <f t="shared" si="105"/>
        <v>0</v>
      </c>
      <c r="AH230" s="34">
        <f t="shared" si="106"/>
        <v>0</v>
      </c>
      <c r="AI230" s="28" t="s">
        <v>1137</v>
      </c>
      <c r="AJ230" s="18">
        <f t="shared" si="107"/>
        <v>0</v>
      </c>
      <c r="AK230" s="18">
        <f t="shared" si="108"/>
        <v>0</v>
      </c>
      <c r="AL230" s="18">
        <f t="shared" si="109"/>
        <v>0</v>
      </c>
      <c r="AN230" s="34">
        <v>21</v>
      </c>
      <c r="AO230" s="34">
        <f t="shared" si="110"/>
        <v>0</v>
      </c>
      <c r="AP230" s="34">
        <f t="shared" si="111"/>
        <v>0</v>
      </c>
      <c r="AQ230" s="29" t="s">
        <v>13</v>
      </c>
      <c r="AV230" s="34">
        <f t="shared" si="112"/>
        <v>0</v>
      </c>
      <c r="AW230" s="34">
        <f t="shared" si="113"/>
        <v>0</v>
      </c>
      <c r="AX230" s="34">
        <f t="shared" si="114"/>
        <v>0</v>
      </c>
      <c r="AY230" s="35" t="s">
        <v>1155</v>
      </c>
      <c r="AZ230" s="35" t="s">
        <v>1170</v>
      </c>
      <c r="BA230" s="28" t="s">
        <v>1176</v>
      </c>
      <c r="BC230" s="34">
        <f t="shared" si="115"/>
        <v>0</v>
      </c>
      <c r="BD230" s="34">
        <f t="shared" si="116"/>
        <v>0</v>
      </c>
      <c r="BE230" s="34">
        <v>0</v>
      </c>
      <c r="BF230" s="34">
        <f>230</f>
        <v>230</v>
      </c>
      <c r="BH230" s="18">
        <f t="shared" si="117"/>
        <v>0</v>
      </c>
      <c r="BI230" s="18">
        <f t="shared" si="118"/>
        <v>0</v>
      </c>
      <c r="BJ230" s="18">
        <f t="shared" si="119"/>
        <v>0</v>
      </c>
    </row>
    <row r="231" spans="1:62" x14ac:dyDescent="0.2">
      <c r="A231" s="5" t="s">
        <v>182</v>
      </c>
      <c r="B231" s="5" t="s">
        <v>313</v>
      </c>
      <c r="C231" s="135" t="s">
        <v>899</v>
      </c>
      <c r="D231" s="136"/>
      <c r="E231" s="136"/>
      <c r="F231" s="5" t="s">
        <v>1103</v>
      </c>
      <c r="G231" s="18">
        <v>1</v>
      </c>
      <c r="H231" s="79">
        <v>0</v>
      </c>
      <c r="I231" s="18">
        <f t="shared" si="96"/>
        <v>0</v>
      </c>
      <c r="J231" s="18">
        <f t="shared" si="97"/>
        <v>0</v>
      </c>
      <c r="K231" s="18">
        <f t="shared" si="98"/>
        <v>0</v>
      </c>
      <c r="L231" s="29" t="s">
        <v>1127</v>
      </c>
      <c r="Z231" s="34">
        <f t="shared" si="99"/>
        <v>0</v>
      </c>
      <c r="AB231" s="34">
        <f t="shared" si="100"/>
        <v>0</v>
      </c>
      <c r="AC231" s="34">
        <f t="shared" si="101"/>
        <v>0</v>
      </c>
      <c r="AD231" s="34">
        <f t="shared" si="102"/>
        <v>0</v>
      </c>
      <c r="AE231" s="34">
        <f t="shared" si="103"/>
        <v>0</v>
      </c>
      <c r="AF231" s="34">
        <f t="shared" si="104"/>
        <v>0</v>
      </c>
      <c r="AG231" s="34">
        <f t="shared" si="105"/>
        <v>0</v>
      </c>
      <c r="AH231" s="34">
        <f t="shared" si="106"/>
        <v>0</v>
      </c>
      <c r="AI231" s="28" t="s">
        <v>1137</v>
      </c>
      <c r="AJ231" s="18">
        <f t="shared" si="107"/>
        <v>0</v>
      </c>
      <c r="AK231" s="18">
        <f t="shared" si="108"/>
        <v>0</v>
      </c>
      <c r="AL231" s="18">
        <f t="shared" si="109"/>
        <v>0</v>
      </c>
      <c r="AN231" s="34">
        <v>21</v>
      </c>
      <c r="AO231" s="34">
        <f t="shared" si="110"/>
        <v>0</v>
      </c>
      <c r="AP231" s="34">
        <f t="shared" si="111"/>
        <v>0</v>
      </c>
      <c r="AQ231" s="29" t="s">
        <v>13</v>
      </c>
      <c r="AV231" s="34">
        <f t="shared" si="112"/>
        <v>0</v>
      </c>
      <c r="AW231" s="34">
        <f t="shared" si="113"/>
        <v>0</v>
      </c>
      <c r="AX231" s="34">
        <f t="shared" si="114"/>
        <v>0</v>
      </c>
      <c r="AY231" s="35" t="s">
        <v>1155</v>
      </c>
      <c r="AZ231" s="35" t="s">
        <v>1170</v>
      </c>
      <c r="BA231" s="28" t="s">
        <v>1176</v>
      </c>
      <c r="BC231" s="34">
        <f t="shared" si="115"/>
        <v>0</v>
      </c>
      <c r="BD231" s="34">
        <f t="shared" si="116"/>
        <v>0</v>
      </c>
      <c r="BE231" s="34">
        <v>0</v>
      </c>
      <c r="BF231" s="34">
        <f>231</f>
        <v>231</v>
      </c>
      <c r="BH231" s="18">
        <f t="shared" si="117"/>
        <v>0</v>
      </c>
      <c r="BI231" s="18">
        <f t="shared" si="118"/>
        <v>0</v>
      </c>
      <c r="BJ231" s="18">
        <f t="shared" si="119"/>
        <v>0</v>
      </c>
    </row>
    <row r="232" spans="1:62" x14ac:dyDescent="0.2">
      <c r="A232" s="5" t="s">
        <v>183</v>
      </c>
      <c r="B232" s="5" t="s">
        <v>314</v>
      </c>
      <c r="C232" s="135" t="s">
        <v>900</v>
      </c>
      <c r="D232" s="136"/>
      <c r="E232" s="136"/>
      <c r="F232" s="5" t="s">
        <v>1103</v>
      </c>
      <c r="G232" s="18">
        <v>1</v>
      </c>
      <c r="H232" s="79">
        <v>0</v>
      </c>
      <c r="I232" s="18">
        <f t="shared" si="96"/>
        <v>0</v>
      </c>
      <c r="J232" s="18">
        <f t="shared" si="97"/>
        <v>0</v>
      </c>
      <c r="K232" s="18">
        <f t="shared" si="98"/>
        <v>0</v>
      </c>
      <c r="L232" s="29" t="s">
        <v>1127</v>
      </c>
      <c r="Z232" s="34">
        <f t="shared" si="99"/>
        <v>0</v>
      </c>
      <c r="AB232" s="34">
        <f t="shared" si="100"/>
        <v>0</v>
      </c>
      <c r="AC232" s="34">
        <f t="shared" si="101"/>
        <v>0</v>
      </c>
      <c r="AD232" s="34">
        <f t="shared" si="102"/>
        <v>0</v>
      </c>
      <c r="AE232" s="34">
        <f t="shared" si="103"/>
        <v>0</v>
      </c>
      <c r="AF232" s="34">
        <f t="shared" si="104"/>
        <v>0</v>
      </c>
      <c r="AG232" s="34">
        <f t="shared" si="105"/>
        <v>0</v>
      </c>
      <c r="AH232" s="34">
        <f t="shared" si="106"/>
        <v>0</v>
      </c>
      <c r="AI232" s="28" t="s">
        <v>1137</v>
      </c>
      <c r="AJ232" s="18">
        <f t="shared" si="107"/>
        <v>0</v>
      </c>
      <c r="AK232" s="18">
        <f t="shared" si="108"/>
        <v>0</v>
      </c>
      <c r="AL232" s="18">
        <f t="shared" si="109"/>
        <v>0</v>
      </c>
      <c r="AN232" s="34">
        <v>21</v>
      </c>
      <c r="AO232" s="34">
        <f t="shared" si="110"/>
        <v>0</v>
      </c>
      <c r="AP232" s="34">
        <f t="shared" si="111"/>
        <v>0</v>
      </c>
      <c r="AQ232" s="29" t="s">
        <v>13</v>
      </c>
      <c r="AV232" s="34">
        <f t="shared" si="112"/>
        <v>0</v>
      </c>
      <c r="AW232" s="34">
        <f t="shared" si="113"/>
        <v>0</v>
      </c>
      <c r="AX232" s="34">
        <f t="shared" si="114"/>
        <v>0</v>
      </c>
      <c r="AY232" s="35" t="s">
        <v>1155</v>
      </c>
      <c r="AZ232" s="35" t="s">
        <v>1170</v>
      </c>
      <c r="BA232" s="28" t="s">
        <v>1176</v>
      </c>
      <c r="BC232" s="34">
        <f t="shared" si="115"/>
        <v>0</v>
      </c>
      <c r="BD232" s="34">
        <f t="shared" si="116"/>
        <v>0</v>
      </c>
      <c r="BE232" s="34">
        <v>0</v>
      </c>
      <c r="BF232" s="34">
        <f>232</f>
        <v>232</v>
      </c>
      <c r="BH232" s="18">
        <f t="shared" si="117"/>
        <v>0</v>
      </c>
      <c r="BI232" s="18">
        <f t="shared" si="118"/>
        <v>0</v>
      </c>
      <c r="BJ232" s="18">
        <f t="shared" si="119"/>
        <v>0</v>
      </c>
    </row>
    <row r="233" spans="1:62" x14ac:dyDescent="0.2">
      <c r="A233" s="5" t="s">
        <v>184</v>
      </c>
      <c r="B233" s="5" t="s">
        <v>315</v>
      </c>
      <c r="C233" s="135" t="s">
        <v>901</v>
      </c>
      <c r="D233" s="136"/>
      <c r="E233" s="136"/>
      <c r="F233" s="5" t="s">
        <v>1104</v>
      </c>
      <c r="G233" s="18">
        <v>50</v>
      </c>
      <c r="H233" s="79">
        <v>0</v>
      </c>
      <c r="I233" s="18">
        <f t="shared" si="96"/>
        <v>0</v>
      </c>
      <c r="J233" s="18">
        <f t="shared" si="97"/>
        <v>0</v>
      </c>
      <c r="K233" s="18">
        <f t="shared" si="98"/>
        <v>0</v>
      </c>
      <c r="L233" s="29" t="s">
        <v>1127</v>
      </c>
      <c r="Z233" s="34">
        <f t="shared" si="99"/>
        <v>0</v>
      </c>
      <c r="AB233" s="34">
        <f t="shared" si="100"/>
        <v>0</v>
      </c>
      <c r="AC233" s="34">
        <f t="shared" si="101"/>
        <v>0</v>
      </c>
      <c r="AD233" s="34">
        <f t="shared" si="102"/>
        <v>0</v>
      </c>
      <c r="AE233" s="34">
        <f t="shared" si="103"/>
        <v>0</v>
      </c>
      <c r="AF233" s="34">
        <f t="shared" si="104"/>
        <v>0</v>
      </c>
      <c r="AG233" s="34">
        <f t="shared" si="105"/>
        <v>0</v>
      </c>
      <c r="AH233" s="34">
        <f t="shared" si="106"/>
        <v>0</v>
      </c>
      <c r="AI233" s="28" t="s">
        <v>1137</v>
      </c>
      <c r="AJ233" s="18">
        <f t="shared" si="107"/>
        <v>0</v>
      </c>
      <c r="AK233" s="18">
        <f t="shared" si="108"/>
        <v>0</v>
      </c>
      <c r="AL233" s="18">
        <f t="shared" si="109"/>
        <v>0</v>
      </c>
      <c r="AN233" s="34">
        <v>21</v>
      </c>
      <c r="AO233" s="34">
        <f t="shared" si="110"/>
        <v>0</v>
      </c>
      <c r="AP233" s="34">
        <f t="shared" si="111"/>
        <v>0</v>
      </c>
      <c r="AQ233" s="29" t="s">
        <v>13</v>
      </c>
      <c r="AV233" s="34">
        <f t="shared" si="112"/>
        <v>0</v>
      </c>
      <c r="AW233" s="34">
        <f t="shared" si="113"/>
        <v>0</v>
      </c>
      <c r="AX233" s="34">
        <f t="shared" si="114"/>
        <v>0</v>
      </c>
      <c r="AY233" s="35" t="s">
        <v>1155</v>
      </c>
      <c r="AZ233" s="35" t="s">
        <v>1170</v>
      </c>
      <c r="BA233" s="28" t="s">
        <v>1176</v>
      </c>
      <c r="BC233" s="34">
        <f t="shared" si="115"/>
        <v>0</v>
      </c>
      <c r="BD233" s="34">
        <f t="shared" si="116"/>
        <v>0</v>
      </c>
      <c r="BE233" s="34">
        <v>0</v>
      </c>
      <c r="BF233" s="34">
        <f>233</f>
        <v>233</v>
      </c>
      <c r="BH233" s="18">
        <f t="shared" si="117"/>
        <v>0</v>
      </c>
      <c r="BI233" s="18">
        <f t="shared" si="118"/>
        <v>0</v>
      </c>
      <c r="BJ233" s="18">
        <f t="shared" si="119"/>
        <v>0</v>
      </c>
    </row>
    <row r="234" spans="1:62" x14ac:dyDescent="0.2">
      <c r="A234" s="5" t="s">
        <v>185</v>
      </c>
      <c r="B234" s="5" t="s">
        <v>316</v>
      </c>
      <c r="C234" s="135" t="s">
        <v>902</v>
      </c>
      <c r="D234" s="136"/>
      <c r="E234" s="136"/>
      <c r="F234" s="5" t="s">
        <v>1104</v>
      </c>
      <c r="G234" s="18">
        <v>10</v>
      </c>
      <c r="H234" s="79">
        <v>0</v>
      </c>
      <c r="I234" s="18">
        <f t="shared" si="96"/>
        <v>0</v>
      </c>
      <c r="J234" s="18">
        <f t="shared" si="97"/>
        <v>0</v>
      </c>
      <c r="K234" s="18">
        <f t="shared" si="98"/>
        <v>0</v>
      </c>
      <c r="L234" s="29" t="s">
        <v>1127</v>
      </c>
      <c r="Z234" s="34">
        <f t="shared" si="99"/>
        <v>0</v>
      </c>
      <c r="AB234" s="34">
        <f t="shared" si="100"/>
        <v>0</v>
      </c>
      <c r="AC234" s="34">
        <f t="shared" si="101"/>
        <v>0</v>
      </c>
      <c r="AD234" s="34">
        <f t="shared" si="102"/>
        <v>0</v>
      </c>
      <c r="AE234" s="34">
        <f t="shared" si="103"/>
        <v>0</v>
      </c>
      <c r="AF234" s="34">
        <f t="shared" si="104"/>
        <v>0</v>
      </c>
      <c r="AG234" s="34">
        <f t="shared" si="105"/>
        <v>0</v>
      </c>
      <c r="AH234" s="34">
        <f t="shared" si="106"/>
        <v>0</v>
      </c>
      <c r="AI234" s="28" t="s">
        <v>1137</v>
      </c>
      <c r="AJ234" s="18">
        <f t="shared" si="107"/>
        <v>0</v>
      </c>
      <c r="AK234" s="18">
        <f t="shared" si="108"/>
        <v>0</v>
      </c>
      <c r="AL234" s="18">
        <f t="shared" si="109"/>
        <v>0</v>
      </c>
      <c r="AN234" s="34">
        <v>21</v>
      </c>
      <c r="AO234" s="34">
        <f t="shared" si="110"/>
        <v>0</v>
      </c>
      <c r="AP234" s="34">
        <f t="shared" si="111"/>
        <v>0</v>
      </c>
      <c r="AQ234" s="29" t="s">
        <v>13</v>
      </c>
      <c r="AV234" s="34">
        <f t="shared" si="112"/>
        <v>0</v>
      </c>
      <c r="AW234" s="34">
        <f t="shared" si="113"/>
        <v>0</v>
      </c>
      <c r="AX234" s="34">
        <f t="shared" si="114"/>
        <v>0</v>
      </c>
      <c r="AY234" s="35" t="s">
        <v>1155</v>
      </c>
      <c r="AZ234" s="35" t="s">
        <v>1170</v>
      </c>
      <c r="BA234" s="28" t="s">
        <v>1176</v>
      </c>
      <c r="BC234" s="34">
        <f t="shared" si="115"/>
        <v>0</v>
      </c>
      <c r="BD234" s="34">
        <f t="shared" si="116"/>
        <v>0</v>
      </c>
      <c r="BE234" s="34">
        <v>0</v>
      </c>
      <c r="BF234" s="34">
        <f>234</f>
        <v>234</v>
      </c>
      <c r="BH234" s="18">
        <f t="shared" si="117"/>
        <v>0</v>
      </c>
      <c r="BI234" s="18">
        <f t="shared" si="118"/>
        <v>0</v>
      </c>
      <c r="BJ234" s="18">
        <f t="shared" si="119"/>
        <v>0</v>
      </c>
    </row>
    <row r="235" spans="1:62" x14ac:dyDescent="0.2">
      <c r="A235" s="5" t="s">
        <v>186</v>
      </c>
      <c r="B235" s="5" t="s">
        <v>317</v>
      </c>
      <c r="C235" s="135" t="s">
        <v>903</v>
      </c>
      <c r="D235" s="136"/>
      <c r="E235" s="136"/>
      <c r="F235" s="5" t="s">
        <v>1103</v>
      </c>
      <c r="G235" s="18">
        <v>1</v>
      </c>
      <c r="H235" s="79">
        <v>0</v>
      </c>
      <c r="I235" s="18">
        <f t="shared" si="96"/>
        <v>0</v>
      </c>
      <c r="J235" s="18">
        <f t="shared" si="97"/>
        <v>0</v>
      </c>
      <c r="K235" s="18">
        <f t="shared" si="98"/>
        <v>0</v>
      </c>
      <c r="L235" s="29" t="s">
        <v>1127</v>
      </c>
      <c r="Z235" s="34">
        <f t="shared" si="99"/>
        <v>0</v>
      </c>
      <c r="AB235" s="34">
        <f t="shared" si="100"/>
        <v>0</v>
      </c>
      <c r="AC235" s="34">
        <f t="shared" si="101"/>
        <v>0</v>
      </c>
      <c r="AD235" s="34">
        <f t="shared" si="102"/>
        <v>0</v>
      </c>
      <c r="AE235" s="34">
        <f t="shared" si="103"/>
        <v>0</v>
      </c>
      <c r="AF235" s="34">
        <f t="shared" si="104"/>
        <v>0</v>
      </c>
      <c r="AG235" s="34">
        <f t="shared" si="105"/>
        <v>0</v>
      </c>
      <c r="AH235" s="34">
        <f t="shared" si="106"/>
        <v>0</v>
      </c>
      <c r="AI235" s="28" t="s">
        <v>1137</v>
      </c>
      <c r="AJ235" s="18">
        <f t="shared" si="107"/>
        <v>0</v>
      </c>
      <c r="AK235" s="18">
        <f t="shared" si="108"/>
        <v>0</v>
      </c>
      <c r="AL235" s="18">
        <f t="shared" si="109"/>
        <v>0</v>
      </c>
      <c r="AN235" s="34">
        <v>21</v>
      </c>
      <c r="AO235" s="34">
        <f t="shared" si="110"/>
        <v>0</v>
      </c>
      <c r="AP235" s="34">
        <f t="shared" si="111"/>
        <v>0</v>
      </c>
      <c r="AQ235" s="29" t="s">
        <v>13</v>
      </c>
      <c r="AV235" s="34">
        <f t="shared" si="112"/>
        <v>0</v>
      </c>
      <c r="AW235" s="34">
        <f t="shared" si="113"/>
        <v>0</v>
      </c>
      <c r="AX235" s="34">
        <f t="shared" si="114"/>
        <v>0</v>
      </c>
      <c r="AY235" s="35" t="s">
        <v>1155</v>
      </c>
      <c r="AZ235" s="35" t="s">
        <v>1170</v>
      </c>
      <c r="BA235" s="28" t="s">
        <v>1176</v>
      </c>
      <c r="BC235" s="34">
        <f t="shared" si="115"/>
        <v>0</v>
      </c>
      <c r="BD235" s="34">
        <f t="shared" si="116"/>
        <v>0</v>
      </c>
      <c r="BE235" s="34">
        <v>0</v>
      </c>
      <c r="BF235" s="34">
        <f>235</f>
        <v>235</v>
      </c>
      <c r="BH235" s="18">
        <f t="shared" si="117"/>
        <v>0</v>
      </c>
      <c r="BI235" s="18">
        <f t="shared" si="118"/>
        <v>0</v>
      </c>
      <c r="BJ235" s="18">
        <f t="shared" si="119"/>
        <v>0</v>
      </c>
    </row>
    <row r="236" spans="1:62" x14ac:dyDescent="0.2">
      <c r="A236" s="5" t="s">
        <v>187</v>
      </c>
      <c r="B236" s="5" t="s">
        <v>318</v>
      </c>
      <c r="C236" s="135" t="s">
        <v>825</v>
      </c>
      <c r="D236" s="136"/>
      <c r="E236" s="136"/>
      <c r="F236" s="5" t="s">
        <v>1104</v>
      </c>
      <c r="G236" s="18">
        <v>25</v>
      </c>
      <c r="H236" s="79">
        <v>0</v>
      </c>
      <c r="I236" s="18">
        <f t="shared" si="96"/>
        <v>0</v>
      </c>
      <c r="J236" s="18">
        <f t="shared" si="97"/>
        <v>0</v>
      </c>
      <c r="K236" s="18">
        <f t="shared" si="98"/>
        <v>0</v>
      </c>
      <c r="L236" s="29" t="s">
        <v>1127</v>
      </c>
      <c r="Z236" s="34">
        <f t="shared" si="99"/>
        <v>0</v>
      </c>
      <c r="AB236" s="34">
        <f t="shared" si="100"/>
        <v>0</v>
      </c>
      <c r="AC236" s="34">
        <f t="shared" si="101"/>
        <v>0</v>
      </c>
      <c r="AD236" s="34">
        <f t="shared" si="102"/>
        <v>0</v>
      </c>
      <c r="AE236" s="34">
        <f t="shared" si="103"/>
        <v>0</v>
      </c>
      <c r="AF236" s="34">
        <f t="shared" si="104"/>
        <v>0</v>
      </c>
      <c r="AG236" s="34">
        <f t="shared" si="105"/>
        <v>0</v>
      </c>
      <c r="AH236" s="34">
        <f t="shared" si="106"/>
        <v>0</v>
      </c>
      <c r="AI236" s="28" t="s">
        <v>1137</v>
      </c>
      <c r="AJ236" s="18">
        <f t="shared" si="107"/>
        <v>0</v>
      </c>
      <c r="AK236" s="18">
        <f t="shared" si="108"/>
        <v>0</v>
      </c>
      <c r="AL236" s="18">
        <f t="shared" si="109"/>
        <v>0</v>
      </c>
      <c r="AN236" s="34">
        <v>21</v>
      </c>
      <c r="AO236" s="34">
        <f t="shared" si="110"/>
        <v>0</v>
      </c>
      <c r="AP236" s="34">
        <f t="shared" si="111"/>
        <v>0</v>
      </c>
      <c r="AQ236" s="29" t="s">
        <v>13</v>
      </c>
      <c r="AV236" s="34">
        <f t="shared" si="112"/>
        <v>0</v>
      </c>
      <c r="AW236" s="34">
        <f t="shared" si="113"/>
        <v>0</v>
      </c>
      <c r="AX236" s="34">
        <f t="shared" si="114"/>
        <v>0</v>
      </c>
      <c r="AY236" s="35" t="s">
        <v>1155</v>
      </c>
      <c r="AZ236" s="35" t="s">
        <v>1170</v>
      </c>
      <c r="BA236" s="28" t="s">
        <v>1176</v>
      </c>
      <c r="BC236" s="34">
        <f t="shared" si="115"/>
        <v>0</v>
      </c>
      <c r="BD236" s="34">
        <f t="shared" si="116"/>
        <v>0</v>
      </c>
      <c r="BE236" s="34">
        <v>0</v>
      </c>
      <c r="BF236" s="34">
        <f>236</f>
        <v>236</v>
      </c>
      <c r="BH236" s="18">
        <f t="shared" si="117"/>
        <v>0</v>
      </c>
      <c r="BI236" s="18">
        <f t="shared" si="118"/>
        <v>0</v>
      </c>
      <c r="BJ236" s="18">
        <f t="shared" si="119"/>
        <v>0</v>
      </c>
    </row>
    <row r="237" spans="1:62" x14ac:dyDescent="0.2">
      <c r="A237" s="5" t="s">
        <v>188</v>
      </c>
      <c r="B237" s="5" t="s">
        <v>319</v>
      </c>
      <c r="C237" s="135" t="s">
        <v>826</v>
      </c>
      <c r="D237" s="136"/>
      <c r="E237" s="136"/>
      <c r="F237" s="5" t="s">
        <v>1103</v>
      </c>
      <c r="G237" s="18">
        <v>1</v>
      </c>
      <c r="H237" s="79">
        <v>0</v>
      </c>
      <c r="I237" s="18">
        <f t="shared" si="96"/>
        <v>0</v>
      </c>
      <c r="J237" s="18">
        <f t="shared" si="97"/>
        <v>0</v>
      </c>
      <c r="K237" s="18">
        <f t="shared" si="98"/>
        <v>0</v>
      </c>
      <c r="L237" s="29" t="s">
        <v>1127</v>
      </c>
      <c r="Z237" s="34">
        <f t="shared" si="99"/>
        <v>0</v>
      </c>
      <c r="AB237" s="34">
        <f t="shared" si="100"/>
        <v>0</v>
      </c>
      <c r="AC237" s="34">
        <f t="shared" si="101"/>
        <v>0</v>
      </c>
      <c r="AD237" s="34">
        <f t="shared" si="102"/>
        <v>0</v>
      </c>
      <c r="AE237" s="34">
        <f t="shared" si="103"/>
        <v>0</v>
      </c>
      <c r="AF237" s="34">
        <f t="shared" si="104"/>
        <v>0</v>
      </c>
      <c r="AG237" s="34">
        <f t="shared" si="105"/>
        <v>0</v>
      </c>
      <c r="AH237" s="34">
        <f t="shared" si="106"/>
        <v>0</v>
      </c>
      <c r="AI237" s="28" t="s">
        <v>1137</v>
      </c>
      <c r="AJ237" s="18">
        <f t="shared" si="107"/>
        <v>0</v>
      </c>
      <c r="AK237" s="18">
        <f t="shared" si="108"/>
        <v>0</v>
      </c>
      <c r="AL237" s="18">
        <f t="shared" si="109"/>
        <v>0</v>
      </c>
      <c r="AN237" s="34">
        <v>21</v>
      </c>
      <c r="AO237" s="34">
        <f t="shared" si="110"/>
        <v>0</v>
      </c>
      <c r="AP237" s="34">
        <f t="shared" si="111"/>
        <v>0</v>
      </c>
      <c r="AQ237" s="29" t="s">
        <v>13</v>
      </c>
      <c r="AV237" s="34">
        <f t="shared" si="112"/>
        <v>0</v>
      </c>
      <c r="AW237" s="34">
        <f t="shared" si="113"/>
        <v>0</v>
      </c>
      <c r="AX237" s="34">
        <f t="shared" si="114"/>
        <v>0</v>
      </c>
      <c r="AY237" s="35" t="s">
        <v>1155</v>
      </c>
      <c r="AZ237" s="35" t="s">
        <v>1170</v>
      </c>
      <c r="BA237" s="28" t="s">
        <v>1176</v>
      </c>
      <c r="BC237" s="34">
        <f t="shared" si="115"/>
        <v>0</v>
      </c>
      <c r="BD237" s="34">
        <f t="shared" si="116"/>
        <v>0</v>
      </c>
      <c r="BE237" s="34">
        <v>0</v>
      </c>
      <c r="BF237" s="34">
        <f>237</f>
        <v>237</v>
      </c>
      <c r="BH237" s="18">
        <f t="shared" si="117"/>
        <v>0</v>
      </c>
      <c r="BI237" s="18">
        <f t="shared" si="118"/>
        <v>0</v>
      </c>
      <c r="BJ237" s="18">
        <f t="shared" si="119"/>
        <v>0</v>
      </c>
    </row>
    <row r="238" spans="1:62" x14ac:dyDescent="0.2">
      <c r="A238" s="5" t="s">
        <v>189</v>
      </c>
      <c r="B238" s="5" t="s">
        <v>320</v>
      </c>
      <c r="C238" s="135" t="s">
        <v>827</v>
      </c>
      <c r="D238" s="136"/>
      <c r="E238" s="136"/>
      <c r="F238" s="5" t="s">
        <v>1103</v>
      </c>
      <c r="G238" s="18">
        <v>1</v>
      </c>
      <c r="H238" s="79">
        <v>0</v>
      </c>
      <c r="I238" s="18">
        <f t="shared" si="96"/>
        <v>0</v>
      </c>
      <c r="J238" s="18">
        <f t="shared" si="97"/>
        <v>0</v>
      </c>
      <c r="K238" s="18">
        <f t="shared" si="98"/>
        <v>0</v>
      </c>
      <c r="L238" s="29" t="s">
        <v>1127</v>
      </c>
      <c r="Z238" s="34">
        <f t="shared" si="99"/>
        <v>0</v>
      </c>
      <c r="AB238" s="34">
        <f t="shared" si="100"/>
        <v>0</v>
      </c>
      <c r="AC238" s="34">
        <f t="shared" si="101"/>
        <v>0</v>
      </c>
      <c r="AD238" s="34">
        <f t="shared" si="102"/>
        <v>0</v>
      </c>
      <c r="AE238" s="34">
        <f t="shared" si="103"/>
        <v>0</v>
      </c>
      <c r="AF238" s="34">
        <f t="shared" si="104"/>
        <v>0</v>
      </c>
      <c r="AG238" s="34">
        <f t="shared" si="105"/>
        <v>0</v>
      </c>
      <c r="AH238" s="34">
        <f t="shared" si="106"/>
        <v>0</v>
      </c>
      <c r="AI238" s="28" t="s">
        <v>1137</v>
      </c>
      <c r="AJ238" s="18">
        <f t="shared" si="107"/>
        <v>0</v>
      </c>
      <c r="AK238" s="18">
        <f t="shared" si="108"/>
        <v>0</v>
      </c>
      <c r="AL238" s="18">
        <f t="shared" si="109"/>
        <v>0</v>
      </c>
      <c r="AN238" s="34">
        <v>21</v>
      </c>
      <c r="AO238" s="34">
        <f t="shared" si="110"/>
        <v>0</v>
      </c>
      <c r="AP238" s="34">
        <f t="shared" si="111"/>
        <v>0</v>
      </c>
      <c r="AQ238" s="29" t="s">
        <v>13</v>
      </c>
      <c r="AV238" s="34">
        <f t="shared" si="112"/>
        <v>0</v>
      </c>
      <c r="AW238" s="34">
        <f t="shared" si="113"/>
        <v>0</v>
      </c>
      <c r="AX238" s="34">
        <f t="shared" si="114"/>
        <v>0</v>
      </c>
      <c r="AY238" s="35" t="s">
        <v>1155</v>
      </c>
      <c r="AZ238" s="35" t="s">
        <v>1170</v>
      </c>
      <c r="BA238" s="28" t="s">
        <v>1176</v>
      </c>
      <c r="BC238" s="34">
        <f t="shared" si="115"/>
        <v>0</v>
      </c>
      <c r="BD238" s="34">
        <f t="shared" si="116"/>
        <v>0</v>
      </c>
      <c r="BE238" s="34">
        <v>0</v>
      </c>
      <c r="BF238" s="34">
        <f>238</f>
        <v>238</v>
      </c>
      <c r="BH238" s="18">
        <f t="shared" si="117"/>
        <v>0</v>
      </c>
      <c r="BI238" s="18">
        <f t="shared" si="118"/>
        <v>0</v>
      </c>
      <c r="BJ238" s="18">
        <f t="shared" si="119"/>
        <v>0</v>
      </c>
    </row>
    <row r="239" spans="1:62" x14ac:dyDescent="0.2">
      <c r="A239" s="5" t="s">
        <v>190</v>
      </c>
      <c r="B239" s="5" t="s">
        <v>321</v>
      </c>
      <c r="C239" s="135" t="s">
        <v>828</v>
      </c>
      <c r="D239" s="136"/>
      <c r="E239" s="136"/>
      <c r="F239" s="5" t="s">
        <v>1103</v>
      </c>
      <c r="G239" s="18">
        <v>1</v>
      </c>
      <c r="H239" s="79">
        <v>0</v>
      </c>
      <c r="I239" s="18">
        <f t="shared" si="96"/>
        <v>0</v>
      </c>
      <c r="J239" s="18">
        <f t="shared" si="97"/>
        <v>0</v>
      </c>
      <c r="K239" s="18">
        <f t="shared" si="98"/>
        <v>0</v>
      </c>
      <c r="L239" s="29" t="s">
        <v>1127</v>
      </c>
      <c r="Z239" s="34">
        <f t="shared" si="99"/>
        <v>0</v>
      </c>
      <c r="AB239" s="34">
        <f t="shared" si="100"/>
        <v>0</v>
      </c>
      <c r="AC239" s="34">
        <f t="shared" si="101"/>
        <v>0</v>
      </c>
      <c r="AD239" s="34">
        <f t="shared" si="102"/>
        <v>0</v>
      </c>
      <c r="AE239" s="34">
        <f t="shared" si="103"/>
        <v>0</v>
      </c>
      <c r="AF239" s="34">
        <f t="shared" si="104"/>
        <v>0</v>
      </c>
      <c r="AG239" s="34">
        <f t="shared" si="105"/>
        <v>0</v>
      </c>
      <c r="AH239" s="34">
        <f t="shared" si="106"/>
        <v>0</v>
      </c>
      <c r="AI239" s="28" t="s">
        <v>1137</v>
      </c>
      <c r="AJ239" s="18">
        <f t="shared" si="107"/>
        <v>0</v>
      </c>
      <c r="AK239" s="18">
        <f t="shared" si="108"/>
        <v>0</v>
      </c>
      <c r="AL239" s="18">
        <f t="shared" si="109"/>
        <v>0</v>
      </c>
      <c r="AN239" s="34">
        <v>21</v>
      </c>
      <c r="AO239" s="34">
        <f t="shared" si="110"/>
        <v>0</v>
      </c>
      <c r="AP239" s="34">
        <f t="shared" si="111"/>
        <v>0</v>
      </c>
      <c r="AQ239" s="29" t="s">
        <v>13</v>
      </c>
      <c r="AV239" s="34">
        <f t="shared" si="112"/>
        <v>0</v>
      </c>
      <c r="AW239" s="34">
        <f t="shared" si="113"/>
        <v>0</v>
      </c>
      <c r="AX239" s="34">
        <f t="shared" si="114"/>
        <v>0</v>
      </c>
      <c r="AY239" s="35" t="s">
        <v>1155</v>
      </c>
      <c r="AZ239" s="35" t="s">
        <v>1170</v>
      </c>
      <c r="BA239" s="28" t="s">
        <v>1176</v>
      </c>
      <c r="BC239" s="34">
        <f t="shared" si="115"/>
        <v>0</v>
      </c>
      <c r="BD239" s="34">
        <f t="shared" si="116"/>
        <v>0</v>
      </c>
      <c r="BE239" s="34">
        <v>0</v>
      </c>
      <c r="BF239" s="34">
        <f>239</f>
        <v>239</v>
      </c>
      <c r="BH239" s="18">
        <f t="shared" si="117"/>
        <v>0</v>
      </c>
      <c r="BI239" s="18">
        <f t="shared" si="118"/>
        <v>0</v>
      </c>
      <c r="BJ239" s="18">
        <f t="shared" si="119"/>
        <v>0</v>
      </c>
    </row>
    <row r="240" spans="1:62" x14ac:dyDescent="0.2">
      <c r="A240" s="4"/>
      <c r="B240" s="14" t="s">
        <v>519</v>
      </c>
      <c r="C240" s="133" t="s">
        <v>904</v>
      </c>
      <c r="D240" s="134"/>
      <c r="E240" s="134"/>
      <c r="F240" s="4" t="s">
        <v>6</v>
      </c>
      <c r="G240" s="4" t="s">
        <v>6</v>
      </c>
      <c r="H240" s="4" t="s">
        <v>6</v>
      </c>
      <c r="I240" s="37">
        <f>SUM(I241:I279)</f>
        <v>0</v>
      </c>
      <c r="J240" s="37">
        <f>SUM(J241:J279)</f>
        <v>0</v>
      </c>
      <c r="K240" s="37">
        <f>SUM(K241:K279)</f>
        <v>0</v>
      </c>
      <c r="L240" s="28"/>
      <c r="AI240" s="28" t="s">
        <v>1137</v>
      </c>
      <c r="AS240" s="37">
        <f>SUM(AJ241:AJ279)</f>
        <v>0</v>
      </c>
      <c r="AT240" s="37">
        <f>SUM(AK241:AK279)</f>
        <v>0</v>
      </c>
      <c r="AU240" s="37">
        <f>SUM(AL241:AL279)</f>
        <v>0</v>
      </c>
    </row>
    <row r="241" spans="1:62" x14ac:dyDescent="0.2">
      <c r="A241" s="5" t="s">
        <v>191</v>
      </c>
      <c r="B241" s="5" t="s">
        <v>520</v>
      </c>
      <c r="C241" s="135" t="s">
        <v>905</v>
      </c>
      <c r="D241" s="136"/>
      <c r="E241" s="136"/>
      <c r="F241" s="5" t="s">
        <v>1101</v>
      </c>
      <c r="G241" s="18">
        <v>89.5</v>
      </c>
      <c r="H241" s="79">
        <v>0</v>
      </c>
      <c r="I241" s="18">
        <f t="shared" ref="I241:I279" si="120">G241*AO241</f>
        <v>0</v>
      </c>
      <c r="J241" s="18">
        <f t="shared" ref="J241:J279" si="121">G241*AP241</f>
        <v>0</v>
      </c>
      <c r="K241" s="18">
        <f t="shared" ref="K241:K279" si="122">G241*H241</f>
        <v>0</v>
      </c>
      <c r="L241" s="29" t="s">
        <v>1127</v>
      </c>
      <c r="Z241" s="34">
        <f t="shared" ref="Z241:Z279" si="123">IF(AQ241="5",BJ241,0)</f>
        <v>0</v>
      </c>
      <c r="AB241" s="34">
        <f t="shared" ref="AB241:AB279" si="124">IF(AQ241="1",BH241,0)</f>
        <v>0</v>
      </c>
      <c r="AC241" s="34">
        <f t="shared" ref="AC241:AC279" si="125">IF(AQ241="1",BI241,0)</f>
        <v>0</v>
      </c>
      <c r="AD241" s="34">
        <f t="shared" ref="AD241:AD279" si="126">IF(AQ241="7",BH241,0)</f>
        <v>0</v>
      </c>
      <c r="AE241" s="34">
        <f t="shared" ref="AE241:AE279" si="127">IF(AQ241="7",BI241,0)</f>
        <v>0</v>
      </c>
      <c r="AF241" s="34">
        <f t="shared" ref="AF241:AF279" si="128">IF(AQ241="2",BH241,0)</f>
        <v>0</v>
      </c>
      <c r="AG241" s="34">
        <f t="shared" ref="AG241:AG279" si="129">IF(AQ241="2",BI241,0)</f>
        <v>0</v>
      </c>
      <c r="AH241" s="34">
        <f t="shared" ref="AH241:AH279" si="130">IF(AQ241="0",BJ241,0)</f>
        <v>0</v>
      </c>
      <c r="AI241" s="28" t="s">
        <v>1137</v>
      </c>
      <c r="AJ241" s="18">
        <f t="shared" ref="AJ241:AJ279" si="131">IF(AN241=0,K241,0)</f>
        <v>0</v>
      </c>
      <c r="AK241" s="18">
        <f t="shared" ref="AK241:AK279" si="132">IF(AN241=15,K241,0)</f>
        <v>0</v>
      </c>
      <c r="AL241" s="18">
        <f t="shared" ref="AL241:AL279" si="133">IF(AN241=21,K241,0)</f>
        <v>0</v>
      </c>
      <c r="AN241" s="34">
        <v>21</v>
      </c>
      <c r="AO241" s="34">
        <f t="shared" ref="AO241:AO279" si="134">H241*0</f>
        <v>0</v>
      </c>
      <c r="AP241" s="34">
        <f t="shared" ref="AP241:AP279" si="135">H241*(1-0)</f>
        <v>0</v>
      </c>
      <c r="AQ241" s="29" t="s">
        <v>13</v>
      </c>
      <c r="AV241" s="34">
        <f t="shared" ref="AV241:AV279" si="136">AW241+AX241</f>
        <v>0</v>
      </c>
      <c r="AW241" s="34">
        <f t="shared" ref="AW241:AW279" si="137">G241*AO241</f>
        <v>0</v>
      </c>
      <c r="AX241" s="34">
        <f t="shared" ref="AX241:AX279" si="138">G241*AP241</f>
        <v>0</v>
      </c>
      <c r="AY241" s="35" t="s">
        <v>1156</v>
      </c>
      <c r="AZ241" s="35" t="s">
        <v>1171</v>
      </c>
      <c r="BA241" s="28" t="s">
        <v>1176</v>
      </c>
      <c r="BC241" s="34">
        <f t="shared" ref="BC241:BC279" si="139">AW241+AX241</f>
        <v>0</v>
      </c>
      <c r="BD241" s="34">
        <f t="shared" ref="BD241:BD279" si="140">H241/(100-BE241)*100</f>
        <v>0</v>
      </c>
      <c r="BE241" s="34">
        <v>0</v>
      </c>
      <c r="BF241" s="34">
        <f>241</f>
        <v>241</v>
      </c>
      <c r="BH241" s="18">
        <f t="shared" ref="BH241:BH279" si="141">G241*AO241</f>
        <v>0</v>
      </c>
      <c r="BI241" s="18">
        <f t="shared" ref="BI241:BI279" si="142">G241*AP241</f>
        <v>0</v>
      </c>
      <c r="BJ241" s="18">
        <f t="shared" ref="BJ241:BJ279" si="143">G241*H241</f>
        <v>0</v>
      </c>
    </row>
    <row r="242" spans="1:62" x14ac:dyDescent="0.2">
      <c r="A242" s="5" t="s">
        <v>192</v>
      </c>
      <c r="B242" s="5" t="s">
        <v>521</v>
      </c>
      <c r="C242" s="135" t="s">
        <v>906</v>
      </c>
      <c r="D242" s="136"/>
      <c r="E242" s="136"/>
      <c r="F242" s="5" t="s">
        <v>1103</v>
      </c>
      <c r="G242" s="18">
        <v>8</v>
      </c>
      <c r="H242" s="79">
        <v>0</v>
      </c>
      <c r="I242" s="18">
        <f t="shared" si="120"/>
        <v>0</v>
      </c>
      <c r="J242" s="18">
        <f t="shared" si="121"/>
        <v>0</v>
      </c>
      <c r="K242" s="18">
        <f t="shared" si="122"/>
        <v>0</v>
      </c>
      <c r="L242" s="29" t="s">
        <v>1127</v>
      </c>
      <c r="Z242" s="34">
        <f t="shared" si="123"/>
        <v>0</v>
      </c>
      <c r="AB242" s="34">
        <f t="shared" si="124"/>
        <v>0</v>
      </c>
      <c r="AC242" s="34">
        <f t="shared" si="125"/>
        <v>0</v>
      </c>
      <c r="AD242" s="34">
        <f t="shared" si="126"/>
        <v>0</v>
      </c>
      <c r="AE242" s="34">
        <f t="shared" si="127"/>
        <v>0</v>
      </c>
      <c r="AF242" s="34">
        <f t="shared" si="128"/>
        <v>0</v>
      </c>
      <c r="AG242" s="34">
        <f t="shared" si="129"/>
        <v>0</v>
      </c>
      <c r="AH242" s="34">
        <f t="shared" si="130"/>
        <v>0</v>
      </c>
      <c r="AI242" s="28" t="s">
        <v>1137</v>
      </c>
      <c r="AJ242" s="18">
        <f t="shared" si="131"/>
        <v>0</v>
      </c>
      <c r="AK242" s="18">
        <f t="shared" si="132"/>
        <v>0</v>
      </c>
      <c r="AL242" s="18">
        <f t="shared" si="133"/>
        <v>0</v>
      </c>
      <c r="AN242" s="34">
        <v>21</v>
      </c>
      <c r="AO242" s="34">
        <f t="shared" si="134"/>
        <v>0</v>
      </c>
      <c r="AP242" s="34">
        <f t="shared" si="135"/>
        <v>0</v>
      </c>
      <c r="AQ242" s="29" t="s">
        <v>13</v>
      </c>
      <c r="AV242" s="34">
        <f t="shared" si="136"/>
        <v>0</v>
      </c>
      <c r="AW242" s="34">
        <f t="shared" si="137"/>
        <v>0</v>
      </c>
      <c r="AX242" s="34">
        <f t="shared" si="138"/>
        <v>0</v>
      </c>
      <c r="AY242" s="35" t="s">
        <v>1156</v>
      </c>
      <c r="AZ242" s="35" t="s">
        <v>1171</v>
      </c>
      <c r="BA242" s="28" t="s">
        <v>1176</v>
      </c>
      <c r="BC242" s="34">
        <f t="shared" si="139"/>
        <v>0</v>
      </c>
      <c r="BD242" s="34">
        <f t="shared" si="140"/>
        <v>0</v>
      </c>
      <c r="BE242" s="34">
        <v>0</v>
      </c>
      <c r="BF242" s="34">
        <f>242</f>
        <v>242</v>
      </c>
      <c r="BH242" s="18">
        <f t="shared" si="141"/>
        <v>0</v>
      </c>
      <c r="BI242" s="18">
        <f t="shared" si="142"/>
        <v>0</v>
      </c>
      <c r="BJ242" s="18">
        <f t="shared" si="143"/>
        <v>0</v>
      </c>
    </row>
    <row r="243" spans="1:62" x14ac:dyDescent="0.2">
      <c r="A243" s="5" t="s">
        <v>193</v>
      </c>
      <c r="B243" s="5" t="s">
        <v>522</v>
      </c>
      <c r="C243" s="135" t="s">
        <v>907</v>
      </c>
      <c r="D243" s="136"/>
      <c r="E243" s="136"/>
      <c r="F243" s="5" t="s">
        <v>1101</v>
      </c>
      <c r="G243" s="18">
        <v>38.5</v>
      </c>
      <c r="H243" s="79">
        <v>0</v>
      </c>
      <c r="I243" s="18">
        <f t="shared" si="120"/>
        <v>0</v>
      </c>
      <c r="J243" s="18">
        <f t="shared" si="121"/>
        <v>0</v>
      </c>
      <c r="K243" s="18">
        <f t="shared" si="122"/>
        <v>0</v>
      </c>
      <c r="L243" s="29" t="s">
        <v>1127</v>
      </c>
      <c r="Z243" s="34">
        <f t="shared" si="123"/>
        <v>0</v>
      </c>
      <c r="AB243" s="34">
        <f t="shared" si="124"/>
        <v>0</v>
      </c>
      <c r="AC243" s="34">
        <f t="shared" si="125"/>
        <v>0</v>
      </c>
      <c r="AD243" s="34">
        <f t="shared" si="126"/>
        <v>0</v>
      </c>
      <c r="AE243" s="34">
        <f t="shared" si="127"/>
        <v>0</v>
      </c>
      <c r="AF243" s="34">
        <f t="shared" si="128"/>
        <v>0</v>
      </c>
      <c r="AG243" s="34">
        <f t="shared" si="129"/>
        <v>0</v>
      </c>
      <c r="AH243" s="34">
        <f t="shared" si="130"/>
        <v>0</v>
      </c>
      <c r="AI243" s="28" t="s">
        <v>1137</v>
      </c>
      <c r="AJ243" s="18">
        <f t="shared" si="131"/>
        <v>0</v>
      </c>
      <c r="AK243" s="18">
        <f t="shared" si="132"/>
        <v>0</v>
      </c>
      <c r="AL243" s="18">
        <f t="shared" si="133"/>
        <v>0</v>
      </c>
      <c r="AN243" s="34">
        <v>21</v>
      </c>
      <c r="AO243" s="34">
        <f t="shared" si="134"/>
        <v>0</v>
      </c>
      <c r="AP243" s="34">
        <f t="shared" si="135"/>
        <v>0</v>
      </c>
      <c r="AQ243" s="29" t="s">
        <v>13</v>
      </c>
      <c r="AV243" s="34">
        <f t="shared" si="136"/>
        <v>0</v>
      </c>
      <c r="AW243" s="34">
        <f t="shared" si="137"/>
        <v>0</v>
      </c>
      <c r="AX243" s="34">
        <f t="shared" si="138"/>
        <v>0</v>
      </c>
      <c r="AY243" s="35" t="s">
        <v>1156</v>
      </c>
      <c r="AZ243" s="35" t="s">
        <v>1171</v>
      </c>
      <c r="BA243" s="28" t="s">
        <v>1176</v>
      </c>
      <c r="BC243" s="34">
        <f t="shared" si="139"/>
        <v>0</v>
      </c>
      <c r="BD243" s="34">
        <f t="shared" si="140"/>
        <v>0</v>
      </c>
      <c r="BE243" s="34">
        <v>0</v>
      </c>
      <c r="BF243" s="34">
        <f>243</f>
        <v>243</v>
      </c>
      <c r="BH243" s="18">
        <f t="shared" si="141"/>
        <v>0</v>
      </c>
      <c r="BI243" s="18">
        <f t="shared" si="142"/>
        <v>0</v>
      </c>
      <c r="BJ243" s="18">
        <f t="shared" si="143"/>
        <v>0</v>
      </c>
    </row>
    <row r="244" spans="1:62" x14ac:dyDescent="0.2">
      <c r="A244" s="5" t="s">
        <v>194</v>
      </c>
      <c r="B244" s="5" t="s">
        <v>523</v>
      </c>
      <c r="C244" s="135" t="s">
        <v>908</v>
      </c>
      <c r="D244" s="136"/>
      <c r="E244" s="136"/>
      <c r="F244" s="5" t="s">
        <v>1101</v>
      </c>
      <c r="G244" s="18">
        <v>13.5</v>
      </c>
      <c r="H244" s="79">
        <v>0</v>
      </c>
      <c r="I244" s="18">
        <f t="shared" si="120"/>
        <v>0</v>
      </c>
      <c r="J244" s="18">
        <f t="shared" si="121"/>
        <v>0</v>
      </c>
      <c r="K244" s="18">
        <f t="shared" si="122"/>
        <v>0</v>
      </c>
      <c r="L244" s="29" t="s">
        <v>1127</v>
      </c>
      <c r="Z244" s="34">
        <f t="shared" si="123"/>
        <v>0</v>
      </c>
      <c r="AB244" s="34">
        <f t="shared" si="124"/>
        <v>0</v>
      </c>
      <c r="AC244" s="34">
        <f t="shared" si="125"/>
        <v>0</v>
      </c>
      <c r="AD244" s="34">
        <f t="shared" si="126"/>
        <v>0</v>
      </c>
      <c r="AE244" s="34">
        <f t="shared" si="127"/>
        <v>0</v>
      </c>
      <c r="AF244" s="34">
        <f t="shared" si="128"/>
        <v>0</v>
      </c>
      <c r="AG244" s="34">
        <f t="shared" si="129"/>
        <v>0</v>
      </c>
      <c r="AH244" s="34">
        <f t="shared" si="130"/>
        <v>0</v>
      </c>
      <c r="AI244" s="28" t="s">
        <v>1137</v>
      </c>
      <c r="AJ244" s="18">
        <f t="shared" si="131"/>
        <v>0</v>
      </c>
      <c r="AK244" s="18">
        <f t="shared" si="132"/>
        <v>0</v>
      </c>
      <c r="AL244" s="18">
        <f t="shared" si="133"/>
        <v>0</v>
      </c>
      <c r="AN244" s="34">
        <v>21</v>
      </c>
      <c r="AO244" s="34">
        <f t="shared" si="134"/>
        <v>0</v>
      </c>
      <c r="AP244" s="34">
        <f t="shared" si="135"/>
        <v>0</v>
      </c>
      <c r="AQ244" s="29" t="s">
        <v>13</v>
      </c>
      <c r="AV244" s="34">
        <f t="shared" si="136"/>
        <v>0</v>
      </c>
      <c r="AW244" s="34">
        <f t="shared" si="137"/>
        <v>0</v>
      </c>
      <c r="AX244" s="34">
        <f t="shared" si="138"/>
        <v>0</v>
      </c>
      <c r="AY244" s="35" t="s">
        <v>1156</v>
      </c>
      <c r="AZ244" s="35" t="s">
        <v>1171</v>
      </c>
      <c r="BA244" s="28" t="s">
        <v>1176</v>
      </c>
      <c r="BC244" s="34">
        <f t="shared" si="139"/>
        <v>0</v>
      </c>
      <c r="BD244" s="34">
        <f t="shared" si="140"/>
        <v>0</v>
      </c>
      <c r="BE244" s="34">
        <v>0</v>
      </c>
      <c r="BF244" s="34">
        <f>244</f>
        <v>244</v>
      </c>
      <c r="BH244" s="18">
        <f t="shared" si="141"/>
        <v>0</v>
      </c>
      <c r="BI244" s="18">
        <f t="shared" si="142"/>
        <v>0</v>
      </c>
      <c r="BJ244" s="18">
        <f t="shared" si="143"/>
        <v>0</v>
      </c>
    </row>
    <row r="245" spans="1:62" x14ac:dyDescent="0.2">
      <c r="A245" s="5" t="s">
        <v>195</v>
      </c>
      <c r="B245" s="5" t="s">
        <v>524</v>
      </c>
      <c r="C245" s="135" t="s">
        <v>909</v>
      </c>
      <c r="D245" s="136"/>
      <c r="E245" s="136"/>
      <c r="F245" s="5" t="s">
        <v>1101</v>
      </c>
      <c r="G245" s="18">
        <v>10.5</v>
      </c>
      <c r="H245" s="79">
        <v>0</v>
      </c>
      <c r="I245" s="18">
        <f t="shared" si="120"/>
        <v>0</v>
      </c>
      <c r="J245" s="18">
        <f t="shared" si="121"/>
        <v>0</v>
      </c>
      <c r="K245" s="18">
        <f t="shared" si="122"/>
        <v>0</v>
      </c>
      <c r="L245" s="29" t="s">
        <v>1127</v>
      </c>
      <c r="Z245" s="34">
        <f t="shared" si="123"/>
        <v>0</v>
      </c>
      <c r="AB245" s="34">
        <f t="shared" si="124"/>
        <v>0</v>
      </c>
      <c r="AC245" s="34">
        <f t="shared" si="125"/>
        <v>0</v>
      </c>
      <c r="AD245" s="34">
        <f t="shared" si="126"/>
        <v>0</v>
      </c>
      <c r="AE245" s="34">
        <f t="shared" si="127"/>
        <v>0</v>
      </c>
      <c r="AF245" s="34">
        <f t="shared" si="128"/>
        <v>0</v>
      </c>
      <c r="AG245" s="34">
        <f t="shared" si="129"/>
        <v>0</v>
      </c>
      <c r="AH245" s="34">
        <f t="shared" si="130"/>
        <v>0</v>
      </c>
      <c r="AI245" s="28" t="s">
        <v>1137</v>
      </c>
      <c r="AJ245" s="18">
        <f t="shared" si="131"/>
        <v>0</v>
      </c>
      <c r="AK245" s="18">
        <f t="shared" si="132"/>
        <v>0</v>
      </c>
      <c r="AL245" s="18">
        <f t="shared" si="133"/>
        <v>0</v>
      </c>
      <c r="AN245" s="34">
        <v>21</v>
      </c>
      <c r="AO245" s="34">
        <f t="shared" si="134"/>
        <v>0</v>
      </c>
      <c r="AP245" s="34">
        <f t="shared" si="135"/>
        <v>0</v>
      </c>
      <c r="AQ245" s="29" t="s">
        <v>13</v>
      </c>
      <c r="AV245" s="34">
        <f t="shared" si="136"/>
        <v>0</v>
      </c>
      <c r="AW245" s="34">
        <f t="shared" si="137"/>
        <v>0</v>
      </c>
      <c r="AX245" s="34">
        <f t="shared" si="138"/>
        <v>0</v>
      </c>
      <c r="AY245" s="35" t="s">
        <v>1156</v>
      </c>
      <c r="AZ245" s="35" t="s">
        <v>1171</v>
      </c>
      <c r="BA245" s="28" t="s">
        <v>1176</v>
      </c>
      <c r="BC245" s="34">
        <f t="shared" si="139"/>
        <v>0</v>
      </c>
      <c r="BD245" s="34">
        <f t="shared" si="140"/>
        <v>0</v>
      </c>
      <c r="BE245" s="34">
        <v>0</v>
      </c>
      <c r="BF245" s="34">
        <f>245</f>
        <v>245</v>
      </c>
      <c r="BH245" s="18">
        <f t="shared" si="141"/>
        <v>0</v>
      </c>
      <c r="BI245" s="18">
        <f t="shared" si="142"/>
        <v>0</v>
      </c>
      <c r="BJ245" s="18">
        <f t="shared" si="143"/>
        <v>0</v>
      </c>
    </row>
    <row r="246" spans="1:62" x14ac:dyDescent="0.2">
      <c r="A246" s="5" t="s">
        <v>196</v>
      </c>
      <c r="B246" s="5" t="s">
        <v>525</v>
      </c>
      <c r="C246" s="135" t="s">
        <v>910</v>
      </c>
      <c r="D246" s="136"/>
      <c r="E246" s="136"/>
      <c r="F246" s="5" t="s">
        <v>1101</v>
      </c>
      <c r="G246" s="18">
        <v>30.5</v>
      </c>
      <c r="H246" s="79">
        <v>0</v>
      </c>
      <c r="I246" s="18">
        <f t="shared" si="120"/>
        <v>0</v>
      </c>
      <c r="J246" s="18">
        <f t="shared" si="121"/>
        <v>0</v>
      </c>
      <c r="K246" s="18">
        <f t="shared" si="122"/>
        <v>0</v>
      </c>
      <c r="L246" s="29" t="s">
        <v>1127</v>
      </c>
      <c r="Z246" s="34">
        <f t="shared" si="123"/>
        <v>0</v>
      </c>
      <c r="AB246" s="34">
        <f t="shared" si="124"/>
        <v>0</v>
      </c>
      <c r="AC246" s="34">
        <f t="shared" si="125"/>
        <v>0</v>
      </c>
      <c r="AD246" s="34">
        <f t="shared" si="126"/>
        <v>0</v>
      </c>
      <c r="AE246" s="34">
        <f t="shared" si="127"/>
        <v>0</v>
      </c>
      <c r="AF246" s="34">
        <f t="shared" si="128"/>
        <v>0</v>
      </c>
      <c r="AG246" s="34">
        <f t="shared" si="129"/>
        <v>0</v>
      </c>
      <c r="AH246" s="34">
        <f t="shared" si="130"/>
        <v>0</v>
      </c>
      <c r="AI246" s="28" t="s">
        <v>1137</v>
      </c>
      <c r="AJ246" s="18">
        <f t="shared" si="131"/>
        <v>0</v>
      </c>
      <c r="AK246" s="18">
        <f t="shared" si="132"/>
        <v>0</v>
      </c>
      <c r="AL246" s="18">
        <f t="shared" si="133"/>
        <v>0</v>
      </c>
      <c r="AN246" s="34">
        <v>21</v>
      </c>
      <c r="AO246" s="34">
        <f t="shared" si="134"/>
        <v>0</v>
      </c>
      <c r="AP246" s="34">
        <f t="shared" si="135"/>
        <v>0</v>
      </c>
      <c r="AQ246" s="29" t="s">
        <v>13</v>
      </c>
      <c r="AV246" s="34">
        <f t="shared" si="136"/>
        <v>0</v>
      </c>
      <c r="AW246" s="34">
        <f t="shared" si="137"/>
        <v>0</v>
      </c>
      <c r="AX246" s="34">
        <f t="shared" si="138"/>
        <v>0</v>
      </c>
      <c r="AY246" s="35" t="s">
        <v>1156</v>
      </c>
      <c r="AZ246" s="35" t="s">
        <v>1171</v>
      </c>
      <c r="BA246" s="28" t="s">
        <v>1176</v>
      </c>
      <c r="BC246" s="34">
        <f t="shared" si="139"/>
        <v>0</v>
      </c>
      <c r="BD246" s="34">
        <f t="shared" si="140"/>
        <v>0</v>
      </c>
      <c r="BE246" s="34">
        <v>0</v>
      </c>
      <c r="BF246" s="34">
        <f>246</f>
        <v>246</v>
      </c>
      <c r="BH246" s="18">
        <f t="shared" si="141"/>
        <v>0</v>
      </c>
      <c r="BI246" s="18">
        <f t="shared" si="142"/>
        <v>0</v>
      </c>
      <c r="BJ246" s="18">
        <f t="shared" si="143"/>
        <v>0</v>
      </c>
    </row>
    <row r="247" spans="1:62" x14ac:dyDescent="0.2">
      <c r="A247" s="5" t="s">
        <v>197</v>
      </c>
      <c r="B247" s="5" t="s">
        <v>526</v>
      </c>
      <c r="C247" s="135" t="s">
        <v>911</v>
      </c>
      <c r="D247" s="136"/>
      <c r="E247" s="136"/>
      <c r="F247" s="5" t="s">
        <v>1101</v>
      </c>
      <c r="G247" s="18">
        <v>1</v>
      </c>
      <c r="H247" s="79">
        <v>0</v>
      </c>
      <c r="I247" s="18">
        <f t="shared" si="120"/>
        <v>0</v>
      </c>
      <c r="J247" s="18">
        <f t="shared" si="121"/>
        <v>0</v>
      </c>
      <c r="K247" s="18">
        <f t="shared" si="122"/>
        <v>0</v>
      </c>
      <c r="L247" s="29" t="s">
        <v>1127</v>
      </c>
      <c r="Z247" s="34">
        <f t="shared" si="123"/>
        <v>0</v>
      </c>
      <c r="AB247" s="34">
        <f t="shared" si="124"/>
        <v>0</v>
      </c>
      <c r="AC247" s="34">
        <f t="shared" si="125"/>
        <v>0</v>
      </c>
      <c r="AD247" s="34">
        <f t="shared" si="126"/>
        <v>0</v>
      </c>
      <c r="AE247" s="34">
        <f t="shared" si="127"/>
        <v>0</v>
      </c>
      <c r="AF247" s="34">
        <f t="shared" si="128"/>
        <v>0</v>
      </c>
      <c r="AG247" s="34">
        <f t="shared" si="129"/>
        <v>0</v>
      </c>
      <c r="AH247" s="34">
        <f t="shared" si="130"/>
        <v>0</v>
      </c>
      <c r="AI247" s="28" t="s">
        <v>1137</v>
      </c>
      <c r="AJ247" s="18">
        <f t="shared" si="131"/>
        <v>0</v>
      </c>
      <c r="AK247" s="18">
        <f t="shared" si="132"/>
        <v>0</v>
      </c>
      <c r="AL247" s="18">
        <f t="shared" si="133"/>
        <v>0</v>
      </c>
      <c r="AN247" s="34">
        <v>21</v>
      </c>
      <c r="AO247" s="34">
        <f t="shared" si="134"/>
        <v>0</v>
      </c>
      <c r="AP247" s="34">
        <f t="shared" si="135"/>
        <v>0</v>
      </c>
      <c r="AQ247" s="29" t="s">
        <v>13</v>
      </c>
      <c r="AV247" s="34">
        <f t="shared" si="136"/>
        <v>0</v>
      </c>
      <c r="AW247" s="34">
        <f t="shared" si="137"/>
        <v>0</v>
      </c>
      <c r="AX247" s="34">
        <f t="shared" si="138"/>
        <v>0</v>
      </c>
      <c r="AY247" s="35" t="s">
        <v>1156</v>
      </c>
      <c r="AZ247" s="35" t="s">
        <v>1171</v>
      </c>
      <c r="BA247" s="28" t="s">
        <v>1176</v>
      </c>
      <c r="BC247" s="34">
        <f t="shared" si="139"/>
        <v>0</v>
      </c>
      <c r="BD247" s="34">
        <f t="shared" si="140"/>
        <v>0</v>
      </c>
      <c r="BE247" s="34">
        <v>0</v>
      </c>
      <c r="BF247" s="34">
        <f>247</f>
        <v>247</v>
      </c>
      <c r="BH247" s="18">
        <f t="shared" si="141"/>
        <v>0</v>
      </c>
      <c r="BI247" s="18">
        <f t="shared" si="142"/>
        <v>0</v>
      </c>
      <c r="BJ247" s="18">
        <f t="shared" si="143"/>
        <v>0</v>
      </c>
    </row>
    <row r="248" spans="1:62" x14ac:dyDescent="0.2">
      <c r="A248" s="5" t="s">
        <v>198</v>
      </c>
      <c r="B248" s="5" t="s">
        <v>527</v>
      </c>
      <c r="C248" s="135" t="s">
        <v>912</v>
      </c>
      <c r="D248" s="136"/>
      <c r="E248" s="136"/>
      <c r="F248" s="5" t="s">
        <v>1101</v>
      </c>
      <c r="G248" s="18">
        <v>5.8</v>
      </c>
      <c r="H248" s="79">
        <v>0</v>
      </c>
      <c r="I248" s="18">
        <f t="shared" si="120"/>
        <v>0</v>
      </c>
      <c r="J248" s="18">
        <f t="shared" si="121"/>
        <v>0</v>
      </c>
      <c r="K248" s="18">
        <f t="shared" si="122"/>
        <v>0</v>
      </c>
      <c r="L248" s="29" t="s">
        <v>1127</v>
      </c>
      <c r="Z248" s="34">
        <f t="shared" si="123"/>
        <v>0</v>
      </c>
      <c r="AB248" s="34">
        <f t="shared" si="124"/>
        <v>0</v>
      </c>
      <c r="AC248" s="34">
        <f t="shared" si="125"/>
        <v>0</v>
      </c>
      <c r="AD248" s="34">
        <f t="shared" si="126"/>
        <v>0</v>
      </c>
      <c r="AE248" s="34">
        <f t="shared" si="127"/>
        <v>0</v>
      </c>
      <c r="AF248" s="34">
        <f t="shared" si="128"/>
        <v>0</v>
      </c>
      <c r="AG248" s="34">
        <f t="shared" si="129"/>
        <v>0</v>
      </c>
      <c r="AH248" s="34">
        <f t="shared" si="130"/>
        <v>0</v>
      </c>
      <c r="AI248" s="28" t="s">
        <v>1137</v>
      </c>
      <c r="AJ248" s="18">
        <f t="shared" si="131"/>
        <v>0</v>
      </c>
      <c r="AK248" s="18">
        <f t="shared" si="132"/>
        <v>0</v>
      </c>
      <c r="AL248" s="18">
        <f t="shared" si="133"/>
        <v>0</v>
      </c>
      <c r="AN248" s="34">
        <v>21</v>
      </c>
      <c r="AO248" s="34">
        <f t="shared" si="134"/>
        <v>0</v>
      </c>
      <c r="AP248" s="34">
        <f t="shared" si="135"/>
        <v>0</v>
      </c>
      <c r="AQ248" s="29" t="s">
        <v>13</v>
      </c>
      <c r="AV248" s="34">
        <f t="shared" si="136"/>
        <v>0</v>
      </c>
      <c r="AW248" s="34">
        <f t="shared" si="137"/>
        <v>0</v>
      </c>
      <c r="AX248" s="34">
        <f t="shared" si="138"/>
        <v>0</v>
      </c>
      <c r="AY248" s="35" t="s">
        <v>1156</v>
      </c>
      <c r="AZ248" s="35" t="s">
        <v>1171</v>
      </c>
      <c r="BA248" s="28" t="s">
        <v>1176</v>
      </c>
      <c r="BC248" s="34">
        <f t="shared" si="139"/>
        <v>0</v>
      </c>
      <c r="BD248" s="34">
        <f t="shared" si="140"/>
        <v>0</v>
      </c>
      <c r="BE248" s="34">
        <v>0</v>
      </c>
      <c r="BF248" s="34">
        <f>248</f>
        <v>248</v>
      </c>
      <c r="BH248" s="18">
        <f t="shared" si="141"/>
        <v>0</v>
      </c>
      <c r="BI248" s="18">
        <f t="shared" si="142"/>
        <v>0</v>
      </c>
      <c r="BJ248" s="18">
        <f t="shared" si="143"/>
        <v>0</v>
      </c>
    </row>
    <row r="249" spans="1:62" x14ac:dyDescent="0.2">
      <c r="A249" s="5" t="s">
        <v>199</v>
      </c>
      <c r="B249" s="5" t="s">
        <v>528</v>
      </c>
      <c r="C249" s="135" t="s">
        <v>913</v>
      </c>
      <c r="D249" s="136"/>
      <c r="E249" s="136"/>
      <c r="F249" s="5" t="s">
        <v>1101</v>
      </c>
      <c r="G249" s="18">
        <v>1.2</v>
      </c>
      <c r="H249" s="79">
        <v>0</v>
      </c>
      <c r="I249" s="18">
        <f t="shared" si="120"/>
        <v>0</v>
      </c>
      <c r="J249" s="18">
        <f t="shared" si="121"/>
        <v>0</v>
      </c>
      <c r="K249" s="18">
        <f t="shared" si="122"/>
        <v>0</v>
      </c>
      <c r="L249" s="29" t="s">
        <v>1127</v>
      </c>
      <c r="Z249" s="34">
        <f t="shared" si="123"/>
        <v>0</v>
      </c>
      <c r="AB249" s="34">
        <f t="shared" si="124"/>
        <v>0</v>
      </c>
      <c r="AC249" s="34">
        <f t="shared" si="125"/>
        <v>0</v>
      </c>
      <c r="AD249" s="34">
        <f t="shared" si="126"/>
        <v>0</v>
      </c>
      <c r="AE249" s="34">
        <f t="shared" si="127"/>
        <v>0</v>
      </c>
      <c r="AF249" s="34">
        <f t="shared" si="128"/>
        <v>0</v>
      </c>
      <c r="AG249" s="34">
        <f t="shared" si="129"/>
        <v>0</v>
      </c>
      <c r="AH249" s="34">
        <f t="shared" si="130"/>
        <v>0</v>
      </c>
      <c r="AI249" s="28" t="s">
        <v>1137</v>
      </c>
      <c r="AJ249" s="18">
        <f t="shared" si="131"/>
        <v>0</v>
      </c>
      <c r="AK249" s="18">
        <f t="shared" si="132"/>
        <v>0</v>
      </c>
      <c r="AL249" s="18">
        <f t="shared" si="133"/>
        <v>0</v>
      </c>
      <c r="AN249" s="34">
        <v>21</v>
      </c>
      <c r="AO249" s="34">
        <f t="shared" si="134"/>
        <v>0</v>
      </c>
      <c r="AP249" s="34">
        <f t="shared" si="135"/>
        <v>0</v>
      </c>
      <c r="AQ249" s="29" t="s">
        <v>13</v>
      </c>
      <c r="AV249" s="34">
        <f t="shared" si="136"/>
        <v>0</v>
      </c>
      <c r="AW249" s="34">
        <f t="shared" si="137"/>
        <v>0</v>
      </c>
      <c r="AX249" s="34">
        <f t="shared" si="138"/>
        <v>0</v>
      </c>
      <c r="AY249" s="35" t="s">
        <v>1156</v>
      </c>
      <c r="AZ249" s="35" t="s">
        <v>1171</v>
      </c>
      <c r="BA249" s="28" t="s">
        <v>1176</v>
      </c>
      <c r="BC249" s="34">
        <f t="shared" si="139"/>
        <v>0</v>
      </c>
      <c r="BD249" s="34">
        <f t="shared" si="140"/>
        <v>0</v>
      </c>
      <c r="BE249" s="34">
        <v>0</v>
      </c>
      <c r="BF249" s="34">
        <f>249</f>
        <v>249</v>
      </c>
      <c r="BH249" s="18">
        <f t="shared" si="141"/>
        <v>0</v>
      </c>
      <c r="BI249" s="18">
        <f t="shared" si="142"/>
        <v>0</v>
      </c>
      <c r="BJ249" s="18">
        <f t="shared" si="143"/>
        <v>0</v>
      </c>
    </row>
    <row r="250" spans="1:62" x14ac:dyDescent="0.2">
      <c r="A250" s="5" t="s">
        <v>200</v>
      </c>
      <c r="B250" s="5" t="s">
        <v>529</v>
      </c>
      <c r="C250" s="135" t="s">
        <v>914</v>
      </c>
      <c r="D250" s="136"/>
      <c r="E250" s="136"/>
      <c r="F250" s="5" t="s">
        <v>1101</v>
      </c>
      <c r="G250" s="18">
        <v>1.2</v>
      </c>
      <c r="H250" s="79">
        <v>0</v>
      </c>
      <c r="I250" s="18">
        <f t="shared" si="120"/>
        <v>0</v>
      </c>
      <c r="J250" s="18">
        <f t="shared" si="121"/>
        <v>0</v>
      </c>
      <c r="K250" s="18">
        <f t="shared" si="122"/>
        <v>0</v>
      </c>
      <c r="L250" s="29" t="s">
        <v>1127</v>
      </c>
      <c r="Z250" s="34">
        <f t="shared" si="123"/>
        <v>0</v>
      </c>
      <c r="AB250" s="34">
        <f t="shared" si="124"/>
        <v>0</v>
      </c>
      <c r="AC250" s="34">
        <f t="shared" si="125"/>
        <v>0</v>
      </c>
      <c r="AD250" s="34">
        <f t="shared" si="126"/>
        <v>0</v>
      </c>
      <c r="AE250" s="34">
        <f t="shared" si="127"/>
        <v>0</v>
      </c>
      <c r="AF250" s="34">
        <f t="shared" si="128"/>
        <v>0</v>
      </c>
      <c r="AG250" s="34">
        <f t="shared" si="129"/>
        <v>0</v>
      </c>
      <c r="AH250" s="34">
        <f t="shared" si="130"/>
        <v>0</v>
      </c>
      <c r="AI250" s="28" t="s">
        <v>1137</v>
      </c>
      <c r="AJ250" s="18">
        <f t="shared" si="131"/>
        <v>0</v>
      </c>
      <c r="AK250" s="18">
        <f t="shared" si="132"/>
        <v>0</v>
      </c>
      <c r="AL250" s="18">
        <f t="shared" si="133"/>
        <v>0</v>
      </c>
      <c r="AN250" s="34">
        <v>21</v>
      </c>
      <c r="AO250" s="34">
        <f t="shared" si="134"/>
        <v>0</v>
      </c>
      <c r="AP250" s="34">
        <f t="shared" si="135"/>
        <v>0</v>
      </c>
      <c r="AQ250" s="29" t="s">
        <v>13</v>
      </c>
      <c r="AV250" s="34">
        <f t="shared" si="136"/>
        <v>0</v>
      </c>
      <c r="AW250" s="34">
        <f t="shared" si="137"/>
        <v>0</v>
      </c>
      <c r="AX250" s="34">
        <f t="shared" si="138"/>
        <v>0</v>
      </c>
      <c r="AY250" s="35" t="s">
        <v>1156</v>
      </c>
      <c r="AZ250" s="35" t="s">
        <v>1171</v>
      </c>
      <c r="BA250" s="28" t="s">
        <v>1176</v>
      </c>
      <c r="BC250" s="34">
        <f t="shared" si="139"/>
        <v>0</v>
      </c>
      <c r="BD250" s="34">
        <f t="shared" si="140"/>
        <v>0</v>
      </c>
      <c r="BE250" s="34">
        <v>0</v>
      </c>
      <c r="BF250" s="34">
        <f>250</f>
        <v>250</v>
      </c>
      <c r="BH250" s="18">
        <f t="shared" si="141"/>
        <v>0</v>
      </c>
      <c r="BI250" s="18">
        <f t="shared" si="142"/>
        <v>0</v>
      </c>
      <c r="BJ250" s="18">
        <f t="shared" si="143"/>
        <v>0</v>
      </c>
    </row>
    <row r="251" spans="1:62" x14ac:dyDescent="0.2">
      <c r="A251" s="5" t="s">
        <v>201</v>
      </c>
      <c r="B251" s="5" t="s">
        <v>530</v>
      </c>
      <c r="C251" s="135" t="s">
        <v>915</v>
      </c>
      <c r="D251" s="136"/>
      <c r="E251" s="136"/>
      <c r="F251" s="5" t="s">
        <v>1103</v>
      </c>
      <c r="G251" s="18">
        <v>2</v>
      </c>
      <c r="H251" s="79">
        <v>0</v>
      </c>
      <c r="I251" s="18">
        <f t="shared" si="120"/>
        <v>0</v>
      </c>
      <c r="J251" s="18">
        <f t="shared" si="121"/>
        <v>0</v>
      </c>
      <c r="K251" s="18">
        <f t="shared" si="122"/>
        <v>0</v>
      </c>
      <c r="L251" s="29" t="s">
        <v>1127</v>
      </c>
      <c r="Z251" s="34">
        <f t="shared" si="123"/>
        <v>0</v>
      </c>
      <c r="AB251" s="34">
        <f t="shared" si="124"/>
        <v>0</v>
      </c>
      <c r="AC251" s="34">
        <f t="shared" si="125"/>
        <v>0</v>
      </c>
      <c r="AD251" s="34">
        <f t="shared" si="126"/>
        <v>0</v>
      </c>
      <c r="AE251" s="34">
        <f t="shared" si="127"/>
        <v>0</v>
      </c>
      <c r="AF251" s="34">
        <f t="shared" si="128"/>
        <v>0</v>
      </c>
      <c r="AG251" s="34">
        <f t="shared" si="129"/>
        <v>0</v>
      </c>
      <c r="AH251" s="34">
        <f t="shared" si="130"/>
        <v>0</v>
      </c>
      <c r="AI251" s="28" t="s">
        <v>1137</v>
      </c>
      <c r="AJ251" s="18">
        <f t="shared" si="131"/>
        <v>0</v>
      </c>
      <c r="AK251" s="18">
        <f t="shared" si="132"/>
        <v>0</v>
      </c>
      <c r="AL251" s="18">
        <f t="shared" si="133"/>
        <v>0</v>
      </c>
      <c r="AN251" s="34">
        <v>21</v>
      </c>
      <c r="AO251" s="34">
        <f t="shared" si="134"/>
        <v>0</v>
      </c>
      <c r="AP251" s="34">
        <f t="shared" si="135"/>
        <v>0</v>
      </c>
      <c r="AQ251" s="29" t="s">
        <v>13</v>
      </c>
      <c r="AV251" s="34">
        <f t="shared" si="136"/>
        <v>0</v>
      </c>
      <c r="AW251" s="34">
        <f t="shared" si="137"/>
        <v>0</v>
      </c>
      <c r="AX251" s="34">
        <f t="shared" si="138"/>
        <v>0</v>
      </c>
      <c r="AY251" s="35" t="s">
        <v>1156</v>
      </c>
      <c r="AZ251" s="35" t="s">
        <v>1171</v>
      </c>
      <c r="BA251" s="28" t="s">
        <v>1176</v>
      </c>
      <c r="BC251" s="34">
        <f t="shared" si="139"/>
        <v>0</v>
      </c>
      <c r="BD251" s="34">
        <f t="shared" si="140"/>
        <v>0</v>
      </c>
      <c r="BE251" s="34">
        <v>0</v>
      </c>
      <c r="BF251" s="34">
        <f>251</f>
        <v>251</v>
      </c>
      <c r="BH251" s="18">
        <f t="shared" si="141"/>
        <v>0</v>
      </c>
      <c r="BI251" s="18">
        <f t="shared" si="142"/>
        <v>0</v>
      </c>
      <c r="BJ251" s="18">
        <f t="shared" si="143"/>
        <v>0</v>
      </c>
    </row>
    <row r="252" spans="1:62" x14ac:dyDescent="0.2">
      <c r="A252" s="5" t="s">
        <v>202</v>
      </c>
      <c r="B252" s="5" t="s">
        <v>531</v>
      </c>
      <c r="C252" s="135" t="s">
        <v>916</v>
      </c>
      <c r="D252" s="136"/>
      <c r="E252" s="136"/>
      <c r="F252" s="5" t="s">
        <v>1103</v>
      </c>
      <c r="G252" s="18">
        <v>2</v>
      </c>
      <c r="H252" s="79">
        <v>0</v>
      </c>
      <c r="I252" s="18">
        <f t="shared" si="120"/>
        <v>0</v>
      </c>
      <c r="J252" s="18">
        <f t="shared" si="121"/>
        <v>0</v>
      </c>
      <c r="K252" s="18">
        <f t="shared" si="122"/>
        <v>0</v>
      </c>
      <c r="L252" s="29" t="s">
        <v>1127</v>
      </c>
      <c r="Z252" s="34">
        <f t="shared" si="123"/>
        <v>0</v>
      </c>
      <c r="AB252" s="34">
        <f t="shared" si="124"/>
        <v>0</v>
      </c>
      <c r="AC252" s="34">
        <f t="shared" si="125"/>
        <v>0</v>
      </c>
      <c r="AD252" s="34">
        <f t="shared" si="126"/>
        <v>0</v>
      </c>
      <c r="AE252" s="34">
        <f t="shared" si="127"/>
        <v>0</v>
      </c>
      <c r="AF252" s="34">
        <f t="shared" si="128"/>
        <v>0</v>
      </c>
      <c r="AG252" s="34">
        <f t="shared" si="129"/>
        <v>0</v>
      </c>
      <c r="AH252" s="34">
        <f t="shared" si="130"/>
        <v>0</v>
      </c>
      <c r="AI252" s="28" t="s">
        <v>1137</v>
      </c>
      <c r="AJ252" s="18">
        <f t="shared" si="131"/>
        <v>0</v>
      </c>
      <c r="AK252" s="18">
        <f t="shared" si="132"/>
        <v>0</v>
      </c>
      <c r="AL252" s="18">
        <f t="shared" si="133"/>
        <v>0</v>
      </c>
      <c r="AN252" s="34">
        <v>21</v>
      </c>
      <c r="AO252" s="34">
        <f t="shared" si="134"/>
        <v>0</v>
      </c>
      <c r="AP252" s="34">
        <f t="shared" si="135"/>
        <v>0</v>
      </c>
      <c r="AQ252" s="29" t="s">
        <v>13</v>
      </c>
      <c r="AV252" s="34">
        <f t="shared" si="136"/>
        <v>0</v>
      </c>
      <c r="AW252" s="34">
        <f t="shared" si="137"/>
        <v>0</v>
      </c>
      <c r="AX252" s="34">
        <f t="shared" si="138"/>
        <v>0</v>
      </c>
      <c r="AY252" s="35" t="s">
        <v>1156</v>
      </c>
      <c r="AZ252" s="35" t="s">
        <v>1171</v>
      </c>
      <c r="BA252" s="28" t="s">
        <v>1176</v>
      </c>
      <c r="BC252" s="34">
        <f t="shared" si="139"/>
        <v>0</v>
      </c>
      <c r="BD252" s="34">
        <f t="shared" si="140"/>
        <v>0</v>
      </c>
      <c r="BE252" s="34">
        <v>0</v>
      </c>
      <c r="BF252" s="34">
        <f>252</f>
        <v>252</v>
      </c>
      <c r="BH252" s="18">
        <f t="shared" si="141"/>
        <v>0</v>
      </c>
      <c r="BI252" s="18">
        <f t="shared" si="142"/>
        <v>0</v>
      </c>
      <c r="BJ252" s="18">
        <f t="shared" si="143"/>
        <v>0</v>
      </c>
    </row>
    <row r="253" spans="1:62" x14ac:dyDescent="0.2">
      <c r="A253" s="5" t="s">
        <v>203</v>
      </c>
      <c r="B253" s="5" t="s">
        <v>532</v>
      </c>
      <c r="C253" s="135" t="s">
        <v>917</v>
      </c>
      <c r="D253" s="136"/>
      <c r="E253" s="136"/>
      <c r="F253" s="5" t="s">
        <v>1103</v>
      </c>
      <c r="G253" s="18">
        <v>4</v>
      </c>
      <c r="H253" s="79">
        <v>0</v>
      </c>
      <c r="I253" s="18">
        <f t="shared" si="120"/>
        <v>0</v>
      </c>
      <c r="J253" s="18">
        <f t="shared" si="121"/>
        <v>0</v>
      </c>
      <c r="K253" s="18">
        <f t="shared" si="122"/>
        <v>0</v>
      </c>
      <c r="L253" s="29" t="s">
        <v>1127</v>
      </c>
      <c r="Z253" s="34">
        <f t="shared" si="123"/>
        <v>0</v>
      </c>
      <c r="AB253" s="34">
        <f t="shared" si="124"/>
        <v>0</v>
      </c>
      <c r="AC253" s="34">
        <f t="shared" si="125"/>
        <v>0</v>
      </c>
      <c r="AD253" s="34">
        <f t="shared" si="126"/>
        <v>0</v>
      </c>
      <c r="AE253" s="34">
        <f t="shared" si="127"/>
        <v>0</v>
      </c>
      <c r="AF253" s="34">
        <f t="shared" si="128"/>
        <v>0</v>
      </c>
      <c r="AG253" s="34">
        <f t="shared" si="129"/>
        <v>0</v>
      </c>
      <c r="AH253" s="34">
        <f t="shared" si="130"/>
        <v>0</v>
      </c>
      <c r="AI253" s="28" t="s">
        <v>1137</v>
      </c>
      <c r="AJ253" s="18">
        <f t="shared" si="131"/>
        <v>0</v>
      </c>
      <c r="AK253" s="18">
        <f t="shared" si="132"/>
        <v>0</v>
      </c>
      <c r="AL253" s="18">
        <f t="shared" si="133"/>
        <v>0</v>
      </c>
      <c r="AN253" s="34">
        <v>21</v>
      </c>
      <c r="AO253" s="34">
        <f t="shared" si="134"/>
        <v>0</v>
      </c>
      <c r="AP253" s="34">
        <f t="shared" si="135"/>
        <v>0</v>
      </c>
      <c r="AQ253" s="29" t="s">
        <v>13</v>
      </c>
      <c r="AV253" s="34">
        <f t="shared" si="136"/>
        <v>0</v>
      </c>
      <c r="AW253" s="34">
        <f t="shared" si="137"/>
        <v>0</v>
      </c>
      <c r="AX253" s="34">
        <f t="shared" si="138"/>
        <v>0</v>
      </c>
      <c r="AY253" s="35" t="s">
        <v>1156</v>
      </c>
      <c r="AZ253" s="35" t="s">
        <v>1171</v>
      </c>
      <c r="BA253" s="28" t="s">
        <v>1176</v>
      </c>
      <c r="BC253" s="34">
        <f t="shared" si="139"/>
        <v>0</v>
      </c>
      <c r="BD253" s="34">
        <f t="shared" si="140"/>
        <v>0</v>
      </c>
      <c r="BE253" s="34">
        <v>0</v>
      </c>
      <c r="BF253" s="34">
        <f>253</f>
        <v>253</v>
      </c>
      <c r="BH253" s="18">
        <f t="shared" si="141"/>
        <v>0</v>
      </c>
      <c r="BI253" s="18">
        <f t="shared" si="142"/>
        <v>0</v>
      </c>
      <c r="BJ253" s="18">
        <f t="shared" si="143"/>
        <v>0</v>
      </c>
    </row>
    <row r="254" spans="1:62" x14ac:dyDescent="0.2">
      <c r="A254" s="5" t="s">
        <v>204</v>
      </c>
      <c r="B254" s="5" t="s">
        <v>533</v>
      </c>
      <c r="C254" s="135" t="s">
        <v>918</v>
      </c>
      <c r="D254" s="136"/>
      <c r="E254" s="136"/>
      <c r="F254" s="5" t="s">
        <v>1103</v>
      </c>
      <c r="G254" s="18">
        <v>8</v>
      </c>
      <c r="H254" s="79">
        <v>0</v>
      </c>
      <c r="I254" s="18">
        <f t="shared" si="120"/>
        <v>0</v>
      </c>
      <c r="J254" s="18">
        <f t="shared" si="121"/>
        <v>0</v>
      </c>
      <c r="K254" s="18">
        <f t="shared" si="122"/>
        <v>0</v>
      </c>
      <c r="L254" s="29" t="s">
        <v>1127</v>
      </c>
      <c r="Z254" s="34">
        <f t="shared" si="123"/>
        <v>0</v>
      </c>
      <c r="AB254" s="34">
        <f t="shared" si="124"/>
        <v>0</v>
      </c>
      <c r="AC254" s="34">
        <f t="shared" si="125"/>
        <v>0</v>
      </c>
      <c r="AD254" s="34">
        <f t="shared" si="126"/>
        <v>0</v>
      </c>
      <c r="AE254" s="34">
        <f t="shared" si="127"/>
        <v>0</v>
      </c>
      <c r="AF254" s="34">
        <f t="shared" si="128"/>
        <v>0</v>
      </c>
      <c r="AG254" s="34">
        <f t="shared" si="129"/>
        <v>0</v>
      </c>
      <c r="AH254" s="34">
        <f t="shared" si="130"/>
        <v>0</v>
      </c>
      <c r="AI254" s="28" t="s">
        <v>1137</v>
      </c>
      <c r="AJ254" s="18">
        <f t="shared" si="131"/>
        <v>0</v>
      </c>
      <c r="AK254" s="18">
        <f t="shared" si="132"/>
        <v>0</v>
      </c>
      <c r="AL254" s="18">
        <f t="shared" si="133"/>
        <v>0</v>
      </c>
      <c r="AN254" s="34">
        <v>21</v>
      </c>
      <c r="AO254" s="34">
        <f t="shared" si="134"/>
        <v>0</v>
      </c>
      <c r="AP254" s="34">
        <f t="shared" si="135"/>
        <v>0</v>
      </c>
      <c r="AQ254" s="29" t="s">
        <v>13</v>
      </c>
      <c r="AV254" s="34">
        <f t="shared" si="136"/>
        <v>0</v>
      </c>
      <c r="AW254" s="34">
        <f t="shared" si="137"/>
        <v>0</v>
      </c>
      <c r="AX254" s="34">
        <f t="shared" si="138"/>
        <v>0</v>
      </c>
      <c r="AY254" s="35" t="s">
        <v>1156</v>
      </c>
      <c r="AZ254" s="35" t="s">
        <v>1171</v>
      </c>
      <c r="BA254" s="28" t="s">
        <v>1176</v>
      </c>
      <c r="BC254" s="34">
        <f t="shared" si="139"/>
        <v>0</v>
      </c>
      <c r="BD254" s="34">
        <f t="shared" si="140"/>
        <v>0</v>
      </c>
      <c r="BE254" s="34">
        <v>0</v>
      </c>
      <c r="BF254" s="34">
        <f>254</f>
        <v>254</v>
      </c>
      <c r="BH254" s="18">
        <f t="shared" si="141"/>
        <v>0</v>
      </c>
      <c r="BI254" s="18">
        <f t="shared" si="142"/>
        <v>0</v>
      </c>
      <c r="BJ254" s="18">
        <f t="shared" si="143"/>
        <v>0</v>
      </c>
    </row>
    <row r="255" spans="1:62" x14ac:dyDescent="0.2">
      <c r="A255" s="5" t="s">
        <v>205</v>
      </c>
      <c r="B255" s="5" t="s">
        <v>534</v>
      </c>
      <c r="C255" s="135" t="s">
        <v>919</v>
      </c>
      <c r="D255" s="136"/>
      <c r="E255" s="136"/>
      <c r="F255" s="5" t="s">
        <v>1103</v>
      </c>
      <c r="G255" s="18">
        <v>8</v>
      </c>
      <c r="H255" s="79">
        <v>0</v>
      </c>
      <c r="I255" s="18">
        <f t="shared" si="120"/>
        <v>0</v>
      </c>
      <c r="J255" s="18">
        <f t="shared" si="121"/>
        <v>0</v>
      </c>
      <c r="K255" s="18">
        <f t="shared" si="122"/>
        <v>0</v>
      </c>
      <c r="L255" s="29" t="s">
        <v>1127</v>
      </c>
      <c r="Z255" s="34">
        <f t="shared" si="123"/>
        <v>0</v>
      </c>
      <c r="AB255" s="34">
        <f t="shared" si="124"/>
        <v>0</v>
      </c>
      <c r="AC255" s="34">
        <f t="shared" si="125"/>
        <v>0</v>
      </c>
      <c r="AD255" s="34">
        <f t="shared" si="126"/>
        <v>0</v>
      </c>
      <c r="AE255" s="34">
        <f t="shared" si="127"/>
        <v>0</v>
      </c>
      <c r="AF255" s="34">
        <f t="shared" si="128"/>
        <v>0</v>
      </c>
      <c r="AG255" s="34">
        <f t="shared" si="129"/>
        <v>0</v>
      </c>
      <c r="AH255" s="34">
        <f t="shared" si="130"/>
        <v>0</v>
      </c>
      <c r="AI255" s="28" t="s">
        <v>1137</v>
      </c>
      <c r="AJ255" s="18">
        <f t="shared" si="131"/>
        <v>0</v>
      </c>
      <c r="AK255" s="18">
        <f t="shared" si="132"/>
        <v>0</v>
      </c>
      <c r="AL255" s="18">
        <f t="shared" si="133"/>
        <v>0</v>
      </c>
      <c r="AN255" s="34">
        <v>21</v>
      </c>
      <c r="AO255" s="34">
        <f t="shared" si="134"/>
        <v>0</v>
      </c>
      <c r="AP255" s="34">
        <f t="shared" si="135"/>
        <v>0</v>
      </c>
      <c r="AQ255" s="29" t="s">
        <v>13</v>
      </c>
      <c r="AV255" s="34">
        <f t="shared" si="136"/>
        <v>0</v>
      </c>
      <c r="AW255" s="34">
        <f t="shared" si="137"/>
        <v>0</v>
      </c>
      <c r="AX255" s="34">
        <f t="shared" si="138"/>
        <v>0</v>
      </c>
      <c r="AY255" s="35" t="s">
        <v>1156</v>
      </c>
      <c r="AZ255" s="35" t="s">
        <v>1171</v>
      </c>
      <c r="BA255" s="28" t="s">
        <v>1176</v>
      </c>
      <c r="BC255" s="34">
        <f t="shared" si="139"/>
        <v>0</v>
      </c>
      <c r="BD255" s="34">
        <f t="shared" si="140"/>
        <v>0</v>
      </c>
      <c r="BE255" s="34">
        <v>0</v>
      </c>
      <c r="BF255" s="34">
        <f>255</f>
        <v>255</v>
      </c>
      <c r="BH255" s="18">
        <f t="shared" si="141"/>
        <v>0</v>
      </c>
      <c r="BI255" s="18">
        <f t="shared" si="142"/>
        <v>0</v>
      </c>
      <c r="BJ255" s="18">
        <f t="shared" si="143"/>
        <v>0</v>
      </c>
    </row>
    <row r="256" spans="1:62" x14ac:dyDescent="0.2">
      <c r="A256" s="5" t="s">
        <v>206</v>
      </c>
      <c r="B256" s="5" t="s">
        <v>535</v>
      </c>
      <c r="C256" s="135" t="s">
        <v>920</v>
      </c>
      <c r="D256" s="136"/>
      <c r="E256" s="136"/>
      <c r="F256" s="5" t="s">
        <v>1103</v>
      </c>
      <c r="G256" s="18">
        <v>8</v>
      </c>
      <c r="H256" s="79">
        <v>0</v>
      </c>
      <c r="I256" s="18">
        <f t="shared" si="120"/>
        <v>0</v>
      </c>
      <c r="J256" s="18">
        <f t="shared" si="121"/>
        <v>0</v>
      </c>
      <c r="K256" s="18">
        <f t="shared" si="122"/>
        <v>0</v>
      </c>
      <c r="L256" s="29" t="s">
        <v>1127</v>
      </c>
      <c r="Z256" s="34">
        <f t="shared" si="123"/>
        <v>0</v>
      </c>
      <c r="AB256" s="34">
        <f t="shared" si="124"/>
        <v>0</v>
      </c>
      <c r="AC256" s="34">
        <f t="shared" si="125"/>
        <v>0</v>
      </c>
      <c r="AD256" s="34">
        <f t="shared" si="126"/>
        <v>0</v>
      </c>
      <c r="AE256" s="34">
        <f t="shared" si="127"/>
        <v>0</v>
      </c>
      <c r="AF256" s="34">
        <f t="shared" si="128"/>
        <v>0</v>
      </c>
      <c r="AG256" s="34">
        <f t="shared" si="129"/>
        <v>0</v>
      </c>
      <c r="AH256" s="34">
        <f t="shared" si="130"/>
        <v>0</v>
      </c>
      <c r="AI256" s="28" t="s">
        <v>1137</v>
      </c>
      <c r="AJ256" s="18">
        <f t="shared" si="131"/>
        <v>0</v>
      </c>
      <c r="AK256" s="18">
        <f t="shared" si="132"/>
        <v>0</v>
      </c>
      <c r="AL256" s="18">
        <f t="shared" si="133"/>
        <v>0</v>
      </c>
      <c r="AN256" s="34">
        <v>21</v>
      </c>
      <c r="AO256" s="34">
        <f t="shared" si="134"/>
        <v>0</v>
      </c>
      <c r="AP256" s="34">
        <f t="shared" si="135"/>
        <v>0</v>
      </c>
      <c r="AQ256" s="29" t="s">
        <v>13</v>
      </c>
      <c r="AV256" s="34">
        <f t="shared" si="136"/>
        <v>0</v>
      </c>
      <c r="AW256" s="34">
        <f t="shared" si="137"/>
        <v>0</v>
      </c>
      <c r="AX256" s="34">
        <f t="shared" si="138"/>
        <v>0</v>
      </c>
      <c r="AY256" s="35" t="s">
        <v>1156</v>
      </c>
      <c r="AZ256" s="35" t="s">
        <v>1171</v>
      </c>
      <c r="BA256" s="28" t="s">
        <v>1176</v>
      </c>
      <c r="BC256" s="34">
        <f t="shared" si="139"/>
        <v>0</v>
      </c>
      <c r="BD256" s="34">
        <f t="shared" si="140"/>
        <v>0</v>
      </c>
      <c r="BE256" s="34">
        <v>0</v>
      </c>
      <c r="BF256" s="34">
        <f>256</f>
        <v>256</v>
      </c>
      <c r="BH256" s="18">
        <f t="shared" si="141"/>
        <v>0</v>
      </c>
      <c r="BI256" s="18">
        <f t="shared" si="142"/>
        <v>0</v>
      </c>
      <c r="BJ256" s="18">
        <f t="shared" si="143"/>
        <v>0</v>
      </c>
    </row>
    <row r="257" spans="1:62" x14ac:dyDescent="0.2">
      <c r="A257" s="5" t="s">
        <v>207</v>
      </c>
      <c r="B257" s="5" t="s">
        <v>536</v>
      </c>
      <c r="C257" s="135" t="s">
        <v>921</v>
      </c>
      <c r="D257" s="136"/>
      <c r="E257" s="136"/>
      <c r="F257" s="5" t="s">
        <v>1103</v>
      </c>
      <c r="G257" s="18">
        <v>8</v>
      </c>
      <c r="H257" s="79">
        <v>0</v>
      </c>
      <c r="I257" s="18">
        <f t="shared" si="120"/>
        <v>0</v>
      </c>
      <c r="J257" s="18">
        <f t="shared" si="121"/>
        <v>0</v>
      </c>
      <c r="K257" s="18">
        <f t="shared" si="122"/>
        <v>0</v>
      </c>
      <c r="L257" s="29" t="s">
        <v>1127</v>
      </c>
      <c r="Z257" s="34">
        <f t="shared" si="123"/>
        <v>0</v>
      </c>
      <c r="AB257" s="34">
        <f t="shared" si="124"/>
        <v>0</v>
      </c>
      <c r="AC257" s="34">
        <f t="shared" si="125"/>
        <v>0</v>
      </c>
      <c r="AD257" s="34">
        <f t="shared" si="126"/>
        <v>0</v>
      </c>
      <c r="AE257" s="34">
        <f t="shared" si="127"/>
        <v>0</v>
      </c>
      <c r="AF257" s="34">
        <f t="shared" si="128"/>
        <v>0</v>
      </c>
      <c r="AG257" s="34">
        <f t="shared" si="129"/>
        <v>0</v>
      </c>
      <c r="AH257" s="34">
        <f t="shared" si="130"/>
        <v>0</v>
      </c>
      <c r="AI257" s="28" t="s">
        <v>1137</v>
      </c>
      <c r="AJ257" s="18">
        <f t="shared" si="131"/>
        <v>0</v>
      </c>
      <c r="AK257" s="18">
        <f t="shared" si="132"/>
        <v>0</v>
      </c>
      <c r="AL257" s="18">
        <f t="shared" si="133"/>
        <v>0</v>
      </c>
      <c r="AN257" s="34">
        <v>21</v>
      </c>
      <c r="AO257" s="34">
        <f t="shared" si="134"/>
        <v>0</v>
      </c>
      <c r="AP257" s="34">
        <f t="shared" si="135"/>
        <v>0</v>
      </c>
      <c r="AQ257" s="29" t="s">
        <v>13</v>
      </c>
      <c r="AV257" s="34">
        <f t="shared" si="136"/>
        <v>0</v>
      </c>
      <c r="AW257" s="34">
        <f t="shared" si="137"/>
        <v>0</v>
      </c>
      <c r="AX257" s="34">
        <f t="shared" si="138"/>
        <v>0</v>
      </c>
      <c r="AY257" s="35" t="s">
        <v>1156</v>
      </c>
      <c r="AZ257" s="35" t="s">
        <v>1171</v>
      </c>
      <c r="BA257" s="28" t="s">
        <v>1176</v>
      </c>
      <c r="BC257" s="34">
        <f t="shared" si="139"/>
        <v>0</v>
      </c>
      <c r="BD257" s="34">
        <f t="shared" si="140"/>
        <v>0</v>
      </c>
      <c r="BE257" s="34">
        <v>0</v>
      </c>
      <c r="BF257" s="34">
        <f>257</f>
        <v>257</v>
      </c>
      <c r="BH257" s="18">
        <f t="shared" si="141"/>
        <v>0</v>
      </c>
      <c r="BI257" s="18">
        <f t="shared" si="142"/>
        <v>0</v>
      </c>
      <c r="BJ257" s="18">
        <f t="shared" si="143"/>
        <v>0</v>
      </c>
    </row>
    <row r="258" spans="1:62" x14ac:dyDescent="0.2">
      <c r="A258" s="5" t="s">
        <v>208</v>
      </c>
      <c r="B258" s="5" t="s">
        <v>537</v>
      </c>
      <c r="C258" s="135" t="s">
        <v>922</v>
      </c>
      <c r="D258" s="136"/>
      <c r="E258" s="136"/>
      <c r="F258" s="5" t="s">
        <v>1103</v>
      </c>
      <c r="G258" s="18">
        <v>8</v>
      </c>
      <c r="H258" s="79">
        <v>0</v>
      </c>
      <c r="I258" s="18">
        <f t="shared" si="120"/>
        <v>0</v>
      </c>
      <c r="J258" s="18">
        <f t="shared" si="121"/>
        <v>0</v>
      </c>
      <c r="K258" s="18">
        <f t="shared" si="122"/>
        <v>0</v>
      </c>
      <c r="L258" s="29" t="s">
        <v>1127</v>
      </c>
      <c r="Z258" s="34">
        <f t="shared" si="123"/>
        <v>0</v>
      </c>
      <c r="AB258" s="34">
        <f t="shared" si="124"/>
        <v>0</v>
      </c>
      <c r="AC258" s="34">
        <f t="shared" si="125"/>
        <v>0</v>
      </c>
      <c r="AD258" s="34">
        <f t="shared" si="126"/>
        <v>0</v>
      </c>
      <c r="AE258" s="34">
        <f t="shared" si="127"/>
        <v>0</v>
      </c>
      <c r="AF258" s="34">
        <f t="shared" si="128"/>
        <v>0</v>
      </c>
      <c r="AG258" s="34">
        <f t="shared" si="129"/>
        <v>0</v>
      </c>
      <c r="AH258" s="34">
        <f t="shared" si="130"/>
        <v>0</v>
      </c>
      <c r="AI258" s="28" t="s">
        <v>1137</v>
      </c>
      <c r="AJ258" s="18">
        <f t="shared" si="131"/>
        <v>0</v>
      </c>
      <c r="AK258" s="18">
        <f t="shared" si="132"/>
        <v>0</v>
      </c>
      <c r="AL258" s="18">
        <f t="shared" si="133"/>
        <v>0</v>
      </c>
      <c r="AN258" s="34">
        <v>21</v>
      </c>
      <c r="AO258" s="34">
        <f t="shared" si="134"/>
        <v>0</v>
      </c>
      <c r="AP258" s="34">
        <f t="shared" si="135"/>
        <v>0</v>
      </c>
      <c r="AQ258" s="29" t="s">
        <v>13</v>
      </c>
      <c r="AV258" s="34">
        <f t="shared" si="136"/>
        <v>0</v>
      </c>
      <c r="AW258" s="34">
        <f t="shared" si="137"/>
        <v>0</v>
      </c>
      <c r="AX258" s="34">
        <f t="shared" si="138"/>
        <v>0</v>
      </c>
      <c r="AY258" s="35" t="s">
        <v>1156</v>
      </c>
      <c r="AZ258" s="35" t="s">
        <v>1171</v>
      </c>
      <c r="BA258" s="28" t="s">
        <v>1176</v>
      </c>
      <c r="BC258" s="34">
        <f t="shared" si="139"/>
        <v>0</v>
      </c>
      <c r="BD258" s="34">
        <f t="shared" si="140"/>
        <v>0</v>
      </c>
      <c r="BE258" s="34">
        <v>0</v>
      </c>
      <c r="BF258" s="34">
        <f>258</f>
        <v>258</v>
      </c>
      <c r="BH258" s="18">
        <f t="shared" si="141"/>
        <v>0</v>
      </c>
      <c r="BI258" s="18">
        <f t="shared" si="142"/>
        <v>0</v>
      </c>
      <c r="BJ258" s="18">
        <f t="shared" si="143"/>
        <v>0</v>
      </c>
    </row>
    <row r="259" spans="1:62" x14ac:dyDescent="0.2">
      <c r="A259" s="5" t="s">
        <v>209</v>
      </c>
      <c r="B259" s="5" t="s">
        <v>538</v>
      </c>
      <c r="C259" s="135" t="s">
        <v>923</v>
      </c>
      <c r="D259" s="136"/>
      <c r="E259" s="136"/>
      <c r="F259" s="5" t="s">
        <v>1103</v>
      </c>
      <c r="G259" s="18">
        <v>8</v>
      </c>
      <c r="H259" s="79">
        <v>0</v>
      </c>
      <c r="I259" s="18">
        <f t="shared" si="120"/>
        <v>0</v>
      </c>
      <c r="J259" s="18">
        <f t="shared" si="121"/>
        <v>0</v>
      </c>
      <c r="K259" s="18">
        <f t="shared" si="122"/>
        <v>0</v>
      </c>
      <c r="L259" s="29" t="s">
        <v>1127</v>
      </c>
      <c r="Z259" s="34">
        <f t="shared" si="123"/>
        <v>0</v>
      </c>
      <c r="AB259" s="34">
        <f t="shared" si="124"/>
        <v>0</v>
      </c>
      <c r="AC259" s="34">
        <f t="shared" si="125"/>
        <v>0</v>
      </c>
      <c r="AD259" s="34">
        <f t="shared" si="126"/>
        <v>0</v>
      </c>
      <c r="AE259" s="34">
        <f t="shared" si="127"/>
        <v>0</v>
      </c>
      <c r="AF259" s="34">
        <f t="shared" si="128"/>
        <v>0</v>
      </c>
      <c r="AG259" s="34">
        <f t="shared" si="129"/>
        <v>0</v>
      </c>
      <c r="AH259" s="34">
        <f t="shared" si="130"/>
        <v>0</v>
      </c>
      <c r="AI259" s="28" t="s">
        <v>1137</v>
      </c>
      <c r="AJ259" s="18">
        <f t="shared" si="131"/>
        <v>0</v>
      </c>
      <c r="AK259" s="18">
        <f t="shared" si="132"/>
        <v>0</v>
      </c>
      <c r="AL259" s="18">
        <f t="shared" si="133"/>
        <v>0</v>
      </c>
      <c r="AN259" s="34">
        <v>21</v>
      </c>
      <c r="AO259" s="34">
        <f t="shared" si="134"/>
        <v>0</v>
      </c>
      <c r="AP259" s="34">
        <f t="shared" si="135"/>
        <v>0</v>
      </c>
      <c r="AQ259" s="29" t="s">
        <v>13</v>
      </c>
      <c r="AV259" s="34">
        <f t="shared" si="136"/>
        <v>0</v>
      </c>
      <c r="AW259" s="34">
        <f t="shared" si="137"/>
        <v>0</v>
      </c>
      <c r="AX259" s="34">
        <f t="shared" si="138"/>
        <v>0</v>
      </c>
      <c r="AY259" s="35" t="s">
        <v>1156</v>
      </c>
      <c r="AZ259" s="35" t="s">
        <v>1171</v>
      </c>
      <c r="BA259" s="28" t="s">
        <v>1176</v>
      </c>
      <c r="BC259" s="34">
        <f t="shared" si="139"/>
        <v>0</v>
      </c>
      <c r="BD259" s="34">
        <f t="shared" si="140"/>
        <v>0</v>
      </c>
      <c r="BE259" s="34">
        <v>0</v>
      </c>
      <c r="BF259" s="34">
        <f>259</f>
        <v>259</v>
      </c>
      <c r="BH259" s="18">
        <f t="shared" si="141"/>
        <v>0</v>
      </c>
      <c r="BI259" s="18">
        <f t="shared" si="142"/>
        <v>0</v>
      </c>
      <c r="BJ259" s="18">
        <f t="shared" si="143"/>
        <v>0</v>
      </c>
    </row>
    <row r="260" spans="1:62" x14ac:dyDescent="0.2">
      <c r="A260" s="5" t="s">
        <v>210</v>
      </c>
      <c r="B260" s="5" t="s">
        <v>539</v>
      </c>
      <c r="C260" s="135" t="s">
        <v>924</v>
      </c>
      <c r="D260" s="136"/>
      <c r="E260" s="136"/>
      <c r="F260" s="5" t="s">
        <v>1103</v>
      </c>
      <c r="G260" s="18">
        <v>8</v>
      </c>
      <c r="H260" s="79">
        <v>0</v>
      </c>
      <c r="I260" s="18">
        <f t="shared" si="120"/>
        <v>0</v>
      </c>
      <c r="J260" s="18">
        <f t="shared" si="121"/>
        <v>0</v>
      </c>
      <c r="K260" s="18">
        <f t="shared" si="122"/>
        <v>0</v>
      </c>
      <c r="L260" s="29" t="s">
        <v>1127</v>
      </c>
      <c r="Z260" s="34">
        <f t="shared" si="123"/>
        <v>0</v>
      </c>
      <c r="AB260" s="34">
        <f t="shared" si="124"/>
        <v>0</v>
      </c>
      <c r="AC260" s="34">
        <f t="shared" si="125"/>
        <v>0</v>
      </c>
      <c r="AD260" s="34">
        <f t="shared" si="126"/>
        <v>0</v>
      </c>
      <c r="AE260" s="34">
        <f t="shared" si="127"/>
        <v>0</v>
      </c>
      <c r="AF260" s="34">
        <f t="shared" si="128"/>
        <v>0</v>
      </c>
      <c r="AG260" s="34">
        <f t="shared" si="129"/>
        <v>0</v>
      </c>
      <c r="AH260" s="34">
        <f t="shared" si="130"/>
        <v>0</v>
      </c>
      <c r="AI260" s="28" t="s">
        <v>1137</v>
      </c>
      <c r="AJ260" s="18">
        <f t="shared" si="131"/>
        <v>0</v>
      </c>
      <c r="AK260" s="18">
        <f t="shared" si="132"/>
        <v>0</v>
      </c>
      <c r="AL260" s="18">
        <f t="shared" si="133"/>
        <v>0</v>
      </c>
      <c r="AN260" s="34">
        <v>21</v>
      </c>
      <c r="AO260" s="34">
        <f t="shared" si="134"/>
        <v>0</v>
      </c>
      <c r="AP260" s="34">
        <f t="shared" si="135"/>
        <v>0</v>
      </c>
      <c r="AQ260" s="29" t="s">
        <v>13</v>
      </c>
      <c r="AV260" s="34">
        <f t="shared" si="136"/>
        <v>0</v>
      </c>
      <c r="AW260" s="34">
        <f t="shared" si="137"/>
        <v>0</v>
      </c>
      <c r="AX260" s="34">
        <f t="shared" si="138"/>
        <v>0</v>
      </c>
      <c r="AY260" s="35" t="s">
        <v>1156</v>
      </c>
      <c r="AZ260" s="35" t="s">
        <v>1171</v>
      </c>
      <c r="BA260" s="28" t="s">
        <v>1176</v>
      </c>
      <c r="BC260" s="34">
        <f t="shared" si="139"/>
        <v>0</v>
      </c>
      <c r="BD260" s="34">
        <f t="shared" si="140"/>
        <v>0</v>
      </c>
      <c r="BE260" s="34">
        <v>0</v>
      </c>
      <c r="BF260" s="34">
        <f>260</f>
        <v>260</v>
      </c>
      <c r="BH260" s="18">
        <f t="shared" si="141"/>
        <v>0</v>
      </c>
      <c r="BI260" s="18">
        <f t="shared" si="142"/>
        <v>0</v>
      </c>
      <c r="BJ260" s="18">
        <f t="shared" si="143"/>
        <v>0</v>
      </c>
    </row>
    <row r="261" spans="1:62" x14ac:dyDescent="0.2">
      <c r="A261" s="5" t="s">
        <v>211</v>
      </c>
      <c r="B261" s="5" t="s">
        <v>540</v>
      </c>
      <c r="C261" s="135" t="s">
        <v>925</v>
      </c>
      <c r="D261" s="136"/>
      <c r="E261" s="136"/>
      <c r="F261" s="5" t="s">
        <v>1103</v>
      </c>
      <c r="G261" s="18">
        <v>8</v>
      </c>
      <c r="H261" s="79">
        <v>0</v>
      </c>
      <c r="I261" s="18">
        <f t="shared" si="120"/>
        <v>0</v>
      </c>
      <c r="J261" s="18">
        <f t="shared" si="121"/>
        <v>0</v>
      </c>
      <c r="K261" s="18">
        <f t="shared" si="122"/>
        <v>0</v>
      </c>
      <c r="L261" s="29" t="s">
        <v>1127</v>
      </c>
      <c r="Z261" s="34">
        <f t="shared" si="123"/>
        <v>0</v>
      </c>
      <c r="AB261" s="34">
        <f t="shared" si="124"/>
        <v>0</v>
      </c>
      <c r="AC261" s="34">
        <f t="shared" si="125"/>
        <v>0</v>
      </c>
      <c r="AD261" s="34">
        <f t="shared" si="126"/>
        <v>0</v>
      </c>
      <c r="AE261" s="34">
        <f t="shared" si="127"/>
        <v>0</v>
      </c>
      <c r="AF261" s="34">
        <f t="shared" si="128"/>
        <v>0</v>
      </c>
      <c r="AG261" s="34">
        <f t="shared" si="129"/>
        <v>0</v>
      </c>
      <c r="AH261" s="34">
        <f t="shared" si="130"/>
        <v>0</v>
      </c>
      <c r="AI261" s="28" t="s">
        <v>1137</v>
      </c>
      <c r="AJ261" s="18">
        <f t="shared" si="131"/>
        <v>0</v>
      </c>
      <c r="AK261" s="18">
        <f t="shared" si="132"/>
        <v>0</v>
      </c>
      <c r="AL261" s="18">
        <f t="shared" si="133"/>
        <v>0</v>
      </c>
      <c r="AN261" s="34">
        <v>21</v>
      </c>
      <c r="AO261" s="34">
        <f t="shared" si="134"/>
        <v>0</v>
      </c>
      <c r="AP261" s="34">
        <f t="shared" si="135"/>
        <v>0</v>
      </c>
      <c r="AQ261" s="29" t="s">
        <v>13</v>
      </c>
      <c r="AV261" s="34">
        <f t="shared" si="136"/>
        <v>0</v>
      </c>
      <c r="AW261" s="34">
        <f t="shared" si="137"/>
        <v>0</v>
      </c>
      <c r="AX261" s="34">
        <f t="shared" si="138"/>
        <v>0</v>
      </c>
      <c r="AY261" s="35" t="s">
        <v>1156</v>
      </c>
      <c r="AZ261" s="35" t="s">
        <v>1171</v>
      </c>
      <c r="BA261" s="28" t="s">
        <v>1176</v>
      </c>
      <c r="BC261" s="34">
        <f t="shared" si="139"/>
        <v>0</v>
      </c>
      <c r="BD261" s="34">
        <f t="shared" si="140"/>
        <v>0</v>
      </c>
      <c r="BE261" s="34">
        <v>0</v>
      </c>
      <c r="BF261" s="34">
        <f>261</f>
        <v>261</v>
      </c>
      <c r="BH261" s="18">
        <f t="shared" si="141"/>
        <v>0</v>
      </c>
      <c r="BI261" s="18">
        <f t="shared" si="142"/>
        <v>0</v>
      </c>
      <c r="BJ261" s="18">
        <f t="shared" si="143"/>
        <v>0</v>
      </c>
    </row>
    <row r="262" spans="1:62" x14ac:dyDescent="0.2">
      <c r="A262" s="5" t="s">
        <v>212</v>
      </c>
      <c r="B262" s="5" t="s">
        <v>541</v>
      </c>
      <c r="C262" s="135" t="s">
        <v>926</v>
      </c>
      <c r="D262" s="136"/>
      <c r="E262" s="136"/>
      <c r="F262" s="5" t="s">
        <v>1104</v>
      </c>
      <c r="G262" s="18">
        <v>10</v>
      </c>
      <c r="H262" s="79">
        <v>0</v>
      </c>
      <c r="I262" s="18">
        <f t="shared" si="120"/>
        <v>0</v>
      </c>
      <c r="J262" s="18">
        <f t="shared" si="121"/>
        <v>0</v>
      </c>
      <c r="K262" s="18">
        <f t="shared" si="122"/>
        <v>0</v>
      </c>
      <c r="L262" s="29" t="s">
        <v>1127</v>
      </c>
      <c r="Z262" s="34">
        <f t="shared" si="123"/>
        <v>0</v>
      </c>
      <c r="AB262" s="34">
        <f t="shared" si="124"/>
        <v>0</v>
      </c>
      <c r="AC262" s="34">
        <f t="shared" si="125"/>
        <v>0</v>
      </c>
      <c r="AD262" s="34">
        <f t="shared" si="126"/>
        <v>0</v>
      </c>
      <c r="AE262" s="34">
        <f t="shared" si="127"/>
        <v>0</v>
      </c>
      <c r="AF262" s="34">
        <f t="shared" si="128"/>
        <v>0</v>
      </c>
      <c r="AG262" s="34">
        <f t="shared" si="129"/>
        <v>0</v>
      </c>
      <c r="AH262" s="34">
        <f t="shared" si="130"/>
        <v>0</v>
      </c>
      <c r="AI262" s="28" t="s">
        <v>1137</v>
      </c>
      <c r="AJ262" s="18">
        <f t="shared" si="131"/>
        <v>0</v>
      </c>
      <c r="AK262" s="18">
        <f t="shared" si="132"/>
        <v>0</v>
      </c>
      <c r="AL262" s="18">
        <f t="shared" si="133"/>
        <v>0</v>
      </c>
      <c r="AN262" s="34">
        <v>21</v>
      </c>
      <c r="AO262" s="34">
        <f t="shared" si="134"/>
        <v>0</v>
      </c>
      <c r="AP262" s="34">
        <f t="shared" si="135"/>
        <v>0</v>
      </c>
      <c r="AQ262" s="29" t="s">
        <v>13</v>
      </c>
      <c r="AV262" s="34">
        <f t="shared" si="136"/>
        <v>0</v>
      </c>
      <c r="AW262" s="34">
        <f t="shared" si="137"/>
        <v>0</v>
      </c>
      <c r="AX262" s="34">
        <f t="shared" si="138"/>
        <v>0</v>
      </c>
      <c r="AY262" s="35" t="s">
        <v>1156</v>
      </c>
      <c r="AZ262" s="35" t="s">
        <v>1171</v>
      </c>
      <c r="BA262" s="28" t="s">
        <v>1176</v>
      </c>
      <c r="BC262" s="34">
        <f t="shared" si="139"/>
        <v>0</v>
      </c>
      <c r="BD262" s="34">
        <f t="shared" si="140"/>
        <v>0</v>
      </c>
      <c r="BE262" s="34">
        <v>0</v>
      </c>
      <c r="BF262" s="34">
        <f>262</f>
        <v>262</v>
      </c>
      <c r="BH262" s="18">
        <f t="shared" si="141"/>
        <v>0</v>
      </c>
      <c r="BI262" s="18">
        <f t="shared" si="142"/>
        <v>0</v>
      </c>
      <c r="BJ262" s="18">
        <f t="shared" si="143"/>
        <v>0</v>
      </c>
    </row>
    <row r="263" spans="1:62" x14ac:dyDescent="0.2">
      <c r="A263" s="5" t="s">
        <v>213</v>
      </c>
      <c r="B263" s="5" t="s">
        <v>542</v>
      </c>
      <c r="C263" s="135" t="s">
        <v>927</v>
      </c>
      <c r="D263" s="136"/>
      <c r="E263" s="136"/>
      <c r="F263" s="5" t="s">
        <v>1104</v>
      </c>
      <c r="G263" s="18">
        <v>15</v>
      </c>
      <c r="H263" s="79">
        <v>0</v>
      </c>
      <c r="I263" s="18">
        <f t="shared" si="120"/>
        <v>0</v>
      </c>
      <c r="J263" s="18">
        <f t="shared" si="121"/>
        <v>0</v>
      </c>
      <c r="K263" s="18">
        <f t="shared" si="122"/>
        <v>0</v>
      </c>
      <c r="L263" s="29" t="s">
        <v>1127</v>
      </c>
      <c r="Z263" s="34">
        <f t="shared" si="123"/>
        <v>0</v>
      </c>
      <c r="AB263" s="34">
        <f t="shared" si="124"/>
        <v>0</v>
      </c>
      <c r="AC263" s="34">
        <f t="shared" si="125"/>
        <v>0</v>
      </c>
      <c r="AD263" s="34">
        <f t="shared" si="126"/>
        <v>0</v>
      </c>
      <c r="AE263" s="34">
        <f t="shared" si="127"/>
        <v>0</v>
      </c>
      <c r="AF263" s="34">
        <f t="shared" si="128"/>
        <v>0</v>
      </c>
      <c r="AG263" s="34">
        <f t="shared" si="129"/>
        <v>0</v>
      </c>
      <c r="AH263" s="34">
        <f t="shared" si="130"/>
        <v>0</v>
      </c>
      <c r="AI263" s="28" t="s">
        <v>1137</v>
      </c>
      <c r="AJ263" s="18">
        <f t="shared" si="131"/>
        <v>0</v>
      </c>
      <c r="AK263" s="18">
        <f t="shared" si="132"/>
        <v>0</v>
      </c>
      <c r="AL263" s="18">
        <f t="shared" si="133"/>
        <v>0</v>
      </c>
      <c r="AN263" s="34">
        <v>21</v>
      </c>
      <c r="AO263" s="34">
        <f t="shared" si="134"/>
        <v>0</v>
      </c>
      <c r="AP263" s="34">
        <f t="shared" si="135"/>
        <v>0</v>
      </c>
      <c r="AQ263" s="29" t="s">
        <v>13</v>
      </c>
      <c r="AV263" s="34">
        <f t="shared" si="136"/>
        <v>0</v>
      </c>
      <c r="AW263" s="34">
        <f t="shared" si="137"/>
        <v>0</v>
      </c>
      <c r="AX263" s="34">
        <f t="shared" si="138"/>
        <v>0</v>
      </c>
      <c r="AY263" s="35" t="s">
        <v>1156</v>
      </c>
      <c r="AZ263" s="35" t="s">
        <v>1171</v>
      </c>
      <c r="BA263" s="28" t="s">
        <v>1176</v>
      </c>
      <c r="BC263" s="34">
        <f t="shared" si="139"/>
        <v>0</v>
      </c>
      <c r="BD263" s="34">
        <f t="shared" si="140"/>
        <v>0</v>
      </c>
      <c r="BE263" s="34">
        <v>0</v>
      </c>
      <c r="BF263" s="34">
        <f>263</f>
        <v>263</v>
      </c>
      <c r="BH263" s="18">
        <f t="shared" si="141"/>
        <v>0</v>
      </c>
      <c r="BI263" s="18">
        <f t="shared" si="142"/>
        <v>0</v>
      </c>
      <c r="BJ263" s="18">
        <f t="shared" si="143"/>
        <v>0</v>
      </c>
    </row>
    <row r="264" spans="1:62" x14ac:dyDescent="0.2">
      <c r="A264" s="5" t="s">
        <v>214</v>
      </c>
      <c r="B264" s="5" t="s">
        <v>543</v>
      </c>
      <c r="C264" s="135" t="s">
        <v>928</v>
      </c>
      <c r="D264" s="136"/>
      <c r="E264" s="136"/>
      <c r="F264" s="5" t="s">
        <v>1107</v>
      </c>
      <c r="G264" s="18">
        <v>1</v>
      </c>
      <c r="H264" s="79">
        <v>0</v>
      </c>
      <c r="I264" s="18">
        <f t="shared" si="120"/>
        <v>0</v>
      </c>
      <c r="J264" s="18">
        <f t="shared" si="121"/>
        <v>0</v>
      </c>
      <c r="K264" s="18">
        <f t="shared" si="122"/>
        <v>0</v>
      </c>
      <c r="L264" s="29" t="s">
        <v>1127</v>
      </c>
      <c r="Z264" s="34">
        <f t="shared" si="123"/>
        <v>0</v>
      </c>
      <c r="AB264" s="34">
        <f t="shared" si="124"/>
        <v>0</v>
      </c>
      <c r="AC264" s="34">
        <f t="shared" si="125"/>
        <v>0</v>
      </c>
      <c r="AD264" s="34">
        <f t="shared" si="126"/>
        <v>0</v>
      </c>
      <c r="AE264" s="34">
        <f t="shared" si="127"/>
        <v>0</v>
      </c>
      <c r="AF264" s="34">
        <f t="shared" si="128"/>
        <v>0</v>
      </c>
      <c r="AG264" s="34">
        <f t="shared" si="129"/>
        <v>0</v>
      </c>
      <c r="AH264" s="34">
        <f t="shared" si="130"/>
        <v>0</v>
      </c>
      <c r="AI264" s="28" t="s">
        <v>1137</v>
      </c>
      <c r="AJ264" s="18">
        <f t="shared" si="131"/>
        <v>0</v>
      </c>
      <c r="AK264" s="18">
        <f t="shared" si="132"/>
        <v>0</v>
      </c>
      <c r="AL264" s="18">
        <f t="shared" si="133"/>
        <v>0</v>
      </c>
      <c r="AN264" s="34">
        <v>21</v>
      </c>
      <c r="AO264" s="34">
        <f t="shared" si="134"/>
        <v>0</v>
      </c>
      <c r="AP264" s="34">
        <f t="shared" si="135"/>
        <v>0</v>
      </c>
      <c r="AQ264" s="29" t="s">
        <v>13</v>
      </c>
      <c r="AV264" s="34">
        <f t="shared" si="136"/>
        <v>0</v>
      </c>
      <c r="AW264" s="34">
        <f t="shared" si="137"/>
        <v>0</v>
      </c>
      <c r="AX264" s="34">
        <f t="shared" si="138"/>
        <v>0</v>
      </c>
      <c r="AY264" s="35" t="s">
        <v>1156</v>
      </c>
      <c r="AZ264" s="35" t="s">
        <v>1171</v>
      </c>
      <c r="BA264" s="28" t="s">
        <v>1176</v>
      </c>
      <c r="BC264" s="34">
        <f t="shared" si="139"/>
        <v>0</v>
      </c>
      <c r="BD264" s="34">
        <f t="shared" si="140"/>
        <v>0</v>
      </c>
      <c r="BE264" s="34">
        <v>0</v>
      </c>
      <c r="BF264" s="34">
        <f>264</f>
        <v>264</v>
      </c>
      <c r="BH264" s="18">
        <f t="shared" si="141"/>
        <v>0</v>
      </c>
      <c r="BI264" s="18">
        <f t="shared" si="142"/>
        <v>0</v>
      </c>
      <c r="BJ264" s="18">
        <f t="shared" si="143"/>
        <v>0</v>
      </c>
    </row>
    <row r="265" spans="1:62" x14ac:dyDescent="0.2">
      <c r="A265" s="5" t="s">
        <v>215</v>
      </c>
      <c r="B265" s="5" t="s">
        <v>544</v>
      </c>
      <c r="C265" s="135" t="s">
        <v>866</v>
      </c>
      <c r="D265" s="136"/>
      <c r="E265" s="136"/>
      <c r="F265" s="5" t="s">
        <v>1103</v>
      </c>
      <c r="G265" s="18">
        <v>2</v>
      </c>
      <c r="H265" s="79">
        <v>0</v>
      </c>
      <c r="I265" s="18">
        <f t="shared" si="120"/>
        <v>0</v>
      </c>
      <c r="J265" s="18">
        <f t="shared" si="121"/>
        <v>0</v>
      </c>
      <c r="K265" s="18">
        <f t="shared" si="122"/>
        <v>0</v>
      </c>
      <c r="L265" s="29" t="s">
        <v>1127</v>
      </c>
      <c r="Z265" s="34">
        <f t="shared" si="123"/>
        <v>0</v>
      </c>
      <c r="AB265" s="34">
        <f t="shared" si="124"/>
        <v>0</v>
      </c>
      <c r="AC265" s="34">
        <f t="shared" si="125"/>
        <v>0</v>
      </c>
      <c r="AD265" s="34">
        <f t="shared" si="126"/>
        <v>0</v>
      </c>
      <c r="AE265" s="34">
        <f t="shared" si="127"/>
        <v>0</v>
      </c>
      <c r="AF265" s="34">
        <f t="shared" si="128"/>
        <v>0</v>
      </c>
      <c r="AG265" s="34">
        <f t="shared" si="129"/>
        <v>0</v>
      </c>
      <c r="AH265" s="34">
        <f t="shared" si="130"/>
        <v>0</v>
      </c>
      <c r="AI265" s="28" t="s">
        <v>1137</v>
      </c>
      <c r="AJ265" s="18">
        <f t="shared" si="131"/>
        <v>0</v>
      </c>
      <c r="AK265" s="18">
        <f t="shared" si="132"/>
        <v>0</v>
      </c>
      <c r="AL265" s="18">
        <f t="shared" si="133"/>
        <v>0</v>
      </c>
      <c r="AN265" s="34">
        <v>21</v>
      </c>
      <c r="AO265" s="34">
        <f t="shared" si="134"/>
        <v>0</v>
      </c>
      <c r="AP265" s="34">
        <f t="shared" si="135"/>
        <v>0</v>
      </c>
      <c r="AQ265" s="29" t="s">
        <v>13</v>
      </c>
      <c r="AV265" s="34">
        <f t="shared" si="136"/>
        <v>0</v>
      </c>
      <c r="AW265" s="34">
        <f t="shared" si="137"/>
        <v>0</v>
      </c>
      <c r="AX265" s="34">
        <f t="shared" si="138"/>
        <v>0</v>
      </c>
      <c r="AY265" s="35" t="s">
        <v>1156</v>
      </c>
      <c r="AZ265" s="35" t="s">
        <v>1171</v>
      </c>
      <c r="BA265" s="28" t="s">
        <v>1176</v>
      </c>
      <c r="BC265" s="34">
        <f t="shared" si="139"/>
        <v>0</v>
      </c>
      <c r="BD265" s="34">
        <f t="shared" si="140"/>
        <v>0</v>
      </c>
      <c r="BE265" s="34">
        <v>0</v>
      </c>
      <c r="BF265" s="34">
        <f>265</f>
        <v>265</v>
      </c>
      <c r="BH265" s="18">
        <f t="shared" si="141"/>
        <v>0</v>
      </c>
      <c r="BI265" s="18">
        <f t="shared" si="142"/>
        <v>0</v>
      </c>
      <c r="BJ265" s="18">
        <f t="shared" si="143"/>
        <v>0</v>
      </c>
    </row>
    <row r="266" spans="1:62" x14ac:dyDescent="0.2">
      <c r="A266" s="5" t="s">
        <v>216</v>
      </c>
      <c r="B266" s="5" t="s">
        <v>545</v>
      </c>
      <c r="C266" s="135" t="s">
        <v>867</v>
      </c>
      <c r="D266" s="136"/>
      <c r="E266" s="136"/>
      <c r="F266" s="5" t="s">
        <v>1103</v>
      </c>
      <c r="G266" s="18">
        <v>1</v>
      </c>
      <c r="H266" s="79">
        <v>0</v>
      </c>
      <c r="I266" s="18">
        <f t="shared" si="120"/>
        <v>0</v>
      </c>
      <c r="J266" s="18">
        <f t="shared" si="121"/>
        <v>0</v>
      </c>
      <c r="K266" s="18">
        <f t="shared" si="122"/>
        <v>0</v>
      </c>
      <c r="L266" s="29" t="s">
        <v>1127</v>
      </c>
      <c r="Z266" s="34">
        <f t="shared" si="123"/>
        <v>0</v>
      </c>
      <c r="AB266" s="34">
        <f t="shared" si="124"/>
        <v>0</v>
      </c>
      <c r="AC266" s="34">
        <f t="shared" si="125"/>
        <v>0</v>
      </c>
      <c r="AD266" s="34">
        <f t="shared" si="126"/>
        <v>0</v>
      </c>
      <c r="AE266" s="34">
        <f t="shared" si="127"/>
        <v>0</v>
      </c>
      <c r="AF266" s="34">
        <f t="shared" si="128"/>
        <v>0</v>
      </c>
      <c r="AG266" s="34">
        <f t="shared" si="129"/>
        <v>0</v>
      </c>
      <c r="AH266" s="34">
        <f t="shared" si="130"/>
        <v>0</v>
      </c>
      <c r="AI266" s="28" t="s">
        <v>1137</v>
      </c>
      <c r="AJ266" s="18">
        <f t="shared" si="131"/>
        <v>0</v>
      </c>
      <c r="AK266" s="18">
        <f t="shared" si="132"/>
        <v>0</v>
      </c>
      <c r="AL266" s="18">
        <f t="shared" si="133"/>
        <v>0</v>
      </c>
      <c r="AN266" s="34">
        <v>21</v>
      </c>
      <c r="AO266" s="34">
        <f t="shared" si="134"/>
        <v>0</v>
      </c>
      <c r="AP266" s="34">
        <f t="shared" si="135"/>
        <v>0</v>
      </c>
      <c r="AQ266" s="29" t="s">
        <v>13</v>
      </c>
      <c r="AV266" s="34">
        <f t="shared" si="136"/>
        <v>0</v>
      </c>
      <c r="AW266" s="34">
        <f t="shared" si="137"/>
        <v>0</v>
      </c>
      <c r="AX266" s="34">
        <f t="shared" si="138"/>
        <v>0</v>
      </c>
      <c r="AY266" s="35" t="s">
        <v>1156</v>
      </c>
      <c r="AZ266" s="35" t="s">
        <v>1171</v>
      </c>
      <c r="BA266" s="28" t="s">
        <v>1176</v>
      </c>
      <c r="BC266" s="34">
        <f t="shared" si="139"/>
        <v>0</v>
      </c>
      <c r="BD266" s="34">
        <f t="shared" si="140"/>
        <v>0</v>
      </c>
      <c r="BE266" s="34">
        <v>0</v>
      </c>
      <c r="BF266" s="34">
        <f>266</f>
        <v>266</v>
      </c>
      <c r="BH266" s="18">
        <f t="shared" si="141"/>
        <v>0</v>
      </c>
      <c r="BI266" s="18">
        <f t="shared" si="142"/>
        <v>0</v>
      </c>
      <c r="BJ266" s="18">
        <f t="shared" si="143"/>
        <v>0</v>
      </c>
    </row>
    <row r="267" spans="1:62" x14ac:dyDescent="0.2">
      <c r="A267" s="5" t="s">
        <v>217</v>
      </c>
      <c r="B267" s="5" t="s">
        <v>546</v>
      </c>
      <c r="C267" s="135" t="s">
        <v>865</v>
      </c>
      <c r="D267" s="136"/>
      <c r="E267" s="136"/>
      <c r="F267" s="5" t="s">
        <v>1101</v>
      </c>
      <c r="G267" s="18">
        <v>5.8</v>
      </c>
      <c r="H267" s="79">
        <v>0</v>
      </c>
      <c r="I267" s="18">
        <f t="shared" si="120"/>
        <v>0</v>
      </c>
      <c r="J267" s="18">
        <f t="shared" si="121"/>
        <v>0</v>
      </c>
      <c r="K267" s="18">
        <f t="shared" si="122"/>
        <v>0</v>
      </c>
      <c r="L267" s="29" t="s">
        <v>1127</v>
      </c>
      <c r="Z267" s="34">
        <f t="shared" si="123"/>
        <v>0</v>
      </c>
      <c r="AB267" s="34">
        <f t="shared" si="124"/>
        <v>0</v>
      </c>
      <c r="AC267" s="34">
        <f t="shared" si="125"/>
        <v>0</v>
      </c>
      <c r="AD267" s="34">
        <f t="shared" si="126"/>
        <v>0</v>
      </c>
      <c r="AE267" s="34">
        <f t="shared" si="127"/>
        <v>0</v>
      </c>
      <c r="AF267" s="34">
        <f t="shared" si="128"/>
        <v>0</v>
      </c>
      <c r="AG267" s="34">
        <f t="shared" si="129"/>
        <v>0</v>
      </c>
      <c r="AH267" s="34">
        <f t="shared" si="130"/>
        <v>0</v>
      </c>
      <c r="AI267" s="28" t="s">
        <v>1137</v>
      </c>
      <c r="AJ267" s="18">
        <f t="shared" si="131"/>
        <v>0</v>
      </c>
      <c r="AK267" s="18">
        <f t="shared" si="132"/>
        <v>0</v>
      </c>
      <c r="AL267" s="18">
        <f t="shared" si="133"/>
        <v>0</v>
      </c>
      <c r="AN267" s="34">
        <v>21</v>
      </c>
      <c r="AO267" s="34">
        <f t="shared" si="134"/>
        <v>0</v>
      </c>
      <c r="AP267" s="34">
        <f t="shared" si="135"/>
        <v>0</v>
      </c>
      <c r="AQ267" s="29" t="s">
        <v>13</v>
      </c>
      <c r="AV267" s="34">
        <f t="shared" si="136"/>
        <v>0</v>
      </c>
      <c r="AW267" s="34">
        <f t="shared" si="137"/>
        <v>0</v>
      </c>
      <c r="AX267" s="34">
        <f t="shared" si="138"/>
        <v>0</v>
      </c>
      <c r="AY267" s="35" t="s">
        <v>1156</v>
      </c>
      <c r="AZ267" s="35" t="s">
        <v>1171</v>
      </c>
      <c r="BA267" s="28" t="s">
        <v>1176</v>
      </c>
      <c r="BC267" s="34">
        <f t="shared" si="139"/>
        <v>0</v>
      </c>
      <c r="BD267" s="34">
        <f t="shared" si="140"/>
        <v>0</v>
      </c>
      <c r="BE267" s="34">
        <v>0</v>
      </c>
      <c r="BF267" s="34">
        <f>267</f>
        <v>267</v>
      </c>
      <c r="BH267" s="18">
        <f t="shared" si="141"/>
        <v>0</v>
      </c>
      <c r="BI267" s="18">
        <f t="shared" si="142"/>
        <v>0</v>
      </c>
      <c r="BJ267" s="18">
        <f t="shared" si="143"/>
        <v>0</v>
      </c>
    </row>
    <row r="268" spans="1:62" x14ac:dyDescent="0.2">
      <c r="A268" s="5" t="s">
        <v>218</v>
      </c>
      <c r="B268" s="5" t="s">
        <v>547</v>
      </c>
      <c r="C268" s="135" t="s">
        <v>820</v>
      </c>
      <c r="D268" s="136"/>
      <c r="E268" s="136"/>
      <c r="F268" s="5" t="s">
        <v>1103</v>
      </c>
      <c r="G268" s="18">
        <v>1</v>
      </c>
      <c r="H268" s="79">
        <v>0</v>
      </c>
      <c r="I268" s="18">
        <f t="shared" si="120"/>
        <v>0</v>
      </c>
      <c r="J268" s="18">
        <f t="shared" si="121"/>
        <v>0</v>
      </c>
      <c r="K268" s="18">
        <f t="shared" si="122"/>
        <v>0</v>
      </c>
      <c r="L268" s="29" t="s">
        <v>1127</v>
      </c>
      <c r="Z268" s="34">
        <f t="shared" si="123"/>
        <v>0</v>
      </c>
      <c r="AB268" s="34">
        <f t="shared" si="124"/>
        <v>0</v>
      </c>
      <c r="AC268" s="34">
        <f t="shared" si="125"/>
        <v>0</v>
      </c>
      <c r="AD268" s="34">
        <f t="shared" si="126"/>
        <v>0</v>
      </c>
      <c r="AE268" s="34">
        <f t="shared" si="127"/>
        <v>0</v>
      </c>
      <c r="AF268" s="34">
        <f t="shared" si="128"/>
        <v>0</v>
      </c>
      <c r="AG268" s="34">
        <f t="shared" si="129"/>
        <v>0</v>
      </c>
      <c r="AH268" s="34">
        <f t="shared" si="130"/>
        <v>0</v>
      </c>
      <c r="AI268" s="28" t="s">
        <v>1137</v>
      </c>
      <c r="AJ268" s="18">
        <f t="shared" si="131"/>
        <v>0</v>
      </c>
      <c r="AK268" s="18">
        <f t="shared" si="132"/>
        <v>0</v>
      </c>
      <c r="AL268" s="18">
        <f t="shared" si="133"/>
        <v>0</v>
      </c>
      <c r="AN268" s="34">
        <v>21</v>
      </c>
      <c r="AO268" s="34">
        <f t="shared" si="134"/>
        <v>0</v>
      </c>
      <c r="AP268" s="34">
        <f t="shared" si="135"/>
        <v>0</v>
      </c>
      <c r="AQ268" s="29" t="s">
        <v>13</v>
      </c>
      <c r="AV268" s="34">
        <f t="shared" si="136"/>
        <v>0</v>
      </c>
      <c r="AW268" s="34">
        <f t="shared" si="137"/>
        <v>0</v>
      </c>
      <c r="AX268" s="34">
        <f t="shared" si="138"/>
        <v>0</v>
      </c>
      <c r="AY268" s="35" t="s">
        <v>1156</v>
      </c>
      <c r="AZ268" s="35" t="s">
        <v>1171</v>
      </c>
      <c r="BA268" s="28" t="s">
        <v>1176</v>
      </c>
      <c r="BC268" s="34">
        <f t="shared" si="139"/>
        <v>0</v>
      </c>
      <c r="BD268" s="34">
        <f t="shared" si="140"/>
        <v>0</v>
      </c>
      <c r="BE268" s="34">
        <v>0</v>
      </c>
      <c r="BF268" s="34">
        <f>268</f>
        <v>268</v>
      </c>
      <c r="BH268" s="18">
        <f t="shared" si="141"/>
        <v>0</v>
      </c>
      <c r="BI268" s="18">
        <f t="shared" si="142"/>
        <v>0</v>
      </c>
      <c r="BJ268" s="18">
        <f t="shared" si="143"/>
        <v>0</v>
      </c>
    </row>
    <row r="269" spans="1:62" x14ac:dyDescent="0.2">
      <c r="A269" s="5" t="s">
        <v>219</v>
      </c>
      <c r="B269" s="5" t="s">
        <v>548</v>
      </c>
      <c r="C269" s="135" t="s">
        <v>929</v>
      </c>
      <c r="D269" s="136"/>
      <c r="E269" s="136"/>
      <c r="F269" s="5" t="s">
        <v>1103</v>
      </c>
      <c r="G269" s="18">
        <v>1</v>
      </c>
      <c r="H269" s="79">
        <v>0</v>
      </c>
      <c r="I269" s="18">
        <f t="shared" si="120"/>
        <v>0</v>
      </c>
      <c r="J269" s="18">
        <f t="shared" si="121"/>
        <v>0</v>
      </c>
      <c r="K269" s="18">
        <f t="shared" si="122"/>
        <v>0</v>
      </c>
      <c r="L269" s="29" t="s">
        <v>1127</v>
      </c>
      <c r="Z269" s="34">
        <f t="shared" si="123"/>
        <v>0</v>
      </c>
      <c r="AB269" s="34">
        <f t="shared" si="124"/>
        <v>0</v>
      </c>
      <c r="AC269" s="34">
        <f t="shared" si="125"/>
        <v>0</v>
      </c>
      <c r="AD269" s="34">
        <f t="shared" si="126"/>
        <v>0</v>
      </c>
      <c r="AE269" s="34">
        <f t="shared" si="127"/>
        <v>0</v>
      </c>
      <c r="AF269" s="34">
        <f t="shared" si="128"/>
        <v>0</v>
      </c>
      <c r="AG269" s="34">
        <f t="shared" si="129"/>
        <v>0</v>
      </c>
      <c r="AH269" s="34">
        <f t="shared" si="130"/>
        <v>0</v>
      </c>
      <c r="AI269" s="28" t="s">
        <v>1137</v>
      </c>
      <c r="AJ269" s="18">
        <f t="shared" si="131"/>
        <v>0</v>
      </c>
      <c r="AK269" s="18">
        <f t="shared" si="132"/>
        <v>0</v>
      </c>
      <c r="AL269" s="18">
        <f t="shared" si="133"/>
        <v>0</v>
      </c>
      <c r="AN269" s="34">
        <v>21</v>
      </c>
      <c r="AO269" s="34">
        <f t="shared" si="134"/>
        <v>0</v>
      </c>
      <c r="AP269" s="34">
        <f t="shared" si="135"/>
        <v>0</v>
      </c>
      <c r="AQ269" s="29" t="s">
        <v>13</v>
      </c>
      <c r="AV269" s="34">
        <f t="shared" si="136"/>
        <v>0</v>
      </c>
      <c r="AW269" s="34">
        <f t="shared" si="137"/>
        <v>0</v>
      </c>
      <c r="AX269" s="34">
        <f t="shared" si="138"/>
        <v>0</v>
      </c>
      <c r="AY269" s="35" t="s">
        <v>1156</v>
      </c>
      <c r="AZ269" s="35" t="s">
        <v>1171</v>
      </c>
      <c r="BA269" s="28" t="s">
        <v>1176</v>
      </c>
      <c r="BC269" s="34">
        <f t="shared" si="139"/>
        <v>0</v>
      </c>
      <c r="BD269" s="34">
        <f t="shared" si="140"/>
        <v>0</v>
      </c>
      <c r="BE269" s="34">
        <v>0</v>
      </c>
      <c r="BF269" s="34">
        <f>269</f>
        <v>269</v>
      </c>
      <c r="BH269" s="18">
        <f t="shared" si="141"/>
        <v>0</v>
      </c>
      <c r="BI269" s="18">
        <f t="shared" si="142"/>
        <v>0</v>
      </c>
      <c r="BJ269" s="18">
        <f t="shared" si="143"/>
        <v>0</v>
      </c>
    </row>
    <row r="270" spans="1:62" x14ac:dyDescent="0.2">
      <c r="A270" s="5" t="s">
        <v>220</v>
      </c>
      <c r="B270" s="5" t="s">
        <v>549</v>
      </c>
      <c r="C270" s="135" t="s">
        <v>930</v>
      </c>
      <c r="D270" s="136"/>
      <c r="E270" s="136"/>
      <c r="F270" s="5" t="s">
        <v>1103</v>
      </c>
      <c r="G270" s="18">
        <v>1</v>
      </c>
      <c r="H270" s="79">
        <v>0</v>
      </c>
      <c r="I270" s="18">
        <f t="shared" si="120"/>
        <v>0</v>
      </c>
      <c r="J270" s="18">
        <f t="shared" si="121"/>
        <v>0</v>
      </c>
      <c r="K270" s="18">
        <f t="shared" si="122"/>
        <v>0</v>
      </c>
      <c r="L270" s="29" t="s">
        <v>1127</v>
      </c>
      <c r="Z270" s="34">
        <f t="shared" si="123"/>
        <v>0</v>
      </c>
      <c r="AB270" s="34">
        <f t="shared" si="124"/>
        <v>0</v>
      </c>
      <c r="AC270" s="34">
        <f t="shared" si="125"/>
        <v>0</v>
      </c>
      <c r="AD270" s="34">
        <f t="shared" si="126"/>
        <v>0</v>
      </c>
      <c r="AE270" s="34">
        <f t="shared" si="127"/>
        <v>0</v>
      </c>
      <c r="AF270" s="34">
        <f t="shared" si="128"/>
        <v>0</v>
      </c>
      <c r="AG270" s="34">
        <f t="shared" si="129"/>
        <v>0</v>
      </c>
      <c r="AH270" s="34">
        <f t="shared" si="130"/>
        <v>0</v>
      </c>
      <c r="AI270" s="28" t="s">
        <v>1137</v>
      </c>
      <c r="AJ270" s="18">
        <f t="shared" si="131"/>
        <v>0</v>
      </c>
      <c r="AK270" s="18">
        <f t="shared" si="132"/>
        <v>0</v>
      </c>
      <c r="AL270" s="18">
        <f t="shared" si="133"/>
        <v>0</v>
      </c>
      <c r="AN270" s="34">
        <v>21</v>
      </c>
      <c r="AO270" s="34">
        <f t="shared" si="134"/>
        <v>0</v>
      </c>
      <c r="AP270" s="34">
        <f t="shared" si="135"/>
        <v>0</v>
      </c>
      <c r="AQ270" s="29" t="s">
        <v>13</v>
      </c>
      <c r="AV270" s="34">
        <f t="shared" si="136"/>
        <v>0</v>
      </c>
      <c r="AW270" s="34">
        <f t="shared" si="137"/>
        <v>0</v>
      </c>
      <c r="AX270" s="34">
        <f t="shared" si="138"/>
        <v>0</v>
      </c>
      <c r="AY270" s="35" t="s">
        <v>1156</v>
      </c>
      <c r="AZ270" s="35" t="s">
        <v>1171</v>
      </c>
      <c r="BA270" s="28" t="s">
        <v>1176</v>
      </c>
      <c r="BC270" s="34">
        <f t="shared" si="139"/>
        <v>0</v>
      </c>
      <c r="BD270" s="34">
        <f t="shared" si="140"/>
        <v>0</v>
      </c>
      <c r="BE270" s="34">
        <v>0</v>
      </c>
      <c r="BF270" s="34">
        <f>270</f>
        <v>270</v>
      </c>
      <c r="BH270" s="18">
        <f t="shared" si="141"/>
        <v>0</v>
      </c>
      <c r="BI270" s="18">
        <f t="shared" si="142"/>
        <v>0</v>
      </c>
      <c r="BJ270" s="18">
        <f t="shared" si="143"/>
        <v>0</v>
      </c>
    </row>
    <row r="271" spans="1:62" x14ac:dyDescent="0.2">
      <c r="A271" s="5" t="s">
        <v>221</v>
      </c>
      <c r="B271" s="5" t="s">
        <v>550</v>
      </c>
      <c r="C271" s="135" t="s">
        <v>931</v>
      </c>
      <c r="D271" s="136"/>
      <c r="E271" s="136"/>
      <c r="F271" s="5" t="s">
        <v>1103</v>
      </c>
      <c r="G271" s="18">
        <v>2</v>
      </c>
      <c r="H271" s="79">
        <v>0</v>
      </c>
      <c r="I271" s="18">
        <f t="shared" si="120"/>
        <v>0</v>
      </c>
      <c r="J271" s="18">
        <f t="shared" si="121"/>
        <v>0</v>
      </c>
      <c r="K271" s="18">
        <f t="shared" si="122"/>
        <v>0</v>
      </c>
      <c r="L271" s="29" t="s">
        <v>1127</v>
      </c>
      <c r="Z271" s="34">
        <f t="shared" si="123"/>
        <v>0</v>
      </c>
      <c r="AB271" s="34">
        <f t="shared" si="124"/>
        <v>0</v>
      </c>
      <c r="AC271" s="34">
        <f t="shared" si="125"/>
        <v>0</v>
      </c>
      <c r="AD271" s="34">
        <f t="shared" si="126"/>
        <v>0</v>
      </c>
      <c r="AE271" s="34">
        <f t="shared" si="127"/>
        <v>0</v>
      </c>
      <c r="AF271" s="34">
        <f t="shared" si="128"/>
        <v>0</v>
      </c>
      <c r="AG271" s="34">
        <f t="shared" si="129"/>
        <v>0</v>
      </c>
      <c r="AH271" s="34">
        <f t="shared" si="130"/>
        <v>0</v>
      </c>
      <c r="AI271" s="28" t="s">
        <v>1137</v>
      </c>
      <c r="AJ271" s="18">
        <f t="shared" si="131"/>
        <v>0</v>
      </c>
      <c r="AK271" s="18">
        <f t="shared" si="132"/>
        <v>0</v>
      </c>
      <c r="AL271" s="18">
        <f t="shared" si="133"/>
        <v>0</v>
      </c>
      <c r="AN271" s="34">
        <v>21</v>
      </c>
      <c r="AO271" s="34">
        <f t="shared" si="134"/>
        <v>0</v>
      </c>
      <c r="AP271" s="34">
        <f t="shared" si="135"/>
        <v>0</v>
      </c>
      <c r="AQ271" s="29" t="s">
        <v>13</v>
      </c>
      <c r="AV271" s="34">
        <f t="shared" si="136"/>
        <v>0</v>
      </c>
      <c r="AW271" s="34">
        <f t="shared" si="137"/>
        <v>0</v>
      </c>
      <c r="AX271" s="34">
        <f t="shared" si="138"/>
        <v>0</v>
      </c>
      <c r="AY271" s="35" t="s">
        <v>1156</v>
      </c>
      <c r="AZ271" s="35" t="s">
        <v>1171</v>
      </c>
      <c r="BA271" s="28" t="s">
        <v>1176</v>
      </c>
      <c r="BC271" s="34">
        <f t="shared" si="139"/>
        <v>0</v>
      </c>
      <c r="BD271" s="34">
        <f t="shared" si="140"/>
        <v>0</v>
      </c>
      <c r="BE271" s="34">
        <v>0</v>
      </c>
      <c r="BF271" s="34">
        <f>271</f>
        <v>271</v>
      </c>
      <c r="BH271" s="18">
        <f t="shared" si="141"/>
        <v>0</v>
      </c>
      <c r="BI271" s="18">
        <f t="shared" si="142"/>
        <v>0</v>
      </c>
      <c r="BJ271" s="18">
        <f t="shared" si="143"/>
        <v>0</v>
      </c>
    </row>
    <row r="272" spans="1:62" x14ac:dyDescent="0.2">
      <c r="A272" s="5" t="s">
        <v>222</v>
      </c>
      <c r="B272" s="5" t="s">
        <v>551</v>
      </c>
      <c r="C272" s="135" t="s">
        <v>870</v>
      </c>
      <c r="D272" s="136"/>
      <c r="E272" s="136"/>
      <c r="F272" s="5" t="s">
        <v>1103</v>
      </c>
      <c r="G272" s="18">
        <v>4</v>
      </c>
      <c r="H272" s="79">
        <v>0</v>
      </c>
      <c r="I272" s="18">
        <f t="shared" si="120"/>
        <v>0</v>
      </c>
      <c r="J272" s="18">
        <f t="shared" si="121"/>
        <v>0</v>
      </c>
      <c r="K272" s="18">
        <f t="shared" si="122"/>
        <v>0</v>
      </c>
      <c r="L272" s="29" t="s">
        <v>1127</v>
      </c>
      <c r="Z272" s="34">
        <f t="shared" si="123"/>
        <v>0</v>
      </c>
      <c r="AB272" s="34">
        <f t="shared" si="124"/>
        <v>0</v>
      </c>
      <c r="AC272" s="34">
        <f t="shared" si="125"/>
        <v>0</v>
      </c>
      <c r="AD272" s="34">
        <f t="shared" si="126"/>
        <v>0</v>
      </c>
      <c r="AE272" s="34">
        <f t="shared" si="127"/>
        <v>0</v>
      </c>
      <c r="AF272" s="34">
        <f t="shared" si="128"/>
        <v>0</v>
      </c>
      <c r="AG272" s="34">
        <f t="shared" si="129"/>
        <v>0</v>
      </c>
      <c r="AH272" s="34">
        <f t="shared" si="130"/>
        <v>0</v>
      </c>
      <c r="AI272" s="28" t="s">
        <v>1137</v>
      </c>
      <c r="AJ272" s="18">
        <f t="shared" si="131"/>
        <v>0</v>
      </c>
      <c r="AK272" s="18">
        <f t="shared" si="132"/>
        <v>0</v>
      </c>
      <c r="AL272" s="18">
        <f t="shared" si="133"/>
        <v>0</v>
      </c>
      <c r="AN272" s="34">
        <v>21</v>
      </c>
      <c r="AO272" s="34">
        <f t="shared" si="134"/>
        <v>0</v>
      </c>
      <c r="AP272" s="34">
        <f t="shared" si="135"/>
        <v>0</v>
      </c>
      <c r="AQ272" s="29" t="s">
        <v>13</v>
      </c>
      <c r="AV272" s="34">
        <f t="shared" si="136"/>
        <v>0</v>
      </c>
      <c r="AW272" s="34">
        <f t="shared" si="137"/>
        <v>0</v>
      </c>
      <c r="AX272" s="34">
        <f t="shared" si="138"/>
        <v>0</v>
      </c>
      <c r="AY272" s="35" t="s">
        <v>1156</v>
      </c>
      <c r="AZ272" s="35" t="s">
        <v>1171</v>
      </c>
      <c r="BA272" s="28" t="s">
        <v>1176</v>
      </c>
      <c r="BC272" s="34">
        <f t="shared" si="139"/>
        <v>0</v>
      </c>
      <c r="BD272" s="34">
        <f t="shared" si="140"/>
        <v>0</v>
      </c>
      <c r="BE272" s="34">
        <v>0</v>
      </c>
      <c r="BF272" s="34">
        <f>272</f>
        <v>272</v>
      </c>
      <c r="BH272" s="18">
        <f t="shared" si="141"/>
        <v>0</v>
      </c>
      <c r="BI272" s="18">
        <f t="shared" si="142"/>
        <v>0</v>
      </c>
      <c r="BJ272" s="18">
        <f t="shared" si="143"/>
        <v>0</v>
      </c>
    </row>
    <row r="273" spans="1:62" x14ac:dyDescent="0.2">
      <c r="A273" s="5" t="s">
        <v>223</v>
      </c>
      <c r="B273" s="5" t="s">
        <v>552</v>
      </c>
      <c r="C273" s="135" t="s">
        <v>932</v>
      </c>
      <c r="D273" s="136"/>
      <c r="E273" s="136"/>
      <c r="F273" s="5" t="s">
        <v>1103</v>
      </c>
      <c r="G273" s="18">
        <v>2</v>
      </c>
      <c r="H273" s="79">
        <v>0</v>
      </c>
      <c r="I273" s="18">
        <f t="shared" si="120"/>
        <v>0</v>
      </c>
      <c r="J273" s="18">
        <f t="shared" si="121"/>
        <v>0</v>
      </c>
      <c r="K273" s="18">
        <f t="shared" si="122"/>
        <v>0</v>
      </c>
      <c r="L273" s="29" t="s">
        <v>1127</v>
      </c>
      <c r="Z273" s="34">
        <f t="shared" si="123"/>
        <v>0</v>
      </c>
      <c r="AB273" s="34">
        <f t="shared" si="124"/>
        <v>0</v>
      </c>
      <c r="AC273" s="34">
        <f t="shared" si="125"/>
        <v>0</v>
      </c>
      <c r="AD273" s="34">
        <f t="shared" si="126"/>
        <v>0</v>
      </c>
      <c r="AE273" s="34">
        <f t="shared" si="127"/>
        <v>0</v>
      </c>
      <c r="AF273" s="34">
        <f t="shared" si="128"/>
        <v>0</v>
      </c>
      <c r="AG273" s="34">
        <f t="shared" si="129"/>
        <v>0</v>
      </c>
      <c r="AH273" s="34">
        <f t="shared" si="130"/>
        <v>0</v>
      </c>
      <c r="AI273" s="28" t="s">
        <v>1137</v>
      </c>
      <c r="AJ273" s="18">
        <f t="shared" si="131"/>
        <v>0</v>
      </c>
      <c r="AK273" s="18">
        <f t="shared" si="132"/>
        <v>0</v>
      </c>
      <c r="AL273" s="18">
        <f t="shared" si="133"/>
        <v>0</v>
      </c>
      <c r="AN273" s="34">
        <v>21</v>
      </c>
      <c r="AO273" s="34">
        <f t="shared" si="134"/>
        <v>0</v>
      </c>
      <c r="AP273" s="34">
        <f t="shared" si="135"/>
        <v>0</v>
      </c>
      <c r="AQ273" s="29" t="s">
        <v>13</v>
      </c>
      <c r="AV273" s="34">
        <f t="shared" si="136"/>
        <v>0</v>
      </c>
      <c r="AW273" s="34">
        <f t="shared" si="137"/>
        <v>0</v>
      </c>
      <c r="AX273" s="34">
        <f t="shared" si="138"/>
        <v>0</v>
      </c>
      <c r="AY273" s="35" t="s">
        <v>1156</v>
      </c>
      <c r="AZ273" s="35" t="s">
        <v>1171</v>
      </c>
      <c r="BA273" s="28" t="s">
        <v>1176</v>
      </c>
      <c r="BC273" s="34">
        <f t="shared" si="139"/>
        <v>0</v>
      </c>
      <c r="BD273" s="34">
        <f t="shared" si="140"/>
        <v>0</v>
      </c>
      <c r="BE273" s="34">
        <v>0</v>
      </c>
      <c r="BF273" s="34">
        <f>273</f>
        <v>273</v>
      </c>
      <c r="BH273" s="18">
        <f t="shared" si="141"/>
        <v>0</v>
      </c>
      <c r="BI273" s="18">
        <f t="shared" si="142"/>
        <v>0</v>
      </c>
      <c r="BJ273" s="18">
        <f t="shared" si="143"/>
        <v>0</v>
      </c>
    </row>
    <row r="274" spans="1:62" x14ac:dyDescent="0.2">
      <c r="A274" s="5" t="s">
        <v>224</v>
      </c>
      <c r="B274" s="5" t="s">
        <v>553</v>
      </c>
      <c r="C274" s="135" t="s">
        <v>933</v>
      </c>
      <c r="D274" s="136"/>
      <c r="E274" s="136"/>
      <c r="F274" s="5" t="s">
        <v>1103</v>
      </c>
      <c r="G274" s="18">
        <v>4</v>
      </c>
      <c r="H274" s="79">
        <v>0</v>
      </c>
      <c r="I274" s="18">
        <f t="shared" si="120"/>
        <v>0</v>
      </c>
      <c r="J274" s="18">
        <f t="shared" si="121"/>
        <v>0</v>
      </c>
      <c r="K274" s="18">
        <f t="shared" si="122"/>
        <v>0</v>
      </c>
      <c r="L274" s="29" t="s">
        <v>1127</v>
      </c>
      <c r="Z274" s="34">
        <f t="shared" si="123"/>
        <v>0</v>
      </c>
      <c r="AB274" s="34">
        <f t="shared" si="124"/>
        <v>0</v>
      </c>
      <c r="AC274" s="34">
        <f t="shared" si="125"/>
        <v>0</v>
      </c>
      <c r="AD274" s="34">
        <f t="shared" si="126"/>
        <v>0</v>
      </c>
      <c r="AE274" s="34">
        <f t="shared" si="127"/>
        <v>0</v>
      </c>
      <c r="AF274" s="34">
        <f t="shared" si="128"/>
        <v>0</v>
      </c>
      <c r="AG274" s="34">
        <f t="shared" si="129"/>
        <v>0</v>
      </c>
      <c r="AH274" s="34">
        <f t="shared" si="130"/>
        <v>0</v>
      </c>
      <c r="AI274" s="28" t="s">
        <v>1137</v>
      </c>
      <c r="AJ274" s="18">
        <f t="shared" si="131"/>
        <v>0</v>
      </c>
      <c r="AK274" s="18">
        <f t="shared" si="132"/>
        <v>0</v>
      </c>
      <c r="AL274" s="18">
        <f t="shared" si="133"/>
        <v>0</v>
      </c>
      <c r="AN274" s="34">
        <v>21</v>
      </c>
      <c r="AO274" s="34">
        <f t="shared" si="134"/>
        <v>0</v>
      </c>
      <c r="AP274" s="34">
        <f t="shared" si="135"/>
        <v>0</v>
      </c>
      <c r="AQ274" s="29" t="s">
        <v>13</v>
      </c>
      <c r="AV274" s="34">
        <f t="shared" si="136"/>
        <v>0</v>
      </c>
      <c r="AW274" s="34">
        <f t="shared" si="137"/>
        <v>0</v>
      </c>
      <c r="AX274" s="34">
        <f t="shared" si="138"/>
        <v>0</v>
      </c>
      <c r="AY274" s="35" t="s">
        <v>1156</v>
      </c>
      <c r="AZ274" s="35" t="s">
        <v>1171</v>
      </c>
      <c r="BA274" s="28" t="s">
        <v>1176</v>
      </c>
      <c r="BC274" s="34">
        <f t="shared" si="139"/>
        <v>0</v>
      </c>
      <c r="BD274" s="34">
        <f t="shared" si="140"/>
        <v>0</v>
      </c>
      <c r="BE274" s="34">
        <v>0</v>
      </c>
      <c r="BF274" s="34">
        <f>274</f>
        <v>274</v>
      </c>
      <c r="BH274" s="18">
        <f t="shared" si="141"/>
        <v>0</v>
      </c>
      <c r="BI274" s="18">
        <f t="shared" si="142"/>
        <v>0</v>
      </c>
      <c r="BJ274" s="18">
        <f t="shared" si="143"/>
        <v>0</v>
      </c>
    </row>
    <row r="275" spans="1:62" x14ac:dyDescent="0.2">
      <c r="A275" s="5" t="s">
        <v>225</v>
      </c>
      <c r="B275" s="5" t="s">
        <v>554</v>
      </c>
      <c r="C275" s="135" t="s">
        <v>934</v>
      </c>
      <c r="D275" s="136"/>
      <c r="E275" s="136"/>
      <c r="F275" s="5" t="s">
        <v>1103</v>
      </c>
      <c r="G275" s="18">
        <v>1</v>
      </c>
      <c r="H275" s="79">
        <v>0</v>
      </c>
      <c r="I275" s="18">
        <f t="shared" si="120"/>
        <v>0</v>
      </c>
      <c r="J275" s="18">
        <f t="shared" si="121"/>
        <v>0</v>
      </c>
      <c r="K275" s="18">
        <f t="shared" si="122"/>
        <v>0</v>
      </c>
      <c r="L275" s="29" t="s">
        <v>1127</v>
      </c>
      <c r="Z275" s="34">
        <f t="shared" si="123"/>
        <v>0</v>
      </c>
      <c r="AB275" s="34">
        <f t="shared" si="124"/>
        <v>0</v>
      </c>
      <c r="AC275" s="34">
        <f t="shared" si="125"/>
        <v>0</v>
      </c>
      <c r="AD275" s="34">
        <f t="shared" si="126"/>
        <v>0</v>
      </c>
      <c r="AE275" s="34">
        <f t="shared" si="127"/>
        <v>0</v>
      </c>
      <c r="AF275" s="34">
        <f t="shared" si="128"/>
        <v>0</v>
      </c>
      <c r="AG275" s="34">
        <f t="shared" si="129"/>
        <v>0</v>
      </c>
      <c r="AH275" s="34">
        <f t="shared" si="130"/>
        <v>0</v>
      </c>
      <c r="AI275" s="28" t="s">
        <v>1137</v>
      </c>
      <c r="AJ275" s="18">
        <f t="shared" si="131"/>
        <v>0</v>
      </c>
      <c r="AK275" s="18">
        <f t="shared" si="132"/>
        <v>0</v>
      </c>
      <c r="AL275" s="18">
        <f t="shared" si="133"/>
        <v>0</v>
      </c>
      <c r="AN275" s="34">
        <v>21</v>
      </c>
      <c r="AO275" s="34">
        <f t="shared" si="134"/>
        <v>0</v>
      </c>
      <c r="AP275" s="34">
        <f t="shared" si="135"/>
        <v>0</v>
      </c>
      <c r="AQ275" s="29" t="s">
        <v>13</v>
      </c>
      <c r="AV275" s="34">
        <f t="shared" si="136"/>
        <v>0</v>
      </c>
      <c r="AW275" s="34">
        <f t="shared" si="137"/>
        <v>0</v>
      </c>
      <c r="AX275" s="34">
        <f t="shared" si="138"/>
        <v>0</v>
      </c>
      <c r="AY275" s="35" t="s">
        <v>1156</v>
      </c>
      <c r="AZ275" s="35" t="s">
        <v>1171</v>
      </c>
      <c r="BA275" s="28" t="s">
        <v>1176</v>
      </c>
      <c r="BC275" s="34">
        <f t="shared" si="139"/>
        <v>0</v>
      </c>
      <c r="BD275" s="34">
        <f t="shared" si="140"/>
        <v>0</v>
      </c>
      <c r="BE275" s="34">
        <v>0</v>
      </c>
      <c r="BF275" s="34">
        <f>275</f>
        <v>275</v>
      </c>
      <c r="BH275" s="18">
        <f t="shared" si="141"/>
        <v>0</v>
      </c>
      <c r="BI275" s="18">
        <f t="shared" si="142"/>
        <v>0</v>
      </c>
      <c r="BJ275" s="18">
        <f t="shared" si="143"/>
        <v>0</v>
      </c>
    </row>
    <row r="276" spans="1:62" x14ac:dyDescent="0.2">
      <c r="A276" s="5" t="s">
        <v>226</v>
      </c>
      <c r="B276" s="5" t="s">
        <v>555</v>
      </c>
      <c r="C276" s="135" t="s">
        <v>825</v>
      </c>
      <c r="D276" s="136"/>
      <c r="E276" s="136"/>
      <c r="F276" s="5" t="s">
        <v>1104</v>
      </c>
      <c r="G276" s="18">
        <v>25</v>
      </c>
      <c r="H276" s="79">
        <v>0</v>
      </c>
      <c r="I276" s="18">
        <f t="shared" si="120"/>
        <v>0</v>
      </c>
      <c r="J276" s="18">
        <f t="shared" si="121"/>
        <v>0</v>
      </c>
      <c r="K276" s="18">
        <f t="shared" si="122"/>
        <v>0</v>
      </c>
      <c r="L276" s="29" t="s">
        <v>1127</v>
      </c>
      <c r="Z276" s="34">
        <f t="shared" si="123"/>
        <v>0</v>
      </c>
      <c r="AB276" s="34">
        <f t="shared" si="124"/>
        <v>0</v>
      </c>
      <c r="AC276" s="34">
        <f t="shared" si="125"/>
        <v>0</v>
      </c>
      <c r="AD276" s="34">
        <f t="shared" si="126"/>
        <v>0</v>
      </c>
      <c r="AE276" s="34">
        <f t="shared" si="127"/>
        <v>0</v>
      </c>
      <c r="AF276" s="34">
        <f t="shared" si="128"/>
        <v>0</v>
      </c>
      <c r="AG276" s="34">
        <f t="shared" si="129"/>
        <v>0</v>
      </c>
      <c r="AH276" s="34">
        <f t="shared" si="130"/>
        <v>0</v>
      </c>
      <c r="AI276" s="28" t="s">
        <v>1137</v>
      </c>
      <c r="AJ276" s="18">
        <f t="shared" si="131"/>
        <v>0</v>
      </c>
      <c r="AK276" s="18">
        <f t="shared" si="132"/>
        <v>0</v>
      </c>
      <c r="AL276" s="18">
        <f t="shared" si="133"/>
        <v>0</v>
      </c>
      <c r="AN276" s="34">
        <v>21</v>
      </c>
      <c r="AO276" s="34">
        <f t="shared" si="134"/>
        <v>0</v>
      </c>
      <c r="AP276" s="34">
        <f t="shared" si="135"/>
        <v>0</v>
      </c>
      <c r="AQ276" s="29" t="s">
        <v>13</v>
      </c>
      <c r="AV276" s="34">
        <f t="shared" si="136"/>
        <v>0</v>
      </c>
      <c r="AW276" s="34">
        <f t="shared" si="137"/>
        <v>0</v>
      </c>
      <c r="AX276" s="34">
        <f t="shared" si="138"/>
        <v>0</v>
      </c>
      <c r="AY276" s="35" t="s">
        <v>1156</v>
      </c>
      <c r="AZ276" s="35" t="s">
        <v>1171</v>
      </c>
      <c r="BA276" s="28" t="s">
        <v>1176</v>
      </c>
      <c r="BC276" s="34">
        <f t="shared" si="139"/>
        <v>0</v>
      </c>
      <c r="BD276" s="34">
        <f t="shared" si="140"/>
        <v>0</v>
      </c>
      <c r="BE276" s="34">
        <v>0</v>
      </c>
      <c r="BF276" s="34">
        <f>276</f>
        <v>276</v>
      </c>
      <c r="BH276" s="18">
        <f t="shared" si="141"/>
        <v>0</v>
      </c>
      <c r="BI276" s="18">
        <f t="shared" si="142"/>
        <v>0</v>
      </c>
      <c r="BJ276" s="18">
        <f t="shared" si="143"/>
        <v>0</v>
      </c>
    </row>
    <row r="277" spans="1:62" x14ac:dyDescent="0.2">
      <c r="A277" s="5" t="s">
        <v>227</v>
      </c>
      <c r="B277" s="5" t="s">
        <v>556</v>
      </c>
      <c r="C277" s="135" t="s">
        <v>826</v>
      </c>
      <c r="D277" s="136"/>
      <c r="E277" s="136"/>
      <c r="F277" s="5" t="s">
        <v>1103</v>
      </c>
      <c r="G277" s="18">
        <v>1</v>
      </c>
      <c r="H277" s="79">
        <v>0</v>
      </c>
      <c r="I277" s="18">
        <f t="shared" si="120"/>
        <v>0</v>
      </c>
      <c r="J277" s="18">
        <f t="shared" si="121"/>
        <v>0</v>
      </c>
      <c r="K277" s="18">
        <f t="shared" si="122"/>
        <v>0</v>
      </c>
      <c r="L277" s="29" t="s">
        <v>1127</v>
      </c>
      <c r="Z277" s="34">
        <f t="shared" si="123"/>
        <v>0</v>
      </c>
      <c r="AB277" s="34">
        <f t="shared" si="124"/>
        <v>0</v>
      </c>
      <c r="AC277" s="34">
        <f t="shared" si="125"/>
        <v>0</v>
      </c>
      <c r="AD277" s="34">
        <f t="shared" si="126"/>
        <v>0</v>
      </c>
      <c r="AE277" s="34">
        <f t="shared" si="127"/>
        <v>0</v>
      </c>
      <c r="AF277" s="34">
        <f t="shared" si="128"/>
        <v>0</v>
      </c>
      <c r="AG277" s="34">
        <f t="shared" si="129"/>
        <v>0</v>
      </c>
      <c r="AH277" s="34">
        <f t="shared" si="130"/>
        <v>0</v>
      </c>
      <c r="AI277" s="28" t="s">
        <v>1137</v>
      </c>
      <c r="AJ277" s="18">
        <f t="shared" si="131"/>
        <v>0</v>
      </c>
      <c r="AK277" s="18">
        <f t="shared" si="132"/>
        <v>0</v>
      </c>
      <c r="AL277" s="18">
        <f t="shared" si="133"/>
        <v>0</v>
      </c>
      <c r="AN277" s="34">
        <v>21</v>
      </c>
      <c r="AO277" s="34">
        <f t="shared" si="134"/>
        <v>0</v>
      </c>
      <c r="AP277" s="34">
        <f t="shared" si="135"/>
        <v>0</v>
      </c>
      <c r="AQ277" s="29" t="s">
        <v>13</v>
      </c>
      <c r="AV277" s="34">
        <f t="shared" si="136"/>
        <v>0</v>
      </c>
      <c r="AW277" s="34">
        <f t="shared" si="137"/>
        <v>0</v>
      </c>
      <c r="AX277" s="34">
        <f t="shared" si="138"/>
        <v>0</v>
      </c>
      <c r="AY277" s="35" t="s">
        <v>1156</v>
      </c>
      <c r="AZ277" s="35" t="s">
        <v>1171</v>
      </c>
      <c r="BA277" s="28" t="s">
        <v>1176</v>
      </c>
      <c r="BC277" s="34">
        <f t="shared" si="139"/>
        <v>0</v>
      </c>
      <c r="BD277" s="34">
        <f t="shared" si="140"/>
        <v>0</v>
      </c>
      <c r="BE277" s="34">
        <v>0</v>
      </c>
      <c r="BF277" s="34">
        <f>277</f>
        <v>277</v>
      </c>
      <c r="BH277" s="18">
        <f t="shared" si="141"/>
        <v>0</v>
      </c>
      <c r="BI277" s="18">
        <f t="shared" si="142"/>
        <v>0</v>
      </c>
      <c r="BJ277" s="18">
        <f t="shared" si="143"/>
        <v>0</v>
      </c>
    </row>
    <row r="278" spans="1:62" x14ac:dyDescent="0.2">
      <c r="A278" s="5" t="s">
        <v>228</v>
      </c>
      <c r="B278" s="5" t="s">
        <v>557</v>
      </c>
      <c r="C278" s="135" t="s">
        <v>827</v>
      </c>
      <c r="D278" s="136"/>
      <c r="E278" s="136"/>
      <c r="F278" s="5" t="s">
        <v>1103</v>
      </c>
      <c r="G278" s="18">
        <v>1</v>
      </c>
      <c r="H278" s="79">
        <v>0</v>
      </c>
      <c r="I278" s="18">
        <f t="shared" si="120"/>
        <v>0</v>
      </c>
      <c r="J278" s="18">
        <f t="shared" si="121"/>
        <v>0</v>
      </c>
      <c r="K278" s="18">
        <f t="shared" si="122"/>
        <v>0</v>
      </c>
      <c r="L278" s="29" t="s">
        <v>1127</v>
      </c>
      <c r="Z278" s="34">
        <f t="shared" si="123"/>
        <v>0</v>
      </c>
      <c r="AB278" s="34">
        <f t="shared" si="124"/>
        <v>0</v>
      </c>
      <c r="AC278" s="34">
        <f t="shared" si="125"/>
        <v>0</v>
      </c>
      <c r="AD278" s="34">
        <f t="shared" si="126"/>
        <v>0</v>
      </c>
      <c r="AE278" s="34">
        <f t="shared" si="127"/>
        <v>0</v>
      </c>
      <c r="AF278" s="34">
        <f t="shared" si="128"/>
        <v>0</v>
      </c>
      <c r="AG278" s="34">
        <f t="shared" si="129"/>
        <v>0</v>
      </c>
      <c r="AH278" s="34">
        <f t="shared" si="130"/>
        <v>0</v>
      </c>
      <c r="AI278" s="28" t="s">
        <v>1137</v>
      </c>
      <c r="AJ278" s="18">
        <f t="shared" si="131"/>
        <v>0</v>
      </c>
      <c r="AK278" s="18">
        <f t="shared" si="132"/>
        <v>0</v>
      </c>
      <c r="AL278" s="18">
        <f t="shared" si="133"/>
        <v>0</v>
      </c>
      <c r="AN278" s="34">
        <v>21</v>
      </c>
      <c r="AO278" s="34">
        <f t="shared" si="134"/>
        <v>0</v>
      </c>
      <c r="AP278" s="34">
        <f t="shared" si="135"/>
        <v>0</v>
      </c>
      <c r="AQ278" s="29" t="s">
        <v>13</v>
      </c>
      <c r="AV278" s="34">
        <f t="shared" si="136"/>
        <v>0</v>
      </c>
      <c r="AW278" s="34">
        <f t="shared" si="137"/>
        <v>0</v>
      </c>
      <c r="AX278" s="34">
        <f t="shared" si="138"/>
        <v>0</v>
      </c>
      <c r="AY278" s="35" t="s">
        <v>1156</v>
      </c>
      <c r="AZ278" s="35" t="s">
        <v>1171</v>
      </c>
      <c r="BA278" s="28" t="s">
        <v>1176</v>
      </c>
      <c r="BC278" s="34">
        <f t="shared" si="139"/>
        <v>0</v>
      </c>
      <c r="BD278" s="34">
        <f t="shared" si="140"/>
        <v>0</v>
      </c>
      <c r="BE278" s="34">
        <v>0</v>
      </c>
      <c r="BF278" s="34">
        <f>278</f>
        <v>278</v>
      </c>
      <c r="BH278" s="18">
        <f t="shared" si="141"/>
        <v>0</v>
      </c>
      <c r="BI278" s="18">
        <f t="shared" si="142"/>
        <v>0</v>
      </c>
      <c r="BJ278" s="18">
        <f t="shared" si="143"/>
        <v>0</v>
      </c>
    </row>
    <row r="279" spans="1:62" x14ac:dyDescent="0.2">
      <c r="A279" s="5" t="s">
        <v>229</v>
      </c>
      <c r="B279" s="5" t="s">
        <v>558</v>
      </c>
      <c r="C279" s="135" t="s">
        <v>828</v>
      </c>
      <c r="D279" s="136"/>
      <c r="E279" s="136"/>
      <c r="F279" s="5" t="s">
        <v>1103</v>
      </c>
      <c r="G279" s="18">
        <v>1</v>
      </c>
      <c r="H279" s="79">
        <v>0</v>
      </c>
      <c r="I279" s="18">
        <f t="shared" si="120"/>
        <v>0</v>
      </c>
      <c r="J279" s="18">
        <f t="shared" si="121"/>
        <v>0</v>
      </c>
      <c r="K279" s="18">
        <f t="shared" si="122"/>
        <v>0</v>
      </c>
      <c r="L279" s="29" t="s">
        <v>1127</v>
      </c>
      <c r="Z279" s="34">
        <f t="shared" si="123"/>
        <v>0</v>
      </c>
      <c r="AB279" s="34">
        <f t="shared" si="124"/>
        <v>0</v>
      </c>
      <c r="AC279" s="34">
        <f t="shared" si="125"/>
        <v>0</v>
      </c>
      <c r="AD279" s="34">
        <f t="shared" si="126"/>
        <v>0</v>
      </c>
      <c r="AE279" s="34">
        <f t="shared" si="127"/>
        <v>0</v>
      </c>
      <c r="AF279" s="34">
        <f t="shared" si="128"/>
        <v>0</v>
      </c>
      <c r="AG279" s="34">
        <f t="shared" si="129"/>
        <v>0</v>
      </c>
      <c r="AH279" s="34">
        <f t="shared" si="130"/>
        <v>0</v>
      </c>
      <c r="AI279" s="28" t="s">
        <v>1137</v>
      </c>
      <c r="AJ279" s="18">
        <f t="shared" si="131"/>
        <v>0</v>
      </c>
      <c r="AK279" s="18">
        <f t="shared" si="132"/>
        <v>0</v>
      </c>
      <c r="AL279" s="18">
        <f t="shared" si="133"/>
        <v>0</v>
      </c>
      <c r="AN279" s="34">
        <v>21</v>
      </c>
      <c r="AO279" s="34">
        <f t="shared" si="134"/>
        <v>0</v>
      </c>
      <c r="AP279" s="34">
        <f t="shared" si="135"/>
        <v>0</v>
      </c>
      <c r="AQ279" s="29" t="s">
        <v>13</v>
      </c>
      <c r="AV279" s="34">
        <f t="shared" si="136"/>
        <v>0</v>
      </c>
      <c r="AW279" s="34">
        <f t="shared" si="137"/>
        <v>0</v>
      </c>
      <c r="AX279" s="34">
        <f t="shared" si="138"/>
        <v>0</v>
      </c>
      <c r="AY279" s="35" t="s">
        <v>1156</v>
      </c>
      <c r="AZ279" s="35" t="s">
        <v>1171</v>
      </c>
      <c r="BA279" s="28" t="s">
        <v>1176</v>
      </c>
      <c r="BC279" s="34">
        <f t="shared" si="139"/>
        <v>0</v>
      </c>
      <c r="BD279" s="34">
        <f t="shared" si="140"/>
        <v>0</v>
      </c>
      <c r="BE279" s="34">
        <v>0</v>
      </c>
      <c r="BF279" s="34">
        <f>279</f>
        <v>279</v>
      </c>
      <c r="BH279" s="18">
        <f t="shared" si="141"/>
        <v>0</v>
      </c>
      <c r="BI279" s="18">
        <f t="shared" si="142"/>
        <v>0</v>
      </c>
      <c r="BJ279" s="18">
        <f t="shared" si="143"/>
        <v>0</v>
      </c>
    </row>
    <row r="280" spans="1:62" x14ac:dyDescent="0.2">
      <c r="A280" s="4"/>
      <c r="B280" s="14" t="s">
        <v>559</v>
      </c>
      <c r="C280" s="133" t="s">
        <v>935</v>
      </c>
      <c r="D280" s="134"/>
      <c r="E280" s="134"/>
      <c r="F280" s="4" t="s">
        <v>6</v>
      </c>
      <c r="G280" s="4" t="s">
        <v>6</v>
      </c>
      <c r="H280" s="4" t="s">
        <v>6</v>
      </c>
      <c r="I280" s="37">
        <f>SUM(I281:I291)</f>
        <v>0</v>
      </c>
      <c r="J280" s="37">
        <f>SUM(J281:J291)</f>
        <v>0</v>
      </c>
      <c r="K280" s="37">
        <f>SUM(K281:K291)</f>
        <v>0</v>
      </c>
      <c r="L280" s="28"/>
      <c r="AI280" s="28" t="s">
        <v>1137</v>
      </c>
      <c r="AS280" s="37">
        <f>SUM(AJ281:AJ291)</f>
        <v>0</v>
      </c>
      <c r="AT280" s="37">
        <f>SUM(AK281:AK291)</f>
        <v>0</v>
      </c>
      <c r="AU280" s="37">
        <f>SUM(AL281:AL291)</f>
        <v>0</v>
      </c>
    </row>
    <row r="281" spans="1:62" x14ac:dyDescent="0.2">
      <c r="A281" s="5" t="s">
        <v>230</v>
      </c>
      <c r="B281" s="5" t="s">
        <v>560</v>
      </c>
      <c r="C281" s="135" t="s">
        <v>936</v>
      </c>
      <c r="D281" s="136"/>
      <c r="E281" s="136"/>
      <c r="F281" s="5" t="s">
        <v>1099</v>
      </c>
      <c r="G281" s="18">
        <v>2</v>
      </c>
      <c r="H281" s="79">
        <v>0</v>
      </c>
      <c r="I281" s="18">
        <f>G281*AO281</f>
        <v>0</v>
      </c>
      <c r="J281" s="18">
        <f>G281*AP281</f>
        <v>0</v>
      </c>
      <c r="K281" s="18">
        <f>G281*H281</f>
        <v>0</v>
      </c>
      <c r="L281" s="29" t="s">
        <v>1127</v>
      </c>
      <c r="Z281" s="34">
        <f>IF(AQ281="5",BJ281,0)</f>
        <v>0</v>
      </c>
      <c r="AB281" s="34">
        <f>IF(AQ281="1",BH281,0)</f>
        <v>0</v>
      </c>
      <c r="AC281" s="34">
        <f>IF(AQ281="1",BI281,0)</f>
        <v>0</v>
      </c>
      <c r="AD281" s="34">
        <f>IF(AQ281="7",BH281,0)</f>
        <v>0</v>
      </c>
      <c r="AE281" s="34">
        <f>IF(AQ281="7",BI281,0)</f>
        <v>0</v>
      </c>
      <c r="AF281" s="34">
        <f>IF(AQ281="2",BH281,0)</f>
        <v>0</v>
      </c>
      <c r="AG281" s="34">
        <f>IF(AQ281="2",BI281,0)</f>
        <v>0</v>
      </c>
      <c r="AH281" s="34">
        <f>IF(AQ281="0",BJ281,0)</f>
        <v>0</v>
      </c>
      <c r="AI281" s="28" t="s">
        <v>1137</v>
      </c>
      <c r="AJ281" s="18">
        <f>IF(AN281=0,K281,0)</f>
        <v>0</v>
      </c>
      <c r="AK281" s="18">
        <f>IF(AN281=15,K281,0)</f>
        <v>0</v>
      </c>
      <c r="AL281" s="18">
        <f>IF(AN281=21,K281,0)</f>
        <v>0</v>
      </c>
      <c r="AN281" s="34">
        <v>21</v>
      </c>
      <c r="AO281" s="34">
        <f>H281*0.89</f>
        <v>0</v>
      </c>
      <c r="AP281" s="34">
        <f>H281*(1-0.89)</f>
        <v>0</v>
      </c>
      <c r="AQ281" s="29" t="s">
        <v>13</v>
      </c>
      <c r="AV281" s="34">
        <f>AW281+AX281</f>
        <v>0</v>
      </c>
      <c r="AW281" s="34">
        <f>G281*AO281</f>
        <v>0</v>
      </c>
      <c r="AX281" s="34">
        <f>G281*AP281</f>
        <v>0</v>
      </c>
      <c r="AY281" s="35" t="s">
        <v>1157</v>
      </c>
      <c r="AZ281" s="35" t="s">
        <v>1172</v>
      </c>
      <c r="BA281" s="28" t="s">
        <v>1176</v>
      </c>
      <c r="BC281" s="34">
        <f>AW281+AX281</f>
        <v>0</v>
      </c>
      <c r="BD281" s="34">
        <f>H281/(100-BE281)*100</f>
        <v>0</v>
      </c>
      <c r="BE281" s="34">
        <v>0</v>
      </c>
      <c r="BF281" s="34">
        <f>281</f>
        <v>281</v>
      </c>
      <c r="BH281" s="18">
        <f>G281*AO281</f>
        <v>0</v>
      </c>
      <c r="BI281" s="18">
        <f>G281*AP281</f>
        <v>0</v>
      </c>
      <c r="BJ281" s="18">
        <f>G281*H281</f>
        <v>0</v>
      </c>
    </row>
    <row r="282" spans="1:62" x14ac:dyDescent="0.2">
      <c r="C282" s="131" t="s">
        <v>937</v>
      </c>
      <c r="D282" s="132"/>
      <c r="E282" s="132"/>
      <c r="H282" s="80"/>
    </row>
    <row r="283" spans="1:62" x14ac:dyDescent="0.2">
      <c r="A283" s="5" t="s">
        <v>231</v>
      </c>
      <c r="B283" s="5" t="s">
        <v>561</v>
      </c>
      <c r="C283" s="135" t="s">
        <v>938</v>
      </c>
      <c r="D283" s="136"/>
      <c r="E283" s="136"/>
      <c r="F283" s="5" t="s">
        <v>1099</v>
      </c>
      <c r="G283" s="18">
        <v>2</v>
      </c>
      <c r="H283" s="79">
        <v>0</v>
      </c>
      <c r="I283" s="18">
        <f>G283*AO283</f>
        <v>0</v>
      </c>
      <c r="J283" s="18">
        <f>G283*AP283</f>
        <v>0</v>
      </c>
      <c r="K283" s="18">
        <f>G283*H283</f>
        <v>0</v>
      </c>
      <c r="L283" s="29" t="s">
        <v>1127</v>
      </c>
      <c r="Z283" s="34">
        <f>IF(AQ283="5",BJ283,0)</f>
        <v>0</v>
      </c>
      <c r="AB283" s="34">
        <f>IF(AQ283="1",BH283,0)</f>
        <v>0</v>
      </c>
      <c r="AC283" s="34">
        <f>IF(AQ283="1",BI283,0)</f>
        <v>0</v>
      </c>
      <c r="AD283" s="34">
        <f>IF(AQ283="7",BH283,0)</f>
        <v>0</v>
      </c>
      <c r="AE283" s="34">
        <f>IF(AQ283="7",BI283,0)</f>
        <v>0</v>
      </c>
      <c r="AF283" s="34">
        <f>IF(AQ283="2",BH283,0)</f>
        <v>0</v>
      </c>
      <c r="AG283" s="34">
        <f>IF(AQ283="2",BI283,0)</f>
        <v>0</v>
      </c>
      <c r="AH283" s="34">
        <f>IF(AQ283="0",BJ283,0)</f>
        <v>0</v>
      </c>
      <c r="AI283" s="28" t="s">
        <v>1137</v>
      </c>
      <c r="AJ283" s="18">
        <f>IF(AN283=0,K283,0)</f>
        <v>0</v>
      </c>
      <c r="AK283" s="18">
        <f>IF(AN283=15,K283,0)</f>
        <v>0</v>
      </c>
      <c r="AL283" s="18">
        <f>IF(AN283=21,K283,0)</f>
        <v>0</v>
      </c>
      <c r="AN283" s="34">
        <v>21</v>
      </c>
      <c r="AO283" s="34">
        <f>H283*0.89</f>
        <v>0</v>
      </c>
      <c r="AP283" s="34">
        <f>H283*(1-0.89)</f>
        <v>0</v>
      </c>
      <c r="AQ283" s="29" t="s">
        <v>13</v>
      </c>
      <c r="AV283" s="34">
        <f>AW283+AX283</f>
        <v>0</v>
      </c>
      <c r="AW283" s="34">
        <f>G283*AO283</f>
        <v>0</v>
      </c>
      <c r="AX283" s="34">
        <f>G283*AP283</f>
        <v>0</v>
      </c>
      <c r="AY283" s="35" t="s">
        <v>1157</v>
      </c>
      <c r="AZ283" s="35" t="s">
        <v>1172</v>
      </c>
      <c r="BA283" s="28" t="s">
        <v>1176</v>
      </c>
      <c r="BC283" s="34">
        <f>AW283+AX283</f>
        <v>0</v>
      </c>
      <c r="BD283" s="34">
        <f>H283/(100-BE283)*100</f>
        <v>0</v>
      </c>
      <c r="BE283" s="34">
        <v>0</v>
      </c>
      <c r="BF283" s="34">
        <f>283</f>
        <v>283</v>
      </c>
      <c r="BH283" s="18">
        <f>G283*AO283</f>
        <v>0</v>
      </c>
      <c r="BI283" s="18">
        <f>G283*AP283</f>
        <v>0</v>
      </c>
      <c r="BJ283" s="18">
        <f>G283*H283</f>
        <v>0</v>
      </c>
    </row>
    <row r="284" spans="1:62" x14ac:dyDescent="0.2">
      <c r="C284" s="131" t="s">
        <v>939</v>
      </c>
      <c r="D284" s="132"/>
      <c r="E284" s="132"/>
      <c r="H284" s="80"/>
    </row>
    <row r="285" spans="1:62" x14ac:dyDescent="0.2">
      <c r="A285" s="5" t="s">
        <v>232</v>
      </c>
      <c r="B285" s="5" t="s">
        <v>562</v>
      </c>
      <c r="C285" s="135" t="s">
        <v>940</v>
      </c>
      <c r="D285" s="136"/>
      <c r="E285" s="136"/>
      <c r="F285" s="5" t="s">
        <v>1099</v>
      </c>
      <c r="G285" s="18">
        <v>4</v>
      </c>
      <c r="H285" s="79">
        <v>0</v>
      </c>
      <c r="I285" s="18">
        <f>G285*AO285</f>
        <v>0</v>
      </c>
      <c r="J285" s="18">
        <f>G285*AP285</f>
        <v>0</v>
      </c>
      <c r="K285" s="18">
        <f>G285*H285</f>
        <v>0</v>
      </c>
      <c r="L285" s="29" t="s">
        <v>1127</v>
      </c>
      <c r="Z285" s="34">
        <f>IF(AQ285="5",BJ285,0)</f>
        <v>0</v>
      </c>
      <c r="AB285" s="34">
        <f>IF(AQ285="1",BH285,0)</f>
        <v>0</v>
      </c>
      <c r="AC285" s="34">
        <f>IF(AQ285="1",BI285,0)</f>
        <v>0</v>
      </c>
      <c r="AD285" s="34">
        <f>IF(AQ285="7",BH285,0)</f>
        <v>0</v>
      </c>
      <c r="AE285" s="34">
        <f>IF(AQ285="7",BI285,0)</f>
        <v>0</v>
      </c>
      <c r="AF285" s="34">
        <f>IF(AQ285="2",BH285,0)</f>
        <v>0</v>
      </c>
      <c r="AG285" s="34">
        <f>IF(AQ285="2",BI285,0)</f>
        <v>0</v>
      </c>
      <c r="AH285" s="34">
        <f>IF(AQ285="0",BJ285,0)</f>
        <v>0</v>
      </c>
      <c r="AI285" s="28" t="s">
        <v>1137</v>
      </c>
      <c r="AJ285" s="18">
        <f>IF(AN285=0,K285,0)</f>
        <v>0</v>
      </c>
      <c r="AK285" s="18">
        <f>IF(AN285=15,K285,0)</f>
        <v>0</v>
      </c>
      <c r="AL285" s="18">
        <f>IF(AN285=21,K285,0)</f>
        <v>0</v>
      </c>
      <c r="AN285" s="34">
        <v>21</v>
      </c>
      <c r="AO285" s="34">
        <f>H285*0</f>
        <v>0</v>
      </c>
      <c r="AP285" s="34">
        <f>H285*(1-0)</f>
        <v>0</v>
      </c>
      <c r="AQ285" s="29" t="s">
        <v>13</v>
      </c>
      <c r="AV285" s="34">
        <f>AW285+AX285</f>
        <v>0</v>
      </c>
      <c r="AW285" s="34">
        <f>G285*AO285</f>
        <v>0</v>
      </c>
      <c r="AX285" s="34">
        <f>G285*AP285</f>
        <v>0</v>
      </c>
      <c r="AY285" s="35" t="s">
        <v>1157</v>
      </c>
      <c r="AZ285" s="35" t="s">
        <v>1172</v>
      </c>
      <c r="BA285" s="28" t="s">
        <v>1176</v>
      </c>
      <c r="BC285" s="34">
        <f>AW285+AX285</f>
        <v>0</v>
      </c>
      <c r="BD285" s="34">
        <f>H285/(100-BE285)*100</f>
        <v>0</v>
      </c>
      <c r="BE285" s="34">
        <v>0</v>
      </c>
      <c r="BF285" s="34">
        <f>285</f>
        <v>285</v>
      </c>
      <c r="BH285" s="18">
        <f>G285*AO285</f>
        <v>0</v>
      </c>
      <c r="BI285" s="18">
        <f>G285*AP285</f>
        <v>0</v>
      </c>
      <c r="BJ285" s="18">
        <f>G285*H285</f>
        <v>0</v>
      </c>
    </row>
    <row r="286" spans="1:62" x14ac:dyDescent="0.2">
      <c r="C286" s="131" t="s">
        <v>941</v>
      </c>
      <c r="D286" s="132"/>
      <c r="E286" s="132"/>
      <c r="H286" s="80"/>
    </row>
    <row r="287" spans="1:62" x14ac:dyDescent="0.2">
      <c r="A287" s="5" t="s">
        <v>233</v>
      </c>
      <c r="B287" s="5" t="s">
        <v>563</v>
      </c>
      <c r="C287" s="135" t="s">
        <v>942</v>
      </c>
      <c r="D287" s="136"/>
      <c r="E287" s="136"/>
      <c r="F287" s="5" t="s">
        <v>1099</v>
      </c>
      <c r="G287" s="18">
        <v>2</v>
      </c>
      <c r="H287" s="79">
        <v>0</v>
      </c>
      <c r="I287" s="18">
        <f>G287*AO287</f>
        <v>0</v>
      </c>
      <c r="J287" s="18">
        <f>G287*AP287</f>
        <v>0</v>
      </c>
      <c r="K287" s="18">
        <f>G287*H287</f>
        <v>0</v>
      </c>
      <c r="L287" s="29" t="s">
        <v>1127</v>
      </c>
      <c r="Z287" s="34">
        <f>IF(AQ287="5",BJ287,0)</f>
        <v>0</v>
      </c>
      <c r="AB287" s="34">
        <f>IF(AQ287="1",BH287,0)</f>
        <v>0</v>
      </c>
      <c r="AC287" s="34">
        <f>IF(AQ287="1",BI287,0)</f>
        <v>0</v>
      </c>
      <c r="AD287" s="34">
        <f>IF(AQ287="7",BH287,0)</f>
        <v>0</v>
      </c>
      <c r="AE287" s="34">
        <f>IF(AQ287="7",BI287,0)</f>
        <v>0</v>
      </c>
      <c r="AF287" s="34">
        <f>IF(AQ287="2",BH287,0)</f>
        <v>0</v>
      </c>
      <c r="AG287" s="34">
        <f>IF(AQ287="2",BI287,0)</f>
        <v>0</v>
      </c>
      <c r="AH287" s="34">
        <f>IF(AQ287="0",BJ287,0)</f>
        <v>0</v>
      </c>
      <c r="AI287" s="28" t="s">
        <v>1137</v>
      </c>
      <c r="AJ287" s="18">
        <f>IF(AN287=0,K287,0)</f>
        <v>0</v>
      </c>
      <c r="AK287" s="18">
        <f>IF(AN287=15,K287,0)</f>
        <v>0</v>
      </c>
      <c r="AL287" s="18">
        <f>IF(AN287=21,K287,0)</f>
        <v>0</v>
      </c>
      <c r="AN287" s="34">
        <v>21</v>
      </c>
      <c r="AO287" s="34">
        <f>H287*0</f>
        <v>0</v>
      </c>
      <c r="AP287" s="34">
        <f>H287*(1-0)</f>
        <v>0</v>
      </c>
      <c r="AQ287" s="29" t="s">
        <v>13</v>
      </c>
      <c r="AV287" s="34">
        <f>AW287+AX287</f>
        <v>0</v>
      </c>
      <c r="AW287" s="34">
        <f>G287*AO287</f>
        <v>0</v>
      </c>
      <c r="AX287" s="34">
        <f>G287*AP287</f>
        <v>0</v>
      </c>
      <c r="AY287" s="35" t="s">
        <v>1157</v>
      </c>
      <c r="AZ287" s="35" t="s">
        <v>1172</v>
      </c>
      <c r="BA287" s="28" t="s">
        <v>1176</v>
      </c>
      <c r="BC287" s="34">
        <f>AW287+AX287</f>
        <v>0</v>
      </c>
      <c r="BD287" s="34">
        <f>H287/(100-BE287)*100</f>
        <v>0</v>
      </c>
      <c r="BE287" s="34">
        <v>0</v>
      </c>
      <c r="BF287" s="34">
        <f>287</f>
        <v>287</v>
      </c>
      <c r="BH287" s="18">
        <f>G287*AO287</f>
        <v>0</v>
      </c>
      <c r="BI287" s="18">
        <f>G287*AP287</f>
        <v>0</v>
      </c>
      <c r="BJ287" s="18">
        <f>G287*H287</f>
        <v>0</v>
      </c>
    </row>
    <row r="288" spans="1:62" x14ac:dyDescent="0.2">
      <c r="C288" s="131" t="s">
        <v>943</v>
      </c>
      <c r="D288" s="132"/>
      <c r="E288" s="132"/>
      <c r="H288" s="80"/>
    </row>
    <row r="289" spans="1:62" x14ac:dyDescent="0.2">
      <c r="A289" s="5" t="s">
        <v>234</v>
      </c>
      <c r="B289" s="5" t="s">
        <v>564</v>
      </c>
      <c r="C289" s="135" t="s">
        <v>944</v>
      </c>
      <c r="D289" s="136"/>
      <c r="E289" s="136"/>
      <c r="F289" s="5" t="s">
        <v>1099</v>
      </c>
      <c r="G289" s="18">
        <v>6</v>
      </c>
      <c r="H289" s="79">
        <v>0</v>
      </c>
      <c r="I289" s="18">
        <f>G289*AO289</f>
        <v>0</v>
      </c>
      <c r="J289" s="18">
        <f>G289*AP289</f>
        <v>0</v>
      </c>
      <c r="K289" s="18">
        <f>G289*H289</f>
        <v>0</v>
      </c>
      <c r="L289" s="29" t="s">
        <v>1127</v>
      </c>
      <c r="Z289" s="34">
        <f>IF(AQ289="5",BJ289,0)</f>
        <v>0</v>
      </c>
      <c r="AB289" s="34">
        <f>IF(AQ289="1",BH289,0)</f>
        <v>0</v>
      </c>
      <c r="AC289" s="34">
        <f>IF(AQ289="1",BI289,0)</f>
        <v>0</v>
      </c>
      <c r="AD289" s="34">
        <f>IF(AQ289="7",BH289,0)</f>
        <v>0</v>
      </c>
      <c r="AE289" s="34">
        <f>IF(AQ289="7",BI289,0)</f>
        <v>0</v>
      </c>
      <c r="AF289" s="34">
        <f>IF(AQ289="2",BH289,0)</f>
        <v>0</v>
      </c>
      <c r="AG289" s="34">
        <f>IF(AQ289="2",BI289,0)</f>
        <v>0</v>
      </c>
      <c r="AH289" s="34">
        <f>IF(AQ289="0",BJ289,0)</f>
        <v>0</v>
      </c>
      <c r="AI289" s="28" t="s">
        <v>1137</v>
      </c>
      <c r="AJ289" s="18">
        <f>IF(AN289=0,K289,0)</f>
        <v>0</v>
      </c>
      <c r="AK289" s="18">
        <f>IF(AN289=15,K289,0)</f>
        <v>0</v>
      </c>
      <c r="AL289" s="18">
        <f>IF(AN289=21,K289,0)</f>
        <v>0</v>
      </c>
      <c r="AN289" s="34">
        <v>21</v>
      </c>
      <c r="AO289" s="34">
        <f>H289*0</f>
        <v>0</v>
      </c>
      <c r="AP289" s="34">
        <f>H289*(1-0)</f>
        <v>0</v>
      </c>
      <c r="AQ289" s="29" t="s">
        <v>13</v>
      </c>
      <c r="AV289" s="34">
        <f>AW289+AX289</f>
        <v>0</v>
      </c>
      <c r="AW289" s="34">
        <f>G289*AO289</f>
        <v>0</v>
      </c>
      <c r="AX289" s="34">
        <f>G289*AP289</f>
        <v>0</v>
      </c>
      <c r="AY289" s="35" t="s">
        <v>1157</v>
      </c>
      <c r="AZ289" s="35" t="s">
        <v>1172</v>
      </c>
      <c r="BA289" s="28" t="s">
        <v>1176</v>
      </c>
      <c r="BC289" s="34">
        <f>AW289+AX289</f>
        <v>0</v>
      </c>
      <c r="BD289" s="34">
        <f>H289/(100-BE289)*100</f>
        <v>0</v>
      </c>
      <c r="BE289" s="34">
        <v>0</v>
      </c>
      <c r="BF289" s="34">
        <f>289</f>
        <v>289</v>
      </c>
      <c r="BH289" s="18">
        <f>G289*AO289</f>
        <v>0</v>
      </c>
      <c r="BI289" s="18">
        <f>G289*AP289</f>
        <v>0</v>
      </c>
      <c r="BJ289" s="18">
        <f>G289*H289</f>
        <v>0</v>
      </c>
    </row>
    <row r="290" spans="1:62" x14ac:dyDescent="0.2">
      <c r="C290" s="131" t="s">
        <v>945</v>
      </c>
      <c r="D290" s="132"/>
      <c r="E290" s="132"/>
      <c r="H290" s="80"/>
    </row>
    <row r="291" spans="1:62" x14ac:dyDescent="0.2">
      <c r="A291" s="5" t="s">
        <v>235</v>
      </c>
      <c r="B291" s="5" t="s">
        <v>565</v>
      </c>
      <c r="C291" s="135" t="s">
        <v>946</v>
      </c>
      <c r="D291" s="136"/>
      <c r="E291" s="136"/>
      <c r="F291" s="5" t="s">
        <v>1102</v>
      </c>
      <c r="G291" s="18">
        <v>1.6568000000000001</v>
      </c>
      <c r="H291" s="79">
        <v>0</v>
      </c>
      <c r="I291" s="18">
        <f>G291*AO291</f>
        <v>0</v>
      </c>
      <c r="J291" s="18">
        <f>G291*AP291</f>
        <v>0</v>
      </c>
      <c r="K291" s="18">
        <f>G291*H291</f>
        <v>0</v>
      </c>
      <c r="L291" s="29" t="s">
        <v>1127</v>
      </c>
      <c r="Z291" s="34">
        <f>IF(AQ291="5",BJ291,0)</f>
        <v>0</v>
      </c>
      <c r="AB291" s="34">
        <f>IF(AQ291="1",BH291,0)</f>
        <v>0</v>
      </c>
      <c r="AC291" s="34">
        <f>IF(AQ291="1",BI291,0)</f>
        <v>0</v>
      </c>
      <c r="AD291" s="34">
        <f>IF(AQ291="7",BH291,0)</f>
        <v>0</v>
      </c>
      <c r="AE291" s="34">
        <f>IF(AQ291="7",BI291,0)</f>
        <v>0</v>
      </c>
      <c r="AF291" s="34">
        <f>IF(AQ291="2",BH291,0)</f>
        <v>0</v>
      </c>
      <c r="AG291" s="34">
        <f>IF(AQ291="2",BI291,0)</f>
        <v>0</v>
      </c>
      <c r="AH291" s="34">
        <f>IF(AQ291="0",BJ291,0)</f>
        <v>0</v>
      </c>
      <c r="AI291" s="28" t="s">
        <v>1137</v>
      </c>
      <c r="AJ291" s="18">
        <f>IF(AN291=0,K291,0)</f>
        <v>0</v>
      </c>
      <c r="AK291" s="18">
        <f>IF(AN291=15,K291,0)</f>
        <v>0</v>
      </c>
      <c r="AL291" s="18">
        <f>IF(AN291=21,K291,0)</f>
        <v>0</v>
      </c>
      <c r="AN291" s="34">
        <v>21</v>
      </c>
      <c r="AO291" s="34">
        <f>H291*0</f>
        <v>0</v>
      </c>
      <c r="AP291" s="34">
        <f>H291*(1-0)</f>
        <v>0</v>
      </c>
      <c r="AQ291" s="29" t="s">
        <v>11</v>
      </c>
      <c r="AV291" s="34">
        <f>AW291+AX291</f>
        <v>0</v>
      </c>
      <c r="AW291" s="34">
        <f>G291*AO291</f>
        <v>0</v>
      </c>
      <c r="AX291" s="34">
        <f>G291*AP291</f>
        <v>0</v>
      </c>
      <c r="AY291" s="35" t="s">
        <v>1157</v>
      </c>
      <c r="AZ291" s="35" t="s">
        <v>1172</v>
      </c>
      <c r="BA291" s="28" t="s">
        <v>1176</v>
      </c>
      <c r="BC291" s="34">
        <f>AW291+AX291</f>
        <v>0</v>
      </c>
      <c r="BD291" s="34">
        <f>H291/(100-BE291)*100</f>
        <v>0</v>
      </c>
      <c r="BE291" s="34">
        <v>0</v>
      </c>
      <c r="BF291" s="34">
        <f>291</f>
        <v>291</v>
      </c>
      <c r="BH291" s="18">
        <f>G291*AO291</f>
        <v>0</v>
      </c>
      <c r="BI291" s="18">
        <f>G291*AP291</f>
        <v>0</v>
      </c>
      <c r="BJ291" s="18">
        <f>G291*H291</f>
        <v>0</v>
      </c>
    </row>
    <row r="292" spans="1:62" x14ac:dyDescent="0.2">
      <c r="A292" s="4"/>
      <c r="B292" s="14" t="s">
        <v>566</v>
      </c>
      <c r="C292" s="133" t="s">
        <v>947</v>
      </c>
      <c r="D292" s="134"/>
      <c r="E292" s="134"/>
      <c r="F292" s="4" t="s">
        <v>6</v>
      </c>
      <c r="G292" s="4" t="s">
        <v>6</v>
      </c>
      <c r="H292" s="4" t="s">
        <v>6</v>
      </c>
      <c r="I292" s="37">
        <f>SUM(I293:I311)</f>
        <v>0</v>
      </c>
      <c r="J292" s="37">
        <f>SUM(J293:J311)</f>
        <v>0</v>
      </c>
      <c r="K292" s="37">
        <f>SUM(K293:K311)</f>
        <v>0</v>
      </c>
      <c r="L292" s="28"/>
      <c r="AI292" s="28" t="s">
        <v>1137</v>
      </c>
      <c r="AS292" s="37">
        <f>SUM(AJ293:AJ311)</f>
        <v>0</v>
      </c>
      <c r="AT292" s="37">
        <f>SUM(AK293:AK311)</f>
        <v>0</v>
      </c>
      <c r="AU292" s="37">
        <f>SUM(AL293:AL311)</f>
        <v>0</v>
      </c>
    </row>
    <row r="293" spans="1:62" x14ac:dyDescent="0.2">
      <c r="A293" s="5" t="s">
        <v>236</v>
      </c>
      <c r="B293" s="5" t="s">
        <v>567</v>
      </c>
      <c r="C293" s="135" t="s">
        <v>948</v>
      </c>
      <c r="D293" s="136"/>
      <c r="E293" s="136"/>
      <c r="F293" s="5" t="s">
        <v>1099</v>
      </c>
      <c r="G293" s="18">
        <v>8</v>
      </c>
      <c r="H293" s="79">
        <v>0</v>
      </c>
      <c r="I293" s="18">
        <f>G293*AO293</f>
        <v>0</v>
      </c>
      <c r="J293" s="18">
        <f>G293*AP293</f>
        <v>0</v>
      </c>
      <c r="K293" s="18">
        <f>G293*H293</f>
        <v>0</v>
      </c>
      <c r="L293" s="29" t="s">
        <v>1127</v>
      </c>
      <c r="Z293" s="34">
        <f>IF(AQ293="5",BJ293,0)</f>
        <v>0</v>
      </c>
      <c r="AB293" s="34">
        <f>IF(AQ293="1",BH293,0)</f>
        <v>0</v>
      </c>
      <c r="AC293" s="34">
        <f>IF(AQ293="1",BI293,0)</f>
        <v>0</v>
      </c>
      <c r="AD293" s="34">
        <f>IF(AQ293="7",BH293,0)</f>
        <v>0</v>
      </c>
      <c r="AE293" s="34">
        <f>IF(AQ293="7",BI293,0)</f>
        <v>0</v>
      </c>
      <c r="AF293" s="34">
        <f>IF(AQ293="2",BH293,0)</f>
        <v>0</v>
      </c>
      <c r="AG293" s="34">
        <f>IF(AQ293="2",BI293,0)</f>
        <v>0</v>
      </c>
      <c r="AH293" s="34">
        <f>IF(AQ293="0",BJ293,0)</f>
        <v>0</v>
      </c>
      <c r="AI293" s="28" t="s">
        <v>1137</v>
      </c>
      <c r="AJ293" s="18">
        <f>IF(AN293=0,K293,0)</f>
        <v>0</v>
      </c>
      <c r="AK293" s="18">
        <f>IF(AN293=15,K293,0)</f>
        <v>0</v>
      </c>
      <c r="AL293" s="18">
        <f>IF(AN293=21,K293,0)</f>
        <v>0</v>
      </c>
      <c r="AN293" s="34">
        <v>21</v>
      </c>
      <c r="AO293" s="34">
        <f>H293*0.91</f>
        <v>0</v>
      </c>
      <c r="AP293" s="34">
        <f>H293*(1-0.91)</f>
        <v>0</v>
      </c>
      <c r="AQ293" s="29" t="s">
        <v>13</v>
      </c>
      <c r="AV293" s="34">
        <f>AW293+AX293</f>
        <v>0</v>
      </c>
      <c r="AW293" s="34">
        <f>G293*AO293</f>
        <v>0</v>
      </c>
      <c r="AX293" s="34">
        <f>G293*AP293</f>
        <v>0</v>
      </c>
      <c r="AY293" s="35" t="s">
        <v>1158</v>
      </c>
      <c r="AZ293" s="35" t="s">
        <v>1172</v>
      </c>
      <c r="BA293" s="28" t="s">
        <v>1176</v>
      </c>
      <c r="BC293" s="34">
        <f>AW293+AX293</f>
        <v>0</v>
      </c>
      <c r="BD293" s="34">
        <f>H293/(100-BE293)*100</f>
        <v>0</v>
      </c>
      <c r="BE293" s="34">
        <v>0</v>
      </c>
      <c r="BF293" s="34">
        <f>293</f>
        <v>293</v>
      </c>
      <c r="BH293" s="18">
        <f>G293*AO293</f>
        <v>0</v>
      </c>
      <c r="BI293" s="18">
        <f>G293*AP293</f>
        <v>0</v>
      </c>
      <c r="BJ293" s="18">
        <f>G293*H293</f>
        <v>0</v>
      </c>
    </row>
    <row r="294" spans="1:62" x14ac:dyDescent="0.2">
      <c r="C294" s="131" t="s">
        <v>704</v>
      </c>
      <c r="D294" s="132"/>
      <c r="E294" s="132"/>
      <c r="H294" s="80"/>
    </row>
    <row r="295" spans="1:62" x14ac:dyDescent="0.2">
      <c r="A295" s="5" t="s">
        <v>237</v>
      </c>
      <c r="B295" s="5" t="s">
        <v>568</v>
      </c>
      <c r="C295" s="135" t="s">
        <v>949</v>
      </c>
      <c r="D295" s="136"/>
      <c r="E295" s="136"/>
      <c r="F295" s="5" t="s">
        <v>1099</v>
      </c>
      <c r="G295" s="18">
        <v>16</v>
      </c>
      <c r="H295" s="79">
        <v>0</v>
      </c>
      <c r="I295" s="18">
        <f>G295*AO295</f>
        <v>0</v>
      </c>
      <c r="J295" s="18">
        <f>G295*AP295</f>
        <v>0</v>
      </c>
      <c r="K295" s="18">
        <f>G295*H295</f>
        <v>0</v>
      </c>
      <c r="L295" s="29" t="s">
        <v>1127</v>
      </c>
      <c r="Z295" s="34">
        <f>IF(AQ295="5",BJ295,0)</f>
        <v>0</v>
      </c>
      <c r="AB295" s="34">
        <f>IF(AQ295="1",BH295,0)</f>
        <v>0</v>
      </c>
      <c r="AC295" s="34">
        <f>IF(AQ295="1",BI295,0)</f>
        <v>0</v>
      </c>
      <c r="AD295" s="34">
        <f>IF(AQ295="7",BH295,0)</f>
        <v>0</v>
      </c>
      <c r="AE295" s="34">
        <f>IF(AQ295="7",BI295,0)</f>
        <v>0</v>
      </c>
      <c r="AF295" s="34">
        <f>IF(AQ295="2",BH295,0)</f>
        <v>0</v>
      </c>
      <c r="AG295" s="34">
        <f>IF(AQ295="2",BI295,0)</f>
        <v>0</v>
      </c>
      <c r="AH295" s="34">
        <f>IF(AQ295="0",BJ295,0)</f>
        <v>0</v>
      </c>
      <c r="AI295" s="28" t="s">
        <v>1137</v>
      </c>
      <c r="AJ295" s="18">
        <f>IF(AN295=0,K295,0)</f>
        <v>0</v>
      </c>
      <c r="AK295" s="18">
        <f>IF(AN295=15,K295,0)</f>
        <v>0</v>
      </c>
      <c r="AL295" s="18">
        <f>IF(AN295=21,K295,0)</f>
        <v>0</v>
      </c>
      <c r="AN295" s="34">
        <v>21</v>
      </c>
      <c r="AO295" s="34">
        <f>H295*0.91</f>
        <v>0</v>
      </c>
      <c r="AP295" s="34">
        <f>H295*(1-0.91)</f>
        <v>0</v>
      </c>
      <c r="AQ295" s="29" t="s">
        <v>13</v>
      </c>
      <c r="AV295" s="34">
        <f>AW295+AX295</f>
        <v>0</v>
      </c>
      <c r="AW295" s="34">
        <f>G295*AO295</f>
        <v>0</v>
      </c>
      <c r="AX295" s="34">
        <f>G295*AP295</f>
        <v>0</v>
      </c>
      <c r="AY295" s="35" t="s">
        <v>1158</v>
      </c>
      <c r="AZ295" s="35" t="s">
        <v>1172</v>
      </c>
      <c r="BA295" s="28" t="s">
        <v>1176</v>
      </c>
      <c r="BC295" s="34">
        <f>AW295+AX295</f>
        <v>0</v>
      </c>
      <c r="BD295" s="34">
        <f>H295/(100-BE295)*100</f>
        <v>0</v>
      </c>
      <c r="BE295" s="34">
        <v>0</v>
      </c>
      <c r="BF295" s="34">
        <f>295</f>
        <v>295</v>
      </c>
      <c r="BH295" s="18">
        <f>G295*AO295</f>
        <v>0</v>
      </c>
      <c r="BI295" s="18">
        <f>G295*AP295</f>
        <v>0</v>
      </c>
      <c r="BJ295" s="18">
        <f>G295*H295</f>
        <v>0</v>
      </c>
    </row>
    <row r="296" spans="1:62" x14ac:dyDescent="0.2">
      <c r="C296" s="131" t="s">
        <v>704</v>
      </c>
      <c r="D296" s="132"/>
      <c r="E296" s="132"/>
      <c r="H296" s="80"/>
    </row>
    <row r="297" spans="1:62" x14ac:dyDescent="0.2">
      <c r="A297" s="5" t="s">
        <v>238</v>
      </c>
      <c r="B297" s="5" t="s">
        <v>569</v>
      </c>
      <c r="C297" s="135" t="s">
        <v>950</v>
      </c>
      <c r="D297" s="136"/>
      <c r="E297" s="136"/>
      <c r="F297" s="5" t="s">
        <v>1099</v>
      </c>
      <c r="G297" s="18">
        <v>18</v>
      </c>
      <c r="H297" s="79">
        <v>0</v>
      </c>
      <c r="I297" s="18">
        <f>G297*AO297</f>
        <v>0</v>
      </c>
      <c r="J297" s="18">
        <f>G297*AP297</f>
        <v>0</v>
      </c>
      <c r="K297" s="18">
        <f>G297*H297</f>
        <v>0</v>
      </c>
      <c r="L297" s="29" t="s">
        <v>1127</v>
      </c>
      <c r="Z297" s="34">
        <f>IF(AQ297="5",BJ297,0)</f>
        <v>0</v>
      </c>
      <c r="AB297" s="34">
        <f>IF(AQ297="1",BH297,0)</f>
        <v>0</v>
      </c>
      <c r="AC297" s="34">
        <f>IF(AQ297="1",BI297,0)</f>
        <v>0</v>
      </c>
      <c r="AD297" s="34">
        <f>IF(AQ297="7",BH297,0)</f>
        <v>0</v>
      </c>
      <c r="AE297" s="34">
        <f>IF(AQ297="7",BI297,0)</f>
        <v>0</v>
      </c>
      <c r="AF297" s="34">
        <f>IF(AQ297="2",BH297,0)</f>
        <v>0</v>
      </c>
      <c r="AG297" s="34">
        <f>IF(AQ297="2",BI297,0)</f>
        <v>0</v>
      </c>
      <c r="AH297" s="34">
        <f>IF(AQ297="0",BJ297,0)</f>
        <v>0</v>
      </c>
      <c r="AI297" s="28" t="s">
        <v>1137</v>
      </c>
      <c r="AJ297" s="18">
        <f>IF(AN297=0,K297,0)</f>
        <v>0</v>
      </c>
      <c r="AK297" s="18">
        <f>IF(AN297=15,K297,0)</f>
        <v>0</v>
      </c>
      <c r="AL297" s="18">
        <f>IF(AN297=21,K297,0)</f>
        <v>0</v>
      </c>
      <c r="AN297" s="34">
        <v>21</v>
      </c>
      <c r="AO297" s="34">
        <f>H297*0.91</f>
        <v>0</v>
      </c>
      <c r="AP297" s="34">
        <f>H297*(1-0.91)</f>
        <v>0</v>
      </c>
      <c r="AQ297" s="29" t="s">
        <v>13</v>
      </c>
      <c r="AV297" s="34">
        <f>AW297+AX297</f>
        <v>0</v>
      </c>
      <c r="AW297" s="34">
        <f>G297*AO297</f>
        <v>0</v>
      </c>
      <c r="AX297" s="34">
        <f>G297*AP297</f>
        <v>0</v>
      </c>
      <c r="AY297" s="35" t="s">
        <v>1158</v>
      </c>
      <c r="AZ297" s="35" t="s">
        <v>1172</v>
      </c>
      <c r="BA297" s="28" t="s">
        <v>1176</v>
      </c>
      <c r="BC297" s="34">
        <f>AW297+AX297</f>
        <v>0</v>
      </c>
      <c r="BD297" s="34">
        <f>H297/(100-BE297)*100</f>
        <v>0</v>
      </c>
      <c r="BE297" s="34">
        <v>0</v>
      </c>
      <c r="BF297" s="34">
        <f>297</f>
        <v>297</v>
      </c>
      <c r="BH297" s="18">
        <f>G297*AO297</f>
        <v>0</v>
      </c>
      <c r="BI297" s="18">
        <f>G297*AP297</f>
        <v>0</v>
      </c>
      <c r="BJ297" s="18">
        <f>G297*H297</f>
        <v>0</v>
      </c>
    </row>
    <row r="298" spans="1:62" x14ac:dyDescent="0.2">
      <c r="C298" s="131" t="s">
        <v>704</v>
      </c>
      <c r="D298" s="132"/>
      <c r="E298" s="132"/>
      <c r="H298" s="80"/>
    </row>
    <row r="299" spans="1:62" x14ac:dyDescent="0.2">
      <c r="A299" s="5" t="s">
        <v>239</v>
      </c>
      <c r="B299" s="5" t="s">
        <v>570</v>
      </c>
      <c r="C299" s="135" t="s">
        <v>951</v>
      </c>
      <c r="D299" s="136"/>
      <c r="E299" s="136"/>
      <c r="F299" s="5" t="s">
        <v>1099</v>
      </c>
      <c r="G299" s="18">
        <v>6</v>
      </c>
      <c r="H299" s="79">
        <v>0</v>
      </c>
      <c r="I299" s="18">
        <f>G299*AO299</f>
        <v>0</v>
      </c>
      <c r="J299" s="18">
        <f>G299*AP299</f>
        <v>0</v>
      </c>
      <c r="K299" s="18">
        <f>G299*H299</f>
        <v>0</v>
      </c>
      <c r="L299" s="29" t="s">
        <v>1127</v>
      </c>
      <c r="Z299" s="34">
        <f>IF(AQ299="5",BJ299,0)</f>
        <v>0</v>
      </c>
      <c r="AB299" s="34">
        <f>IF(AQ299="1",BH299,0)</f>
        <v>0</v>
      </c>
      <c r="AC299" s="34">
        <f>IF(AQ299="1",BI299,0)</f>
        <v>0</v>
      </c>
      <c r="AD299" s="34">
        <f>IF(AQ299="7",BH299,0)</f>
        <v>0</v>
      </c>
      <c r="AE299" s="34">
        <f>IF(AQ299="7",BI299,0)</f>
        <v>0</v>
      </c>
      <c r="AF299" s="34">
        <f>IF(AQ299="2",BH299,0)</f>
        <v>0</v>
      </c>
      <c r="AG299" s="34">
        <f>IF(AQ299="2",BI299,0)</f>
        <v>0</v>
      </c>
      <c r="AH299" s="34">
        <f>IF(AQ299="0",BJ299,0)</f>
        <v>0</v>
      </c>
      <c r="AI299" s="28" t="s">
        <v>1137</v>
      </c>
      <c r="AJ299" s="18">
        <f>IF(AN299=0,K299,0)</f>
        <v>0</v>
      </c>
      <c r="AK299" s="18">
        <f>IF(AN299=15,K299,0)</f>
        <v>0</v>
      </c>
      <c r="AL299" s="18">
        <f>IF(AN299=21,K299,0)</f>
        <v>0</v>
      </c>
      <c r="AN299" s="34">
        <v>21</v>
      </c>
      <c r="AO299" s="34">
        <f>H299*0.91</f>
        <v>0</v>
      </c>
      <c r="AP299" s="34">
        <f>H299*(1-0.91)</f>
        <v>0</v>
      </c>
      <c r="AQ299" s="29" t="s">
        <v>13</v>
      </c>
      <c r="AV299" s="34">
        <f>AW299+AX299</f>
        <v>0</v>
      </c>
      <c r="AW299" s="34">
        <f>G299*AO299</f>
        <v>0</v>
      </c>
      <c r="AX299" s="34">
        <f>G299*AP299</f>
        <v>0</v>
      </c>
      <c r="AY299" s="35" t="s">
        <v>1158</v>
      </c>
      <c r="AZ299" s="35" t="s">
        <v>1172</v>
      </c>
      <c r="BA299" s="28" t="s">
        <v>1176</v>
      </c>
      <c r="BC299" s="34">
        <f>AW299+AX299</f>
        <v>0</v>
      </c>
      <c r="BD299" s="34">
        <f>H299/(100-BE299)*100</f>
        <v>0</v>
      </c>
      <c r="BE299" s="34">
        <v>0</v>
      </c>
      <c r="BF299" s="34">
        <f>299</f>
        <v>299</v>
      </c>
      <c r="BH299" s="18">
        <f>G299*AO299</f>
        <v>0</v>
      </c>
      <c r="BI299" s="18">
        <f>G299*AP299</f>
        <v>0</v>
      </c>
      <c r="BJ299" s="18">
        <f>G299*H299</f>
        <v>0</v>
      </c>
    </row>
    <row r="300" spans="1:62" x14ac:dyDescent="0.2">
      <c r="C300" s="131" t="s">
        <v>704</v>
      </c>
      <c r="D300" s="132"/>
      <c r="E300" s="132"/>
      <c r="H300" s="80"/>
    </row>
    <row r="301" spans="1:62" x14ac:dyDescent="0.2">
      <c r="A301" s="5" t="s">
        <v>240</v>
      </c>
      <c r="B301" s="5" t="s">
        <v>571</v>
      </c>
      <c r="C301" s="135" t="s">
        <v>952</v>
      </c>
      <c r="D301" s="136"/>
      <c r="E301" s="136"/>
      <c r="F301" s="5" t="s">
        <v>1099</v>
      </c>
      <c r="G301" s="18">
        <v>6</v>
      </c>
      <c r="H301" s="79">
        <v>0</v>
      </c>
      <c r="I301" s="18">
        <f>G301*AO301</f>
        <v>0</v>
      </c>
      <c r="J301" s="18">
        <f>G301*AP301</f>
        <v>0</v>
      </c>
      <c r="K301" s="18">
        <f>G301*H301</f>
        <v>0</v>
      </c>
      <c r="L301" s="29" t="s">
        <v>1127</v>
      </c>
      <c r="Z301" s="34">
        <f>IF(AQ301="5",BJ301,0)</f>
        <v>0</v>
      </c>
      <c r="AB301" s="34">
        <f>IF(AQ301="1",BH301,0)</f>
        <v>0</v>
      </c>
      <c r="AC301" s="34">
        <f>IF(AQ301="1",BI301,0)</f>
        <v>0</v>
      </c>
      <c r="AD301" s="34">
        <f>IF(AQ301="7",BH301,0)</f>
        <v>0</v>
      </c>
      <c r="AE301" s="34">
        <f>IF(AQ301="7",BI301,0)</f>
        <v>0</v>
      </c>
      <c r="AF301" s="34">
        <f>IF(AQ301="2",BH301,0)</f>
        <v>0</v>
      </c>
      <c r="AG301" s="34">
        <f>IF(AQ301="2",BI301,0)</f>
        <v>0</v>
      </c>
      <c r="AH301" s="34">
        <f>IF(AQ301="0",BJ301,0)</f>
        <v>0</v>
      </c>
      <c r="AI301" s="28" t="s">
        <v>1137</v>
      </c>
      <c r="AJ301" s="18">
        <f>IF(AN301=0,K301,0)</f>
        <v>0</v>
      </c>
      <c r="AK301" s="18">
        <f>IF(AN301=15,K301,0)</f>
        <v>0</v>
      </c>
      <c r="AL301" s="18">
        <f>IF(AN301=21,K301,0)</f>
        <v>0</v>
      </c>
      <c r="AN301" s="34">
        <v>21</v>
      </c>
      <c r="AO301" s="34">
        <f>H301*0.91</f>
        <v>0</v>
      </c>
      <c r="AP301" s="34">
        <f>H301*(1-0.91)</f>
        <v>0</v>
      </c>
      <c r="AQ301" s="29" t="s">
        <v>13</v>
      </c>
      <c r="AV301" s="34">
        <f>AW301+AX301</f>
        <v>0</v>
      </c>
      <c r="AW301" s="34">
        <f>G301*AO301</f>
        <v>0</v>
      </c>
      <c r="AX301" s="34">
        <f>G301*AP301</f>
        <v>0</v>
      </c>
      <c r="AY301" s="35" t="s">
        <v>1158</v>
      </c>
      <c r="AZ301" s="35" t="s">
        <v>1172</v>
      </c>
      <c r="BA301" s="28" t="s">
        <v>1176</v>
      </c>
      <c r="BC301" s="34">
        <f>AW301+AX301</f>
        <v>0</v>
      </c>
      <c r="BD301" s="34">
        <f>H301/(100-BE301)*100</f>
        <v>0</v>
      </c>
      <c r="BE301" s="34">
        <v>0</v>
      </c>
      <c r="BF301" s="34">
        <f>301</f>
        <v>301</v>
      </c>
      <c r="BH301" s="18">
        <f>G301*AO301</f>
        <v>0</v>
      </c>
      <c r="BI301" s="18">
        <f>G301*AP301</f>
        <v>0</v>
      </c>
      <c r="BJ301" s="18">
        <f>G301*H301</f>
        <v>0</v>
      </c>
    </row>
    <row r="302" spans="1:62" x14ac:dyDescent="0.2">
      <c r="C302" s="131" t="s">
        <v>704</v>
      </c>
      <c r="D302" s="132"/>
      <c r="E302" s="132"/>
      <c r="H302" s="80"/>
    </row>
    <row r="303" spans="1:62" x14ac:dyDescent="0.2">
      <c r="A303" s="5" t="s">
        <v>241</v>
      </c>
      <c r="B303" s="5" t="s">
        <v>572</v>
      </c>
      <c r="C303" s="135" t="s">
        <v>953</v>
      </c>
      <c r="D303" s="136"/>
      <c r="E303" s="136"/>
      <c r="F303" s="5" t="s">
        <v>1099</v>
      </c>
      <c r="G303" s="18">
        <v>2</v>
      </c>
      <c r="H303" s="79">
        <v>0</v>
      </c>
      <c r="I303" s="18">
        <f>G303*AO303</f>
        <v>0</v>
      </c>
      <c r="J303" s="18">
        <f>G303*AP303</f>
        <v>0</v>
      </c>
      <c r="K303" s="18">
        <f>G303*H303</f>
        <v>0</v>
      </c>
      <c r="L303" s="29" t="s">
        <v>1127</v>
      </c>
      <c r="Z303" s="34">
        <f>IF(AQ303="5",BJ303,0)</f>
        <v>0</v>
      </c>
      <c r="AB303" s="34">
        <f>IF(AQ303="1",BH303,0)</f>
        <v>0</v>
      </c>
      <c r="AC303" s="34">
        <f>IF(AQ303="1",BI303,0)</f>
        <v>0</v>
      </c>
      <c r="AD303" s="34">
        <f>IF(AQ303="7",BH303,0)</f>
        <v>0</v>
      </c>
      <c r="AE303" s="34">
        <f>IF(AQ303="7",BI303,0)</f>
        <v>0</v>
      </c>
      <c r="AF303" s="34">
        <f>IF(AQ303="2",BH303,0)</f>
        <v>0</v>
      </c>
      <c r="AG303" s="34">
        <f>IF(AQ303="2",BI303,0)</f>
        <v>0</v>
      </c>
      <c r="AH303" s="34">
        <f>IF(AQ303="0",BJ303,0)</f>
        <v>0</v>
      </c>
      <c r="AI303" s="28" t="s">
        <v>1137</v>
      </c>
      <c r="AJ303" s="18">
        <f>IF(AN303=0,K303,0)</f>
        <v>0</v>
      </c>
      <c r="AK303" s="18">
        <f>IF(AN303=15,K303,0)</f>
        <v>0</v>
      </c>
      <c r="AL303" s="18">
        <f>IF(AN303=21,K303,0)</f>
        <v>0</v>
      </c>
      <c r="AN303" s="34">
        <v>21</v>
      </c>
      <c r="AO303" s="34">
        <f>H303*0.91</f>
        <v>0</v>
      </c>
      <c r="AP303" s="34">
        <f>H303*(1-0.91)</f>
        <v>0</v>
      </c>
      <c r="AQ303" s="29" t="s">
        <v>13</v>
      </c>
      <c r="AV303" s="34">
        <f>AW303+AX303</f>
        <v>0</v>
      </c>
      <c r="AW303" s="34">
        <f>G303*AO303</f>
        <v>0</v>
      </c>
      <c r="AX303" s="34">
        <f>G303*AP303</f>
        <v>0</v>
      </c>
      <c r="AY303" s="35" t="s">
        <v>1158</v>
      </c>
      <c r="AZ303" s="35" t="s">
        <v>1172</v>
      </c>
      <c r="BA303" s="28" t="s">
        <v>1176</v>
      </c>
      <c r="BC303" s="34">
        <f>AW303+AX303</f>
        <v>0</v>
      </c>
      <c r="BD303" s="34">
        <f>H303/(100-BE303)*100</f>
        <v>0</v>
      </c>
      <c r="BE303" s="34">
        <v>0</v>
      </c>
      <c r="BF303" s="34">
        <f>303</f>
        <v>303</v>
      </c>
      <c r="BH303" s="18">
        <f>G303*AO303</f>
        <v>0</v>
      </c>
      <c r="BI303" s="18">
        <f>G303*AP303</f>
        <v>0</v>
      </c>
      <c r="BJ303" s="18">
        <f>G303*H303</f>
        <v>0</v>
      </c>
    </row>
    <row r="304" spans="1:62" x14ac:dyDescent="0.2">
      <c r="C304" s="131" t="s">
        <v>704</v>
      </c>
      <c r="D304" s="132"/>
      <c r="E304" s="132"/>
      <c r="H304" s="80"/>
    </row>
    <row r="305" spans="1:62" x14ac:dyDescent="0.2">
      <c r="A305" s="5" t="s">
        <v>242</v>
      </c>
      <c r="B305" s="5" t="s">
        <v>573</v>
      </c>
      <c r="C305" s="135" t="s">
        <v>954</v>
      </c>
      <c r="D305" s="136"/>
      <c r="E305" s="136"/>
      <c r="F305" s="5" t="s">
        <v>1099</v>
      </c>
      <c r="G305" s="18">
        <v>14</v>
      </c>
      <c r="H305" s="79">
        <v>0</v>
      </c>
      <c r="I305" s="18">
        <f>G305*AO305</f>
        <v>0</v>
      </c>
      <c r="J305" s="18">
        <f>G305*AP305</f>
        <v>0</v>
      </c>
      <c r="K305" s="18">
        <f>G305*H305</f>
        <v>0</v>
      </c>
      <c r="L305" s="29" t="s">
        <v>1127</v>
      </c>
      <c r="Z305" s="34">
        <f>IF(AQ305="5",BJ305,0)</f>
        <v>0</v>
      </c>
      <c r="AB305" s="34">
        <f>IF(AQ305="1",BH305,0)</f>
        <v>0</v>
      </c>
      <c r="AC305" s="34">
        <f>IF(AQ305="1",BI305,0)</f>
        <v>0</v>
      </c>
      <c r="AD305" s="34">
        <f>IF(AQ305="7",BH305,0)</f>
        <v>0</v>
      </c>
      <c r="AE305" s="34">
        <f>IF(AQ305="7",BI305,0)</f>
        <v>0</v>
      </c>
      <c r="AF305" s="34">
        <f>IF(AQ305="2",BH305,0)</f>
        <v>0</v>
      </c>
      <c r="AG305" s="34">
        <f>IF(AQ305="2",BI305,0)</f>
        <v>0</v>
      </c>
      <c r="AH305" s="34">
        <f>IF(AQ305="0",BJ305,0)</f>
        <v>0</v>
      </c>
      <c r="AI305" s="28" t="s">
        <v>1137</v>
      </c>
      <c r="AJ305" s="18">
        <f>IF(AN305=0,K305,0)</f>
        <v>0</v>
      </c>
      <c r="AK305" s="18">
        <f>IF(AN305=15,K305,0)</f>
        <v>0</v>
      </c>
      <c r="AL305" s="18">
        <f>IF(AN305=21,K305,0)</f>
        <v>0</v>
      </c>
      <c r="AN305" s="34">
        <v>21</v>
      </c>
      <c r="AO305" s="34">
        <f>H305*0.0785994397759104</f>
        <v>0</v>
      </c>
      <c r="AP305" s="34">
        <f>H305*(1-0.0785994397759104)</f>
        <v>0</v>
      </c>
      <c r="AQ305" s="29" t="s">
        <v>13</v>
      </c>
      <c r="AV305" s="34">
        <f>AW305+AX305</f>
        <v>0</v>
      </c>
      <c r="AW305" s="34">
        <f>G305*AO305</f>
        <v>0</v>
      </c>
      <c r="AX305" s="34">
        <f>G305*AP305</f>
        <v>0</v>
      </c>
      <c r="AY305" s="35" t="s">
        <v>1158</v>
      </c>
      <c r="AZ305" s="35" t="s">
        <v>1172</v>
      </c>
      <c r="BA305" s="28" t="s">
        <v>1176</v>
      </c>
      <c r="BC305" s="34">
        <f>AW305+AX305</f>
        <v>0</v>
      </c>
      <c r="BD305" s="34">
        <f>H305/(100-BE305)*100</f>
        <v>0</v>
      </c>
      <c r="BE305" s="34">
        <v>0</v>
      </c>
      <c r="BF305" s="34">
        <f>305</f>
        <v>305</v>
      </c>
      <c r="BH305" s="18">
        <f>G305*AO305</f>
        <v>0</v>
      </c>
      <c r="BI305" s="18">
        <f>G305*AP305</f>
        <v>0</v>
      </c>
      <c r="BJ305" s="18">
        <f>G305*H305</f>
        <v>0</v>
      </c>
    </row>
    <row r="306" spans="1:62" x14ac:dyDescent="0.2">
      <c r="C306" s="131" t="s">
        <v>704</v>
      </c>
      <c r="D306" s="132"/>
      <c r="E306" s="132"/>
      <c r="H306" s="80"/>
    </row>
    <row r="307" spans="1:62" x14ac:dyDescent="0.2">
      <c r="A307" s="5" t="s">
        <v>243</v>
      </c>
      <c r="B307" s="5" t="s">
        <v>574</v>
      </c>
      <c r="C307" s="135" t="s">
        <v>955</v>
      </c>
      <c r="D307" s="136"/>
      <c r="E307" s="136"/>
      <c r="F307" s="5" t="s">
        <v>1099</v>
      </c>
      <c r="G307" s="18">
        <v>4</v>
      </c>
      <c r="H307" s="79">
        <v>0</v>
      </c>
      <c r="I307" s="18">
        <f>G307*AO307</f>
        <v>0</v>
      </c>
      <c r="J307" s="18">
        <f>G307*AP307</f>
        <v>0</v>
      </c>
      <c r="K307" s="18">
        <f>G307*H307</f>
        <v>0</v>
      </c>
      <c r="L307" s="29" t="s">
        <v>1127</v>
      </c>
      <c r="Z307" s="34">
        <f>IF(AQ307="5",BJ307,0)</f>
        <v>0</v>
      </c>
      <c r="AB307" s="34">
        <f>IF(AQ307="1",BH307,0)</f>
        <v>0</v>
      </c>
      <c r="AC307" s="34">
        <f>IF(AQ307="1",BI307,0)</f>
        <v>0</v>
      </c>
      <c r="AD307" s="34">
        <f>IF(AQ307="7",BH307,0)</f>
        <v>0</v>
      </c>
      <c r="AE307" s="34">
        <f>IF(AQ307="7",BI307,0)</f>
        <v>0</v>
      </c>
      <c r="AF307" s="34">
        <f>IF(AQ307="2",BH307,0)</f>
        <v>0</v>
      </c>
      <c r="AG307" s="34">
        <f>IF(AQ307="2",BI307,0)</f>
        <v>0</v>
      </c>
      <c r="AH307" s="34">
        <f>IF(AQ307="0",BJ307,0)</f>
        <v>0</v>
      </c>
      <c r="AI307" s="28" t="s">
        <v>1137</v>
      </c>
      <c r="AJ307" s="18">
        <f>IF(AN307=0,K307,0)</f>
        <v>0</v>
      </c>
      <c r="AK307" s="18">
        <f>IF(AN307=15,K307,0)</f>
        <v>0</v>
      </c>
      <c r="AL307" s="18">
        <f>IF(AN307=21,K307,0)</f>
        <v>0</v>
      </c>
      <c r="AN307" s="34">
        <v>21</v>
      </c>
      <c r="AO307" s="34">
        <f>H307*0.89</f>
        <v>0</v>
      </c>
      <c r="AP307" s="34">
        <f>H307*(1-0.89)</f>
        <v>0</v>
      </c>
      <c r="AQ307" s="29" t="s">
        <v>13</v>
      </c>
      <c r="AV307" s="34">
        <f>AW307+AX307</f>
        <v>0</v>
      </c>
      <c r="AW307" s="34">
        <f>G307*AO307</f>
        <v>0</v>
      </c>
      <c r="AX307" s="34">
        <f>G307*AP307</f>
        <v>0</v>
      </c>
      <c r="AY307" s="35" t="s">
        <v>1158</v>
      </c>
      <c r="AZ307" s="35" t="s">
        <v>1172</v>
      </c>
      <c r="BA307" s="28" t="s">
        <v>1176</v>
      </c>
      <c r="BC307" s="34">
        <f>AW307+AX307</f>
        <v>0</v>
      </c>
      <c r="BD307" s="34">
        <f>H307/(100-BE307)*100</f>
        <v>0</v>
      </c>
      <c r="BE307" s="34">
        <v>0</v>
      </c>
      <c r="BF307" s="34">
        <f>307</f>
        <v>307</v>
      </c>
      <c r="BH307" s="18">
        <f>G307*AO307</f>
        <v>0</v>
      </c>
      <c r="BI307" s="18">
        <f>G307*AP307</f>
        <v>0</v>
      </c>
      <c r="BJ307" s="18">
        <f>G307*H307</f>
        <v>0</v>
      </c>
    </row>
    <row r="308" spans="1:62" x14ac:dyDescent="0.2">
      <c r="C308" s="131" t="s">
        <v>704</v>
      </c>
      <c r="D308" s="132"/>
      <c r="E308" s="132"/>
      <c r="H308" s="80"/>
    </row>
    <row r="309" spans="1:62" x14ac:dyDescent="0.2">
      <c r="A309" s="5" t="s">
        <v>244</v>
      </c>
      <c r="B309" s="5" t="s">
        <v>574</v>
      </c>
      <c r="C309" s="135" t="s">
        <v>956</v>
      </c>
      <c r="D309" s="136"/>
      <c r="E309" s="136"/>
      <c r="F309" s="5" t="s">
        <v>1099</v>
      </c>
      <c r="G309" s="18">
        <v>4</v>
      </c>
      <c r="H309" s="79">
        <v>0</v>
      </c>
      <c r="I309" s="18">
        <f>G309*AO309</f>
        <v>0</v>
      </c>
      <c r="J309" s="18">
        <f>G309*AP309</f>
        <v>0</v>
      </c>
      <c r="K309" s="18">
        <f>G309*H309</f>
        <v>0</v>
      </c>
      <c r="L309" s="29" t="s">
        <v>1127</v>
      </c>
      <c r="Z309" s="34">
        <f>IF(AQ309="5",BJ309,0)</f>
        <v>0</v>
      </c>
      <c r="AB309" s="34">
        <f>IF(AQ309="1",BH309,0)</f>
        <v>0</v>
      </c>
      <c r="AC309" s="34">
        <f>IF(AQ309="1",BI309,0)</f>
        <v>0</v>
      </c>
      <c r="AD309" s="34">
        <f>IF(AQ309="7",BH309,0)</f>
        <v>0</v>
      </c>
      <c r="AE309" s="34">
        <f>IF(AQ309="7",BI309,0)</f>
        <v>0</v>
      </c>
      <c r="AF309" s="34">
        <f>IF(AQ309="2",BH309,0)</f>
        <v>0</v>
      </c>
      <c r="AG309" s="34">
        <f>IF(AQ309="2",BI309,0)</f>
        <v>0</v>
      </c>
      <c r="AH309" s="34">
        <f>IF(AQ309="0",BJ309,0)</f>
        <v>0</v>
      </c>
      <c r="AI309" s="28" t="s">
        <v>1137</v>
      </c>
      <c r="AJ309" s="18">
        <f>IF(AN309=0,K309,0)</f>
        <v>0</v>
      </c>
      <c r="AK309" s="18">
        <f>IF(AN309=15,K309,0)</f>
        <v>0</v>
      </c>
      <c r="AL309" s="18">
        <f>IF(AN309=21,K309,0)</f>
        <v>0</v>
      </c>
      <c r="AN309" s="34">
        <v>21</v>
      </c>
      <c r="AO309" s="34">
        <f>H309*0.89</f>
        <v>0</v>
      </c>
      <c r="AP309" s="34">
        <f>H309*(1-0.89)</f>
        <v>0</v>
      </c>
      <c r="AQ309" s="29" t="s">
        <v>13</v>
      </c>
      <c r="AV309" s="34">
        <f>AW309+AX309</f>
        <v>0</v>
      </c>
      <c r="AW309" s="34">
        <f>G309*AO309</f>
        <v>0</v>
      </c>
      <c r="AX309" s="34">
        <f>G309*AP309</f>
        <v>0</v>
      </c>
      <c r="AY309" s="35" t="s">
        <v>1158</v>
      </c>
      <c r="AZ309" s="35" t="s">
        <v>1172</v>
      </c>
      <c r="BA309" s="28" t="s">
        <v>1176</v>
      </c>
      <c r="BC309" s="34">
        <f>AW309+AX309</f>
        <v>0</v>
      </c>
      <c r="BD309" s="34">
        <f>H309/(100-BE309)*100</f>
        <v>0</v>
      </c>
      <c r="BE309" s="34">
        <v>0</v>
      </c>
      <c r="BF309" s="34">
        <f>309</f>
        <v>309</v>
      </c>
      <c r="BH309" s="18">
        <f>G309*AO309</f>
        <v>0</v>
      </c>
      <c r="BI309" s="18">
        <f>G309*AP309</f>
        <v>0</v>
      </c>
      <c r="BJ309" s="18">
        <f>G309*H309</f>
        <v>0</v>
      </c>
    </row>
    <row r="310" spans="1:62" x14ac:dyDescent="0.2">
      <c r="C310" s="131" t="s">
        <v>704</v>
      </c>
      <c r="D310" s="132"/>
      <c r="E310" s="132"/>
      <c r="H310" s="80"/>
    </row>
    <row r="311" spans="1:62" x14ac:dyDescent="0.2">
      <c r="A311" s="5" t="s">
        <v>245</v>
      </c>
      <c r="B311" s="5" t="s">
        <v>575</v>
      </c>
      <c r="C311" s="135" t="s">
        <v>957</v>
      </c>
      <c r="D311" s="136"/>
      <c r="E311" s="136"/>
      <c r="F311" s="5" t="s">
        <v>1102</v>
      </c>
      <c r="G311" s="18">
        <v>0.27</v>
      </c>
      <c r="H311" s="79">
        <v>0</v>
      </c>
      <c r="I311" s="18">
        <f>G311*AO311</f>
        <v>0</v>
      </c>
      <c r="J311" s="18">
        <f>G311*AP311</f>
        <v>0</v>
      </c>
      <c r="K311" s="18">
        <f>G311*H311</f>
        <v>0</v>
      </c>
      <c r="L311" s="29" t="s">
        <v>1127</v>
      </c>
      <c r="Z311" s="34">
        <f>IF(AQ311="5",BJ311,0)</f>
        <v>0</v>
      </c>
      <c r="AB311" s="34">
        <f>IF(AQ311="1",BH311,0)</f>
        <v>0</v>
      </c>
      <c r="AC311" s="34">
        <f>IF(AQ311="1",BI311,0)</f>
        <v>0</v>
      </c>
      <c r="AD311" s="34">
        <f>IF(AQ311="7",BH311,0)</f>
        <v>0</v>
      </c>
      <c r="AE311" s="34">
        <f>IF(AQ311="7",BI311,0)</f>
        <v>0</v>
      </c>
      <c r="AF311" s="34">
        <f>IF(AQ311="2",BH311,0)</f>
        <v>0</v>
      </c>
      <c r="AG311" s="34">
        <f>IF(AQ311="2",BI311,0)</f>
        <v>0</v>
      </c>
      <c r="AH311" s="34">
        <f>IF(AQ311="0",BJ311,0)</f>
        <v>0</v>
      </c>
      <c r="AI311" s="28" t="s">
        <v>1137</v>
      </c>
      <c r="AJ311" s="18">
        <f>IF(AN311=0,K311,0)</f>
        <v>0</v>
      </c>
      <c r="AK311" s="18">
        <f>IF(AN311=15,K311,0)</f>
        <v>0</v>
      </c>
      <c r="AL311" s="18">
        <f>IF(AN311=21,K311,0)</f>
        <v>0</v>
      </c>
      <c r="AN311" s="34">
        <v>21</v>
      </c>
      <c r="AO311" s="34">
        <f>H311*0</f>
        <v>0</v>
      </c>
      <c r="AP311" s="34">
        <f>H311*(1-0)</f>
        <v>0</v>
      </c>
      <c r="AQ311" s="29" t="s">
        <v>11</v>
      </c>
      <c r="AV311" s="34">
        <f>AW311+AX311</f>
        <v>0</v>
      </c>
      <c r="AW311" s="34">
        <f>G311*AO311</f>
        <v>0</v>
      </c>
      <c r="AX311" s="34">
        <f>G311*AP311</f>
        <v>0</v>
      </c>
      <c r="AY311" s="35" t="s">
        <v>1158</v>
      </c>
      <c r="AZ311" s="35" t="s">
        <v>1172</v>
      </c>
      <c r="BA311" s="28" t="s">
        <v>1176</v>
      </c>
      <c r="BC311" s="34">
        <f>AW311+AX311</f>
        <v>0</v>
      </c>
      <c r="BD311" s="34">
        <f>H311/(100-BE311)*100</f>
        <v>0</v>
      </c>
      <c r="BE311" s="34">
        <v>0</v>
      </c>
      <c r="BF311" s="34">
        <f>311</f>
        <v>311</v>
      </c>
      <c r="BH311" s="18">
        <f>G311*AO311</f>
        <v>0</v>
      </c>
      <c r="BI311" s="18">
        <f>G311*AP311</f>
        <v>0</v>
      </c>
      <c r="BJ311" s="18">
        <f>G311*H311</f>
        <v>0</v>
      </c>
    </row>
    <row r="312" spans="1:62" x14ac:dyDescent="0.2">
      <c r="A312" s="4"/>
      <c r="B312" s="14" t="s">
        <v>576</v>
      </c>
      <c r="C312" s="133" t="s">
        <v>958</v>
      </c>
      <c r="D312" s="134"/>
      <c r="E312" s="134"/>
      <c r="F312" s="4" t="s">
        <v>6</v>
      </c>
      <c r="G312" s="4" t="s">
        <v>6</v>
      </c>
      <c r="H312" s="4" t="s">
        <v>6</v>
      </c>
      <c r="I312" s="37">
        <f>SUM(I313:I321)</f>
        <v>0</v>
      </c>
      <c r="J312" s="37">
        <f>SUM(J313:J321)</f>
        <v>0</v>
      </c>
      <c r="K312" s="37">
        <f>SUM(K313:K321)</f>
        <v>0</v>
      </c>
      <c r="L312" s="28"/>
      <c r="AI312" s="28" t="s">
        <v>1137</v>
      </c>
      <c r="AS312" s="37">
        <f>SUM(AJ313:AJ321)</f>
        <v>0</v>
      </c>
      <c r="AT312" s="37">
        <f>SUM(AK313:AK321)</f>
        <v>0</v>
      </c>
      <c r="AU312" s="37">
        <f>SUM(AL313:AL321)</f>
        <v>0</v>
      </c>
    </row>
    <row r="313" spans="1:62" x14ac:dyDescent="0.2">
      <c r="A313" s="5" t="s">
        <v>246</v>
      </c>
      <c r="B313" s="5" t="s">
        <v>577</v>
      </c>
      <c r="C313" s="135" t="s">
        <v>959</v>
      </c>
      <c r="D313" s="136"/>
      <c r="E313" s="136"/>
      <c r="F313" s="5" t="s">
        <v>1100</v>
      </c>
      <c r="G313" s="18">
        <v>105.46</v>
      </c>
      <c r="H313" s="79">
        <v>0</v>
      </c>
      <c r="I313" s="18">
        <f t="shared" ref="I313:I321" si="144">G313*AO313</f>
        <v>0</v>
      </c>
      <c r="J313" s="18">
        <f t="shared" ref="J313:J321" si="145">G313*AP313</f>
        <v>0</v>
      </c>
      <c r="K313" s="18">
        <f t="shared" ref="K313:K321" si="146">G313*H313</f>
        <v>0</v>
      </c>
      <c r="L313" s="29" t="s">
        <v>1127</v>
      </c>
      <c r="Z313" s="34">
        <f t="shared" ref="Z313:Z321" si="147">IF(AQ313="5",BJ313,0)</f>
        <v>0</v>
      </c>
      <c r="AB313" s="34">
        <f t="shared" ref="AB313:AB321" si="148">IF(AQ313="1",BH313,0)</f>
        <v>0</v>
      </c>
      <c r="AC313" s="34">
        <f t="shared" ref="AC313:AC321" si="149">IF(AQ313="1",BI313,0)</f>
        <v>0</v>
      </c>
      <c r="AD313" s="34">
        <f t="shared" ref="AD313:AD321" si="150">IF(AQ313="7",BH313,0)</f>
        <v>0</v>
      </c>
      <c r="AE313" s="34">
        <f t="shared" ref="AE313:AE321" si="151">IF(AQ313="7",BI313,0)</f>
        <v>0</v>
      </c>
      <c r="AF313" s="34">
        <f t="shared" ref="AF313:AF321" si="152">IF(AQ313="2",BH313,0)</f>
        <v>0</v>
      </c>
      <c r="AG313" s="34">
        <f t="shared" ref="AG313:AG321" si="153">IF(AQ313="2",BI313,0)</f>
        <v>0</v>
      </c>
      <c r="AH313" s="34">
        <f t="shared" ref="AH313:AH321" si="154">IF(AQ313="0",BJ313,0)</f>
        <v>0</v>
      </c>
      <c r="AI313" s="28" t="s">
        <v>1137</v>
      </c>
      <c r="AJ313" s="18">
        <f t="shared" ref="AJ313:AJ321" si="155">IF(AN313=0,K313,0)</f>
        <v>0</v>
      </c>
      <c r="AK313" s="18">
        <f t="shared" ref="AK313:AK321" si="156">IF(AN313=15,K313,0)</f>
        <v>0</v>
      </c>
      <c r="AL313" s="18">
        <f t="shared" ref="AL313:AL321" si="157">IF(AN313=21,K313,0)</f>
        <v>0</v>
      </c>
      <c r="AN313" s="34">
        <v>21</v>
      </c>
      <c r="AO313" s="34">
        <f>H313*0</f>
        <v>0</v>
      </c>
      <c r="AP313" s="34">
        <f>H313*(1-0)</f>
        <v>0</v>
      </c>
      <c r="AQ313" s="29" t="s">
        <v>13</v>
      </c>
      <c r="AV313" s="34">
        <f t="shared" ref="AV313:AV321" si="158">AW313+AX313</f>
        <v>0</v>
      </c>
      <c r="AW313" s="34">
        <f t="shared" ref="AW313:AW321" si="159">G313*AO313</f>
        <v>0</v>
      </c>
      <c r="AX313" s="34">
        <f t="shared" ref="AX313:AX321" si="160">G313*AP313</f>
        <v>0</v>
      </c>
      <c r="AY313" s="35" t="s">
        <v>1159</v>
      </c>
      <c r="AZ313" s="35" t="s">
        <v>1173</v>
      </c>
      <c r="BA313" s="28" t="s">
        <v>1176</v>
      </c>
      <c r="BC313" s="34">
        <f t="shared" ref="BC313:BC321" si="161">AW313+AX313</f>
        <v>0</v>
      </c>
      <c r="BD313" s="34">
        <f t="shared" ref="BD313:BD321" si="162">H313/(100-BE313)*100</f>
        <v>0</v>
      </c>
      <c r="BE313" s="34">
        <v>0</v>
      </c>
      <c r="BF313" s="34">
        <f>313</f>
        <v>313</v>
      </c>
      <c r="BH313" s="18">
        <f t="shared" ref="BH313:BH321" si="163">G313*AO313</f>
        <v>0</v>
      </c>
      <c r="BI313" s="18">
        <f t="shared" ref="BI313:BI321" si="164">G313*AP313</f>
        <v>0</v>
      </c>
      <c r="BJ313" s="18">
        <f t="shared" ref="BJ313:BJ321" si="165">G313*H313</f>
        <v>0</v>
      </c>
    </row>
    <row r="314" spans="1:62" x14ac:dyDescent="0.2">
      <c r="A314" s="5" t="s">
        <v>247</v>
      </c>
      <c r="B314" s="5" t="s">
        <v>578</v>
      </c>
      <c r="C314" s="135" t="s">
        <v>960</v>
      </c>
      <c r="D314" s="136"/>
      <c r="E314" s="136"/>
      <c r="F314" s="5" t="s">
        <v>1101</v>
      </c>
      <c r="G314" s="18">
        <v>142.41999999999999</v>
      </c>
      <c r="H314" s="79">
        <v>0</v>
      </c>
      <c r="I314" s="18">
        <f t="shared" si="144"/>
        <v>0</v>
      </c>
      <c r="J314" s="18">
        <f t="shared" si="145"/>
        <v>0</v>
      </c>
      <c r="K314" s="18">
        <f t="shared" si="146"/>
        <v>0</v>
      </c>
      <c r="L314" s="29" t="s">
        <v>1127</v>
      </c>
      <c r="Z314" s="34">
        <f t="shared" si="147"/>
        <v>0</v>
      </c>
      <c r="AB314" s="34">
        <f t="shared" si="148"/>
        <v>0</v>
      </c>
      <c r="AC314" s="34">
        <f t="shared" si="149"/>
        <v>0</v>
      </c>
      <c r="AD314" s="34">
        <f t="shared" si="150"/>
        <v>0</v>
      </c>
      <c r="AE314" s="34">
        <f t="shared" si="151"/>
        <v>0</v>
      </c>
      <c r="AF314" s="34">
        <f t="shared" si="152"/>
        <v>0</v>
      </c>
      <c r="AG314" s="34">
        <f t="shared" si="153"/>
        <v>0</v>
      </c>
      <c r="AH314" s="34">
        <f t="shared" si="154"/>
        <v>0</v>
      </c>
      <c r="AI314" s="28" t="s">
        <v>1137</v>
      </c>
      <c r="AJ314" s="18">
        <f t="shared" si="155"/>
        <v>0</v>
      </c>
      <c r="AK314" s="18">
        <f t="shared" si="156"/>
        <v>0</v>
      </c>
      <c r="AL314" s="18">
        <f t="shared" si="157"/>
        <v>0</v>
      </c>
      <c r="AN314" s="34">
        <v>21</v>
      </c>
      <c r="AO314" s="34">
        <f>H314*0</f>
        <v>0</v>
      </c>
      <c r="AP314" s="34">
        <f>H314*(1-0)</f>
        <v>0</v>
      </c>
      <c r="AQ314" s="29" t="s">
        <v>13</v>
      </c>
      <c r="AV314" s="34">
        <f t="shared" si="158"/>
        <v>0</v>
      </c>
      <c r="AW314" s="34">
        <f t="shared" si="159"/>
        <v>0</v>
      </c>
      <c r="AX314" s="34">
        <f t="shared" si="160"/>
        <v>0</v>
      </c>
      <c r="AY314" s="35" t="s">
        <v>1159</v>
      </c>
      <c r="AZ314" s="35" t="s">
        <v>1173</v>
      </c>
      <c r="BA314" s="28" t="s">
        <v>1176</v>
      </c>
      <c r="BC314" s="34">
        <f t="shared" si="161"/>
        <v>0</v>
      </c>
      <c r="BD314" s="34">
        <f t="shared" si="162"/>
        <v>0</v>
      </c>
      <c r="BE314" s="34">
        <v>0</v>
      </c>
      <c r="BF314" s="34">
        <f>314</f>
        <v>314</v>
      </c>
      <c r="BH314" s="18">
        <f t="shared" si="163"/>
        <v>0</v>
      </c>
      <c r="BI314" s="18">
        <f t="shared" si="164"/>
        <v>0</v>
      </c>
      <c r="BJ314" s="18">
        <f t="shared" si="165"/>
        <v>0</v>
      </c>
    </row>
    <row r="315" spans="1:62" x14ac:dyDescent="0.2">
      <c r="A315" s="5" t="s">
        <v>248</v>
      </c>
      <c r="B315" s="5" t="s">
        <v>579</v>
      </c>
      <c r="C315" s="135" t="s">
        <v>961</v>
      </c>
      <c r="D315" s="136"/>
      <c r="E315" s="136"/>
      <c r="F315" s="5" t="s">
        <v>1100</v>
      </c>
      <c r="G315" s="18">
        <v>105.46</v>
      </c>
      <c r="H315" s="79">
        <v>0</v>
      </c>
      <c r="I315" s="18">
        <f t="shared" si="144"/>
        <v>0</v>
      </c>
      <c r="J315" s="18">
        <f t="shared" si="145"/>
        <v>0</v>
      </c>
      <c r="K315" s="18">
        <f t="shared" si="146"/>
        <v>0</v>
      </c>
      <c r="L315" s="29" t="s">
        <v>1127</v>
      </c>
      <c r="Z315" s="34">
        <f t="shared" si="147"/>
        <v>0</v>
      </c>
      <c r="AB315" s="34">
        <f t="shared" si="148"/>
        <v>0</v>
      </c>
      <c r="AC315" s="34">
        <f t="shared" si="149"/>
        <v>0</v>
      </c>
      <c r="AD315" s="34">
        <f t="shared" si="150"/>
        <v>0</v>
      </c>
      <c r="AE315" s="34">
        <f t="shared" si="151"/>
        <v>0</v>
      </c>
      <c r="AF315" s="34">
        <f t="shared" si="152"/>
        <v>0</v>
      </c>
      <c r="AG315" s="34">
        <f t="shared" si="153"/>
        <v>0</v>
      </c>
      <c r="AH315" s="34">
        <f t="shared" si="154"/>
        <v>0</v>
      </c>
      <c r="AI315" s="28" t="s">
        <v>1137</v>
      </c>
      <c r="AJ315" s="18">
        <f t="shared" si="155"/>
        <v>0</v>
      </c>
      <c r="AK315" s="18">
        <f t="shared" si="156"/>
        <v>0</v>
      </c>
      <c r="AL315" s="18">
        <f t="shared" si="157"/>
        <v>0</v>
      </c>
      <c r="AN315" s="34">
        <v>21</v>
      </c>
      <c r="AO315" s="34">
        <f>H315*0.466666666666667</f>
        <v>0</v>
      </c>
      <c r="AP315" s="34">
        <f>H315*(1-0.466666666666667)</f>
        <v>0</v>
      </c>
      <c r="AQ315" s="29" t="s">
        <v>13</v>
      </c>
      <c r="AV315" s="34">
        <f t="shared" si="158"/>
        <v>0</v>
      </c>
      <c r="AW315" s="34">
        <f t="shared" si="159"/>
        <v>0</v>
      </c>
      <c r="AX315" s="34">
        <f t="shared" si="160"/>
        <v>0</v>
      </c>
      <c r="AY315" s="35" t="s">
        <v>1159</v>
      </c>
      <c r="AZ315" s="35" t="s">
        <v>1173</v>
      </c>
      <c r="BA315" s="28" t="s">
        <v>1176</v>
      </c>
      <c r="BC315" s="34">
        <f t="shared" si="161"/>
        <v>0</v>
      </c>
      <c r="BD315" s="34">
        <f t="shared" si="162"/>
        <v>0</v>
      </c>
      <c r="BE315" s="34">
        <v>0</v>
      </c>
      <c r="BF315" s="34">
        <f>315</f>
        <v>315</v>
      </c>
      <c r="BH315" s="18">
        <f t="shared" si="163"/>
        <v>0</v>
      </c>
      <c r="BI315" s="18">
        <f t="shared" si="164"/>
        <v>0</v>
      </c>
      <c r="BJ315" s="18">
        <f t="shared" si="165"/>
        <v>0</v>
      </c>
    </row>
    <row r="316" spans="1:62" x14ac:dyDescent="0.2">
      <c r="A316" s="5" t="s">
        <v>249</v>
      </c>
      <c r="B316" s="5" t="s">
        <v>580</v>
      </c>
      <c r="C316" s="135" t="s">
        <v>962</v>
      </c>
      <c r="D316" s="136"/>
      <c r="E316" s="136"/>
      <c r="F316" s="5" t="s">
        <v>1100</v>
      </c>
      <c r="G316" s="18">
        <v>105.46</v>
      </c>
      <c r="H316" s="79">
        <v>0</v>
      </c>
      <c r="I316" s="18">
        <f t="shared" si="144"/>
        <v>0</v>
      </c>
      <c r="J316" s="18">
        <f t="shared" si="145"/>
        <v>0</v>
      </c>
      <c r="K316" s="18">
        <f t="shared" si="146"/>
        <v>0</v>
      </c>
      <c r="L316" s="29" t="s">
        <v>1127</v>
      </c>
      <c r="Z316" s="34">
        <f t="shared" si="147"/>
        <v>0</v>
      </c>
      <c r="AB316" s="34">
        <f t="shared" si="148"/>
        <v>0</v>
      </c>
      <c r="AC316" s="34">
        <f t="shared" si="149"/>
        <v>0</v>
      </c>
      <c r="AD316" s="34">
        <f t="shared" si="150"/>
        <v>0</v>
      </c>
      <c r="AE316" s="34">
        <f t="shared" si="151"/>
        <v>0</v>
      </c>
      <c r="AF316" s="34">
        <f t="shared" si="152"/>
        <v>0</v>
      </c>
      <c r="AG316" s="34">
        <f t="shared" si="153"/>
        <v>0</v>
      </c>
      <c r="AH316" s="34">
        <f t="shared" si="154"/>
        <v>0</v>
      </c>
      <c r="AI316" s="28" t="s">
        <v>1137</v>
      </c>
      <c r="AJ316" s="18">
        <f t="shared" si="155"/>
        <v>0</v>
      </c>
      <c r="AK316" s="18">
        <f t="shared" si="156"/>
        <v>0</v>
      </c>
      <c r="AL316" s="18">
        <f t="shared" si="157"/>
        <v>0</v>
      </c>
      <c r="AN316" s="34">
        <v>21</v>
      </c>
      <c r="AO316" s="34">
        <f>H316*0.173321976149915</f>
        <v>0</v>
      </c>
      <c r="AP316" s="34">
        <f>H316*(1-0.173321976149915)</f>
        <v>0</v>
      </c>
      <c r="AQ316" s="29" t="s">
        <v>13</v>
      </c>
      <c r="AV316" s="34">
        <f t="shared" si="158"/>
        <v>0</v>
      </c>
      <c r="AW316" s="34">
        <f t="shared" si="159"/>
        <v>0</v>
      </c>
      <c r="AX316" s="34">
        <f t="shared" si="160"/>
        <v>0</v>
      </c>
      <c r="AY316" s="35" t="s">
        <v>1159</v>
      </c>
      <c r="AZ316" s="35" t="s">
        <v>1173</v>
      </c>
      <c r="BA316" s="28" t="s">
        <v>1176</v>
      </c>
      <c r="BC316" s="34">
        <f t="shared" si="161"/>
        <v>0</v>
      </c>
      <c r="BD316" s="34">
        <f t="shared" si="162"/>
        <v>0</v>
      </c>
      <c r="BE316" s="34">
        <v>0</v>
      </c>
      <c r="BF316" s="34">
        <f>316</f>
        <v>316</v>
      </c>
      <c r="BH316" s="18">
        <f t="shared" si="163"/>
        <v>0</v>
      </c>
      <c r="BI316" s="18">
        <f t="shared" si="164"/>
        <v>0</v>
      </c>
      <c r="BJ316" s="18">
        <f t="shared" si="165"/>
        <v>0</v>
      </c>
    </row>
    <row r="317" spans="1:62" x14ac:dyDescent="0.2">
      <c r="A317" s="6" t="s">
        <v>250</v>
      </c>
      <c r="B317" s="6" t="s">
        <v>581</v>
      </c>
      <c r="C317" s="148" t="s">
        <v>963</v>
      </c>
      <c r="D317" s="149"/>
      <c r="E317" s="149"/>
      <c r="F317" s="6" t="s">
        <v>1100</v>
      </c>
      <c r="G317" s="19">
        <v>110.733</v>
      </c>
      <c r="H317" s="81">
        <v>0</v>
      </c>
      <c r="I317" s="19">
        <f t="shared" si="144"/>
        <v>0</v>
      </c>
      <c r="J317" s="19">
        <f t="shared" si="145"/>
        <v>0</v>
      </c>
      <c r="K317" s="19">
        <f t="shared" si="146"/>
        <v>0</v>
      </c>
      <c r="L317" s="30" t="s">
        <v>1127</v>
      </c>
      <c r="Z317" s="34">
        <f t="shared" si="147"/>
        <v>0</v>
      </c>
      <c r="AB317" s="34">
        <f t="shared" si="148"/>
        <v>0</v>
      </c>
      <c r="AC317" s="34">
        <f t="shared" si="149"/>
        <v>0</v>
      </c>
      <c r="AD317" s="34">
        <f t="shared" si="150"/>
        <v>0</v>
      </c>
      <c r="AE317" s="34">
        <f t="shared" si="151"/>
        <v>0</v>
      </c>
      <c r="AF317" s="34">
        <f t="shared" si="152"/>
        <v>0</v>
      </c>
      <c r="AG317" s="34">
        <f t="shared" si="153"/>
        <v>0</v>
      </c>
      <c r="AH317" s="34">
        <f t="shared" si="154"/>
        <v>0</v>
      </c>
      <c r="AI317" s="28" t="s">
        <v>1137</v>
      </c>
      <c r="AJ317" s="19">
        <f t="shared" si="155"/>
        <v>0</v>
      </c>
      <c r="AK317" s="19">
        <f t="shared" si="156"/>
        <v>0</v>
      </c>
      <c r="AL317" s="19">
        <f t="shared" si="157"/>
        <v>0</v>
      </c>
      <c r="AN317" s="34">
        <v>21</v>
      </c>
      <c r="AO317" s="34">
        <f>H317*1</f>
        <v>0</v>
      </c>
      <c r="AP317" s="34">
        <f>H317*(1-1)</f>
        <v>0</v>
      </c>
      <c r="AQ317" s="30" t="s">
        <v>13</v>
      </c>
      <c r="AV317" s="34">
        <f t="shared" si="158"/>
        <v>0</v>
      </c>
      <c r="AW317" s="34">
        <f t="shared" si="159"/>
        <v>0</v>
      </c>
      <c r="AX317" s="34">
        <f t="shared" si="160"/>
        <v>0</v>
      </c>
      <c r="AY317" s="35" t="s">
        <v>1159</v>
      </c>
      <c r="AZ317" s="35" t="s">
        <v>1173</v>
      </c>
      <c r="BA317" s="28" t="s">
        <v>1176</v>
      </c>
      <c r="BC317" s="34">
        <f t="shared" si="161"/>
        <v>0</v>
      </c>
      <c r="BD317" s="34">
        <f t="shared" si="162"/>
        <v>0</v>
      </c>
      <c r="BE317" s="34">
        <v>0</v>
      </c>
      <c r="BF317" s="34">
        <f>317</f>
        <v>317</v>
      </c>
      <c r="BH317" s="19">
        <f t="shared" si="163"/>
        <v>0</v>
      </c>
      <c r="BI317" s="19">
        <f t="shared" si="164"/>
        <v>0</v>
      </c>
      <c r="BJ317" s="19">
        <f t="shared" si="165"/>
        <v>0</v>
      </c>
    </row>
    <row r="318" spans="1:62" x14ac:dyDescent="0.2">
      <c r="A318" s="5" t="s">
        <v>251</v>
      </c>
      <c r="B318" s="5" t="s">
        <v>582</v>
      </c>
      <c r="C318" s="135" t="s">
        <v>964</v>
      </c>
      <c r="D318" s="136"/>
      <c r="E318" s="136"/>
      <c r="F318" s="5" t="s">
        <v>1101</v>
      </c>
      <c r="G318" s="18">
        <v>142.41999999999999</v>
      </c>
      <c r="H318" s="79">
        <v>0</v>
      </c>
      <c r="I318" s="18">
        <f t="shared" si="144"/>
        <v>0</v>
      </c>
      <c r="J318" s="18">
        <f t="shared" si="145"/>
        <v>0</v>
      </c>
      <c r="K318" s="18">
        <f t="shared" si="146"/>
        <v>0</v>
      </c>
      <c r="L318" s="29" t="s">
        <v>1127</v>
      </c>
      <c r="Z318" s="34">
        <f t="shared" si="147"/>
        <v>0</v>
      </c>
      <c r="AB318" s="34">
        <f t="shared" si="148"/>
        <v>0</v>
      </c>
      <c r="AC318" s="34">
        <f t="shared" si="149"/>
        <v>0</v>
      </c>
      <c r="AD318" s="34">
        <f t="shared" si="150"/>
        <v>0</v>
      </c>
      <c r="AE318" s="34">
        <f t="shared" si="151"/>
        <v>0</v>
      </c>
      <c r="AF318" s="34">
        <f t="shared" si="152"/>
        <v>0</v>
      </c>
      <c r="AG318" s="34">
        <f t="shared" si="153"/>
        <v>0</v>
      </c>
      <c r="AH318" s="34">
        <f t="shared" si="154"/>
        <v>0</v>
      </c>
      <c r="AI318" s="28" t="s">
        <v>1137</v>
      </c>
      <c r="AJ318" s="18">
        <f t="shared" si="155"/>
        <v>0</v>
      </c>
      <c r="AK318" s="18">
        <f t="shared" si="156"/>
        <v>0</v>
      </c>
      <c r="AL318" s="18">
        <f t="shared" si="157"/>
        <v>0</v>
      </c>
      <c r="AN318" s="34">
        <v>21</v>
      </c>
      <c r="AO318" s="34">
        <f>H318*0.625798045602606</f>
        <v>0</v>
      </c>
      <c r="AP318" s="34">
        <f>H318*(1-0.625798045602606)</f>
        <v>0</v>
      </c>
      <c r="AQ318" s="29" t="s">
        <v>13</v>
      </c>
      <c r="AV318" s="34">
        <f t="shared" si="158"/>
        <v>0</v>
      </c>
      <c r="AW318" s="34">
        <f t="shared" si="159"/>
        <v>0</v>
      </c>
      <c r="AX318" s="34">
        <f t="shared" si="160"/>
        <v>0</v>
      </c>
      <c r="AY318" s="35" t="s">
        <v>1159</v>
      </c>
      <c r="AZ318" s="35" t="s">
        <v>1173</v>
      </c>
      <c r="BA318" s="28" t="s">
        <v>1176</v>
      </c>
      <c r="BC318" s="34">
        <f t="shared" si="161"/>
        <v>0</v>
      </c>
      <c r="BD318" s="34">
        <f t="shared" si="162"/>
        <v>0</v>
      </c>
      <c r="BE318" s="34">
        <v>0</v>
      </c>
      <c r="BF318" s="34">
        <f>318</f>
        <v>318</v>
      </c>
      <c r="BH318" s="18">
        <f t="shared" si="163"/>
        <v>0</v>
      </c>
      <c r="BI318" s="18">
        <f t="shared" si="164"/>
        <v>0</v>
      </c>
      <c r="BJ318" s="18">
        <f t="shared" si="165"/>
        <v>0</v>
      </c>
    </row>
    <row r="319" spans="1:62" x14ac:dyDescent="0.2">
      <c r="A319" s="5" t="s">
        <v>252</v>
      </c>
      <c r="B319" s="5" t="s">
        <v>583</v>
      </c>
      <c r="C319" s="135" t="s">
        <v>965</v>
      </c>
      <c r="D319" s="136"/>
      <c r="E319" s="136"/>
      <c r="F319" s="5" t="s">
        <v>1100</v>
      </c>
      <c r="G319" s="18">
        <v>17.04</v>
      </c>
      <c r="H319" s="79">
        <v>0</v>
      </c>
      <c r="I319" s="18">
        <f t="shared" si="144"/>
        <v>0</v>
      </c>
      <c r="J319" s="18">
        <f t="shared" si="145"/>
        <v>0</v>
      </c>
      <c r="K319" s="18">
        <f t="shared" si="146"/>
        <v>0</v>
      </c>
      <c r="L319" s="29" t="s">
        <v>1127</v>
      </c>
      <c r="Z319" s="34">
        <f t="shared" si="147"/>
        <v>0</v>
      </c>
      <c r="AB319" s="34">
        <f t="shared" si="148"/>
        <v>0</v>
      </c>
      <c r="AC319" s="34">
        <f t="shared" si="149"/>
        <v>0</v>
      </c>
      <c r="AD319" s="34">
        <f t="shared" si="150"/>
        <v>0</v>
      </c>
      <c r="AE319" s="34">
        <f t="shared" si="151"/>
        <v>0</v>
      </c>
      <c r="AF319" s="34">
        <f t="shared" si="152"/>
        <v>0</v>
      </c>
      <c r="AG319" s="34">
        <f t="shared" si="153"/>
        <v>0</v>
      </c>
      <c r="AH319" s="34">
        <f t="shared" si="154"/>
        <v>0</v>
      </c>
      <c r="AI319" s="28" t="s">
        <v>1137</v>
      </c>
      <c r="AJ319" s="18">
        <f t="shared" si="155"/>
        <v>0</v>
      </c>
      <c r="AK319" s="18">
        <f t="shared" si="156"/>
        <v>0</v>
      </c>
      <c r="AL319" s="18">
        <f t="shared" si="157"/>
        <v>0</v>
      </c>
      <c r="AN319" s="34">
        <v>21</v>
      </c>
      <c r="AO319" s="34">
        <f>H319*0</f>
        <v>0</v>
      </c>
      <c r="AP319" s="34">
        <f>H319*(1-0)</f>
        <v>0</v>
      </c>
      <c r="AQ319" s="29" t="s">
        <v>13</v>
      </c>
      <c r="AV319" s="34">
        <f t="shared" si="158"/>
        <v>0</v>
      </c>
      <c r="AW319" s="34">
        <f t="shared" si="159"/>
        <v>0</v>
      </c>
      <c r="AX319" s="34">
        <f t="shared" si="160"/>
        <v>0</v>
      </c>
      <c r="AY319" s="35" t="s">
        <v>1159</v>
      </c>
      <c r="AZ319" s="35" t="s">
        <v>1173</v>
      </c>
      <c r="BA319" s="28" t="s">
        <v>1176</v>
      </c>
      <c r="BC319" s="34">
        <f t="shared" si="161"/>
        <v>0</v>
      </c>
      <c r="BD319" s="34">
        <f t="shared" si="162"/>
        <v>0</v>
      </c>
      <c r="BE319" s="34">
        <v>0</v>
      </c>
      <c r="BF319" s="34">
        <f>319</f>
        <v>319</v>
      </c>
      <c r="BH319" s="18">
        <f t="shared" si="163"/>
        <v>0</v>
      </c>
      <c r="BI319" s="18">
        <f t="shared" si="164"/>
        <v>0</v>
      </c>
      <c r="BJ319" s="18">
        <f t="shared" si="165"/>
        <v>0</v>
      </c>
    </row>
    <row r="320" spans="1:62" x14ac:dyDescent="0.2">
      <c r="A320" s="5" t="s">
        <v>253</v>
      </c>
      <c r="B320" s="5" t="s">
        <v>584</v>
      </c>
      <c r="C320" s="135" t="s">
        <v>966</v>
      </c>
      <c r="D320" s="136"/>
      <c r="E320" s="136"/>
      <c r="F320" s="5" t="s">
        <v>1100</v>
      </c>
      <c r="G320" s="18">
        <v>105.46</v>
      </c>
      <c r="H320" s="79">
        <v>0</v>
      </c>
      <c r="I320" s="18">
        <f t="shared" si="144"/>
        <v>0</v>
      </c>
      <c r="J320" s="18">
        <f t="shared" si="145"/>
        <v>0</v>
      </c>
      <c r="K320" s="18">
        <f t="shared" si="146"/>
        <v>0</v>
      </c>
      <c r="L320" s="29" t="s">
        <v>1127</v>
      </c>
      <c r="Z320" s="34">
        <f t="shared" si="147"/>
        <v>0</v>
      </c>
      <c r="AB320" s="34">
        <f t="shared" si="148"/>
        <v>0</v>
      </c>
      <c r="AC320" s="34">
        <f t="shared" si="149"/>
        <v>0</v>
      </c>
      <c r="AD320" s="34">
        <f t="shared" si="150"/>
        <v>0</v>
      </c>
      <c r="AE320" s="34">
        <f t="shared" si="151"/>
        <v>0</v>
      </c>
      <c r="AF320" s="34">
        <f t="shared" si="152"/>
        <v>0</v>
      </c>
      <c r="AG320" s="34">
        <f t="shared" si="153"/>
        <v>0</v>
      </c>
      <c r="AH320" s="34">
        <f t="shared" si="154"/>
        <v>0</v>
      </c>
      <c r="AI320" s="28" t="s">
        <v>1137</v>
      </c>
      <c r="AJ320" s="18">
        <f t="shared" si="155"/>
        <v>0</v>
      </c>
      <c r="AK320" s="18">
        <f t="shared" si="156"/>
        <v>0</v>
      </c>
      <c r="AL320" s="18">
        <f t="shared" si="157"/>
        <v>0</v>
      </c>
      <c r="AN320" s="34">
        <v>21</v>
      </c>
      <c r="AO320" s="34">
        <f>H320*1</f>
        <v>0</v>
      </c>
      <c r="AP320" s="34">
        <f>H320*(1-1)</f>
        <v>0</v>
      </c>
      <c r="AQ320" s="29" t="s">
        <v>13</v>
      </c>
      <c r="AV320" s="34">
        <f t="shared" si="158"/>
        <v>0</v>
      </c>
      <c r="AW320" s="34">
        <f t="shared" si="159"/>
        <v>0</v>
      </c>
      <c r="AX320" s="34">
        <f t="shared" si="160"/>
        <v>0</v>
      </c>
      <c r="AY320" s="35" t="s">
        <v>1159</v>
      </c>
      <c r="AZ320" s="35" t="s">
        <v>1173</v>
      </c>
      <c r="BA320" s="28" t="s">
        <v>1176</v>
      </c>
      <c r="BC320" s="34">
        <f t="shared" si="161"/>
        <v>0</v>
      </c>
      <c r="BD320" s="34">
        <f t="shared" si="162"/>
        <v>0</v>
      </c>
      <c r="BE320" s="34">
        <v>0</v>
      </c>
      <c r="BF320" s="34">
        <f>320</f>
        <v>320</v>
      </c>
      <c r="BH320" s="18">
        <f t="shared" si="163"/>
        <v>0</v>
      </c>
      <c r="BI320" s="18">
        <f t="shared" si="164"/>
        <v>0</v>
      </c>
      <c r="BJ320" s="18">
        <f t="shared" si="165"/>
        <v>0</v>
      </c>
    </row>
    <row r="321" spans="1:62" x14ac:dyDescent="0.2">
      <c r="A321" s="5" t="s">
        <v>254</v>
      </c>
      <c r="B321" s="5" t="s">
        <v>585</v>
      </c>
      <c r="C321" s="135" t="s">
        <v>967</v>
      </c>
      <c r="D321" s="136"/>
      <c r="E321" s="136"/>
      <c r="F321" s="5" t="s">
        <v>1102</v>
      </c>
      <c r="G321" s="18">
        <v>2.7898000000000001</v>
      </c>
      <c r="H321" s="79">
        <v>0</v>
      </c>
      <c r="I321" s="18">
        <f t="shared" si="144"/>
        <v>0</v>
      </c>
      <c r="J321" s="18">
        <f t="shared" si="145"/>
        <v>0</v>
      </c>
      <c r="K321" s="18">
        <f t="shared" si="146"/>
        <v>0</v>
      </c>
      <c r="L321" s="29" t="s">
        <v>1127</v>
      </c>
      <c r="Z321" s="34">
        <f t="shared" si="147"/>
        <v>0</v>
      </c>
      <c r="AB321" s="34">
        <f t="shared" si="148"/>
        <v>0</v>
      </c>
      <c r="AC321" s="34">
        <f t="shared" si="149"/>
        <v>0</v>
      </c>
      <c r="AD321" s="34">
        <f t="shared" si="150"/>
        <v>0</v>
      </c>
      <c r="AE321" s="34">
        <f t="shared" si="151"/>
        <v>0</v>
      </c>
      <c r="AF321" s="34">
        <f t="shared" si="152"/>
        <v>0</v>
      </c>
      <c r="AG321" s="34">
        <f t="shared" si="153"/>
        <v>0</v>
      </c>
      <c r="AH321" s="34">
        <f t="shared" si="154"/>
        <v>0</v>
      </c>
      <c r="AI321" s="28" t="s">
        <v>1137</v>
      </c>
      <c r="AJ321" s="18">
        <f t="shared" si="155"/>
        <v>0</v>
      </c>
      <c r="AK321" s="18">
        <f t="shared" si="156"/>
        <v>0</v>
      </c>
      <c r="AL321" s="18">
        <f t="shared" si="157"/>
        <v>0</v>
      </c>
      <c r="AN321" s="34">
        <v>21</v>
      </c>
      <c r="AO321" s="34">
        <f>H321*0</f>
        <v>0</v>
      </c>
      <c r="AP321" s="34">
        <f>H321*(1-0)</f>
        <v>0</v>
      </c>
      <c r="AQ321" s="29" t="s">
        <v>11</v>
      </c>
      <c r="AV321" s="34">
        <f t="shared" si="158"/>
        <v>0</v>
      </c>
      <c r="AW321" s="34">
        <f t="shared" si="159"/>
        <v>0</v>
      </c>
      <c r="AX321" s="34">
        <f t="shared" si="160"/>
        <v>0</v>
      </c>
      <c r="AY321" s="35" t="s">
        <v>1159</v>
      </c>
      <c r="AZ321" s="35" t="s">
        <v>1173</v>
      </c>
      <c r="BA321" s="28" t="s">
        <v>1176</v>
      </c>
      <c r="BC321" s="34">
        <f t="shared" si="161"/>
        <v>0</v>
      </c>
      <c r="BD321" s="34">
        <f t="shared" si="162"/>
        <v>0</v>
      </c>
      <c r="BE321" s="34">
        <v>0</v>
      </c>
      <c r="BF321" s="34">
        <f>321</f>
        <v>321</v>
      </c>
      <c r="BH321" s="18">
        <f t="shared" si="163"/>
        <v>0</v>
      </c>
      <c r="BI321" s="18">
        <f t="shared" si="164"/>
        <v>0</v>
      </c>
      <c r="BJ321" s="18">
        <f t="shared" si="165"/>
        <v>0</v>
      </c>
    </row>
    <row r="322" spans="1:62" x14ac:dyDescent="0.2">
      <c r="A322" s="4"/>
      <c r="B322" s="14" t="s">
        <v>586</v>
      </c>
      <c r="C322" s="133" t="s">
        <v>968</v>
      </c>
      <c r="D322" s="134"/>
      <c r="E322" s="134"/>
      <c r="F322" s="4" t="s">
        <v>6</v>
      </c>
      <c r="G322" s="4" t="s">
        <v>6</v>
      </c>
      <c r="H322" s="4" t="s">
        <v>6</v>
      </c>
      <c r="I322" s="37">
        <f>SUM(I323:I340)</f>
        <v>0</v>
      </c>
      <c r="J322" s="37">
        <f>SUM(J323:J340)</f>
        <v>0</v>
      </c>
      <c r="K322" s="37">
        <f>SUM(K323:K340)</f>
        <v>0</v>
      </c>
      <c r="L322" s="28"/>
      <c r="AI322" s="28" t="s">
        <v>1137</v>
      </c>
      <c r="AS322" s="37">
        <f>SUM(AJ323:AJ340)</f>
        <v>0</v>
      </c>
      <c r="AT322" s="37">
        <f>SUM(AK323:AK340)</f>
        <v>0</v>
      </c>
      <c r="AU322" s="37">
        <f>SUM(AL323:AL340)</f>
        <v>0</v>
      </c>
    </row>
    <row r="323" spans="1:62" x14ac:dyDescent="0.2">
      <c r="A323" s="5" t="s">
        <v>255</v>
      </c>
      <c r="B323" s="5" t="s">
        <v>587</v>
      </c>
      <c r="C323" s="135" t="s">
        <v>969</v>
      </c>
      <c r="D323" s="136"/>
      <c r="E323" s="136"/>
      <c r="F323" s="5" t="s">
        <v>1100</v>
      </c>
      <c r="G323" s="18">
        <v>42.725999999999999</v>
      </c>
      <c r="H323" s="79">
        <v>0</v>
      </c>
      <c r="I323" s="18">
        <f t="shared" ref="I323:I335" si="166">G323*AO323</f>
        <v>0</v>
      </c>
      <c r="J323" s="18">
        <f t="shared" ref="J323:J335" si="167">G323*AP323</f>
        <v>0</v>
      </c>
      <c r="K323" s="18">
        <f t="shared" ref="K323:K335" si="168">G323*H323</f>
        <v>0</v>
      </c>
      <c r="L323" s="29" t="s">
        <v>1127</v>
      </c>
      <c r="Z323" s="34">
        <f t="shared" ref="Z323:Z335" si="169">IF(AQ323="5",BJ323,0)</f>
        <v>0</v>
      </c>
      <c r="AB323" s="34">
        <f t="shared" ref="AB323:AB335" si="170">IF(AQ323="1",BH323,0)</f>
        <v>0</v>
      </c>
      <c r="AC323" s="34">
        <f t="shared" ref="AC323:AC335" si="171">IF(AQ323="1",BI323,0)</f>
        <v>0</v>
      </c>
      <c r="AD323" s="34">
        <f t="shared" ref="AD323:AD335" si="172">IF(AQ323="7",BH323,0)</f>
        <v>0</v>
      </c>
      <c r="AE323" s="34">
        <f t="shared" ref="AE323:AE335" si="173">IF(AQ323="7",BI323,0)</f>
        <v>0</v>
      </c>
      <c r="AF323" s="34">
        <f t="shared" ref="AF323:AF335" si="174">IF(AQ323="2",BH323,0)</f>
        <v>0</v>
      </c>
      <c r="AG323" s="34">
        <f t="shared" ref="AG323:AG335" si="175">IF(AQ323="2",BI323,0)</f>
        <v>0</v>
      </c>
      <c r="AH323" s="34">
        <f t="shared" ref="AH323:AH335" si="176">IF(AQ323="0",BJ323,0)</f>
        <v>0</v>
      </c>
      <c r="AI323" s="28" t="s">
        <v>1137</v>
      </c>
      <c r="AJ323" s="18">
        <f t="shared" ref="AJ323:AJ335" si="177">IF(AN323=0,K323,0)</f>
        <v>0</v>
      </c>
      <c r="AK323" s="18">
        <f t="shared" ref="AK323:AK335" si="178">IF(AN323=15,K323,0)</f>
        <v>0</v>
      </c>
      <c r="AL323" s="18">
        <f t="shared" ref="AL323:AL335" si="179">IF(AN323=21,K323,0)</f>
        <v>0</v>
      </c>
      <c r="AN323" s="34">
        <v>21</v>
      </c>
      <c r="AO323" s="34">
        <f>H323*0</f>
        <v>0</v>
      </c>
      <c r="AP323" s="34">
        <f>H323*(1-0)</f>
        <v>0</v>
      </c>
      <c r="AQ323" s="29" t="s">
        <v>13</v>
      </c>
      <c r="AV323" s="34">
        <f t="shared" ref="AV323:AV335" si="180">AW323+AX323</f>
        <v>0</v>
      </c>
      <c r="AW323" s="34">
        <f t="shared" ref="AW323:AW335" si="181">G323*AO323</f>
        <v>0</v>
      </c>
      <c r="AX323" s="34">
        <f t="shared" ref="AX323:AX335" si="182">G323*AP323</f>
        <v>0</v>
      </c>
      <c r="AY323" s="35" t="s">
        <v>1160</v>
      </c>
      <c r="AZ323" s="35" t="s">
        <v>1174</v>
      </c>
      <c r="BA323" s="28" t="s">
        <v>1176</v>
      </c>
      <c r="BC323" s="34">
        <f t="shared" ref="BC323:BC335" si="183">AW323+AX323</f>
        <v>0</v>
      </c>
      <c r="BD323" s="34">
        <f t="shared" ref="BD323:BD335" si="184">H323/(100-BE323)*100</f>
        <v>0</v>
      </c>
      <c r="BE323" s="34">
        <v>0</v>
      </c>
      <c r="BF323" s="34">
        <f>323</f>
        <v>323</v>
      </c>
      <c r="BH323" s="18">
        <f t="shared" ref="BH323:BH335" si="185">G323*AO323</f>
        <v>0</v>
      </c>
      <c r="BI323" s="18">
        <f t="shared" ref="BI323:BI335" si="186">G323*AP323</f>
        <v>0</v>
      </c>
      <c r="BJ323" s="18">
        <f t="shared" ref="BJ323:BJ335" si="187">G323*H323</f>
        <v>0</v>
      </c>
    </row>
    <row r="324" spans="1:62" x14ac:dyDescent="0.2">
      <c r="A324" s="5" t="s">
        <v>256</v>
      </c>
      <c r="B324" s="5" t="s">
        <v>588</v>
      </c>
      <c r="C324" s="135" t="s">
        <v>970</v>
      </c>
      <c r="D324" s="136"/>
      <c r="E324" s="136"/>
      <c r="F324" s="5" t="s">
        <v>1100</v>
      </c>
      <c r="G324" s="18">
        <v>291.65800000000002</v>
      </c>
      <c r="H324" s="79">
        <v>0</v>
      </c>
      <c r="I324" s="18">
        <f t="shared" si="166"/>
        <v>0</v>
      </c>
      <c r="J324" s="18">
        <f t="shared" si="167"/>
        <v>0</v>
      </c>
      <c r="K324" s="18">
        <f t="shared" si="168"/>
        <v>0</v>
      </c>
      <c r="L324" s="29" t="s">
        <v>1127</v>
      </c>
      <c r="Z324" s="34">
        <f t="shared" si="169"/>
        <v>0</v>
      </c>
      <c r="AB324" s="34">
        <f t="shared" si="170"/>
        <v>0</v>
      </c>
      <c r="AC324" s="34">
        <f t="shared" si="171"/>
        <v>0</v>
      </c>
      <c r="AD324" s="34">
        <f t="shared" si="172"/>
        <v>0</v>
      </c>
      <c r="AE324" s="34">
        <f t="shared" si="173"/>
        <v>0</v>
      </c>
      <c r="AF324" s="34">
        <f t="shared" si="174"/>
        <v>0</v>
      </c>
      <c r="AG324" s="34">
        <f t="shared" si="175"/>
        <v>0</v>
      </c>
      <c r="AH324" s="34">
        <f t="shared" si="176"/>
        <v>0</v>
      </c>
      <c r="AI324" s="28" t="s">
        <v>1137</v>
      </c>
      <c r="AJ324" s="18">
        <f t="shared" si="177"/>
        <v>0</v>
      </c>
      <c r="AK324" s="18">
        <f t="shared" si="178"/>
        <v>0</v>
      </c>
      <c r="AL324" s="18">
        <f t="shared" si="179"/>
        <v>0</v>
      </c>
      <c r="AN324" s="34">
        <v>21</v>
      </c>
      <c r="AO324" s="34">
        <f>H324*0.466666563437816</f>
        <v>0</v>
      </c>
      <c r="AP324" s="34">
        <f>H324*(1-0.466666563437816)</f>
        <v>0</v>
      </c>
      <c r="AQ324" s="29" t="s">
        <v>13</v>
      </c>
      <c r="AV324" s="34">
        <f t="shared" si="180"/>
        <v>0</v>
      </c>
      <c r="AW324" s="34">
        <f t="shared" si="181"/>
        <v>0</v>
      </c>
      <c r="AX324" s="34">
        <f t="shared" si="182"/>
        <v>0</v>
      </c>
      <c r="AY324" s="35" t="s">
        <v>1160</v>
      </c>
      <c r="AZ324" s="35" t="s">
        <v>1174</v>
      </c>
      <c r="BA324" s="28" t="s">
        <v>1176</v>
      </c>
      <c r="BC324" s="34">
        <f t="shared" si="183"/>
        <v>0</v>
      </c>
      <c r="BD324" s="34">
        <f t="shared" si="184"/>
        <v>0</v>
      </c>
      <c r="BE324" s="34">
        <v>0</v>
      </c>
      <c r="BF324" s="34">
        <f>324</f>
        <v>324</v>
      </c>
      <c r="BH324" s="18">
        <f t="shared" si="185"/>
        <v>0</v>
      </c>
      <c r="BI324" s="18">
        <f t="shared" si="186"/>
        <v>0</v>
      </c>
      <c r="BJ324" s="18">
        <f t="shared" si="187"/>
        <v>0</v>
      </c>
    </row>
    <row r="325" spans="1:62" x14ac:dyDescent="0.2">
      <c r="A325" s="5" t="s">
        <v>257</v>
      </c>
      <c r="B325" s="5" t="s">
        <v>589</v>
      </c>
      <c r="C325" s="135" t="s">
        <v>971</v>
      </c>
      <c r="D325" s="136"/>
      <c r="E325" s="136"/>
      <c r="F325" s="5" t="s">
        <v>1101</v>
      </c>
      <c r="G325" s="18">
        <v>38.840000000000003</v>
      </c>
      <c r="H325" s="79">
        <v>0</v>
      </c>
      <c r="I325" s="18">
        <f t="shared" si="166"/>
        <v>0</v>
      </c>
      <c r="J325" s="18">
        <f t="shared" si="167"/>
        <v>0</v>
      </c>
      <c r="K325" s="18">
        <f t="shared" si="168"/>
        <v>0</v>
      </c>
      <c r="L325" s="29" t="s">
        <v>1127</v>
      </c>
      <c r="Z325" s="34">
        <f t="shared" si="169"/>
        <v>0</v>
      </c>
      <c r="AB325" s="34">
        <f t="shared" si="170"/>
        <v>0</v>
      </c>
      <c r="AC325" s="34">
        <f t="shared" si="171"/>
        <v>0</v>
      </c>
      <c r="AD325" s="34">
        <f t="shared" si="172"/>
        <v>0</v>
      </c>
      <c r="AE325" s="34">
        <f t="shared" si="173"/>
        <v>0</v>
      </c>
      <c r="AF325" s="34">
        <f t="shared" si="174"/>
        <v>0</v>
      </c>
      <c r="AG325" s="34">
        <f t="shared" si="175"/>
        <v>0</v>
      </c>
      <c r="AH325" s="34">
        <f t="shared" si="176"/>
        <v>0</v>
      </c>
      <c r="AI325" s="28" t="s">
        <v>1137</v>
      </c>
      <c r="AJ325" s="18">
        <f t="shared" si="177"/>
        <v>0</v>
      </c>
      <c r="AK325" s="18">
        <f t="shared" si="178"/>
        <v>0</v>
      </c>
      <c r="AL325" s="18">
        <f t="shared" si="179"/>
        <v>0</v>
      </c>
      <c r="AN325" s="34">
        <v>21</v>
      </c>
      <c r="AO325" s="34">
        <f>H325*0.0581544743072303</f>
        <v>0</v>
      </c>
      <c r="AP325" s="34">
        <f>H325*(1-0.0581544743072303)</f>
        <v>0</v>
      </c>
      <c r="AQ325" s="29" t="s">
        <v>13</v>
      </c>
      <c r="AV325" s="34">
        <f t="shared" si="180"/>
        <v>0</v>
      </c>
      <c r="AW325" s="34">
        <f t="shared" si="181"/>
        <v>0</v>
      </c>
      <c r="AX325" s="34">
        <f t="shared" si="182"/>
        <v>0</v>
      </c>
      <c r="AY325" s="35" t="s">
        <v>1160</v>
      </c>
      <c r="AZ325" s="35" t="s">
        <v>1174</v>
      </c>
      <c r="BA325" s="28" t="s">
        <v>1176</v>
      </c>
      <c r="BC325" s="34">
        <f t="shared" si="183"/>
        <v>0</v>
      </c>
      <c r="BD325" s="34">
        <f t="shared" si="184"/>
        <v>0</v>
      </c>
      <c r="BE325" s="34">
        <v>0</v>
      </c>
      <c r="BF325" s="34">
        <f>325</f>
        <v>325</v>
      </c>
      <c r="BH325" s="18">
        <f t="shared" si="185"/>
        <v>0</v>
      </c>
      <c r="BI325" s="18">
        <f t="shared" si="186"/>
        <v>0</v>
      </c>
      <c r="BJ325" s="18">
        <f t="shared" si="187"/>
        <v>0</v>
      </c>
    </row>
    <row r="326" spans="1:62" x14ac:dyDescent="0.2">
      <c r="A326" s="5" t="s">
        <v>258</v>
      </c>
      <c r="B326" s="5" t="s">
        <v>590</v>
      </c>
      <c r="C326" s="135" t="s">
        <v>972</v>
      </c>
      <c r="D326" s="136"/>
      <c r="E326" s="136"/>
      <c r="F326" s="5" t="s">
        <v>1099</v>
      </c>
      <c r="G326" s="18">
        <v>58</v>
      </c>
      <c r="H326" s="79">
        <v>0</v>
      </c>
      <c r="I326" s="18">
        <f t="shared" si="166"/>
        <v>0</v>
      </c>
      <c r="J326" s="18">
        <f t="shared" si="167"/>
        <v>0</v>
      </c>
      <c r="K326" s="18">
        <f t="shared" si="168"/>
        <v>0</v>
      </c>
      <c r="L326" s="29" t="s">
        <v>1127</v>
      </c>
      <c r="Z326" s="34">
        <f t="shared" si="169"/>
        <v>0</v>
      </c>
      <c r="AB326" s="34">
        <f t="shared" si="170"/>
        <v>0</v>
      </c>
      <c r="AC326" s="34">
        <f t="shared" si="171"/>
        <v>0</v>
      </c>
      <c r="AD326" s="34">
        <f t="shared" si="172"/>
        <v>0</v>
      </c>
      <c r="AE326" s="34">
        <f t="shared" si="173"/>
        <v>0</v>
      </c>
      <c r="AF326" s="34">
        <f t="shared" si="174"/>
        <v>0</v>
      </c>
      <c r="AG326" s="34">
        <f t="shared" si="175"/>
        <v>0</v>
      </c>
      <c r="AH326" s="34">
        <f t="shared" si="176"/>
        <v>0</v>
      </c>
      <c r="AI326" s="28" t="s">
        <v>1137</v>
      </c>
      <c r="AJ326" s="18">
        <f t="shared" si="177"/>
        <v>0</v>
      </c>
      <c r="AK326" s="18">
        <f t="shared" si="178"/>
        <v>0</v>
      </c>
      <c r="AL326" s="18">
        <f t="shared" si="179"/>
        <v>0</v>
      </c>
      <c r="AN326" s="34">
        <v>21</v>
      </c>
      <c r="AO326" s="34">
        <f>H326*0.0199604743083004</f>
        <v>0</v>
      </c>
      <c r="AP326" s="34">
        <f>H326*(1-0.0199604743083004)</f>
        <v>0</v>
      </c>
      <c r="AQ326" s="29" t="s">
        <v>13</v>
      </c>
      <c r="AV326" s="34">
        <f t="shared" si="180"/>
        <v>0</v>
      </c>
      <c r="AW326" s="34">
        <f t="shared" si="181"/>
        <v>0</v>
      </c>
      <c r="AX326" s="34">
        <f t="shared" si="182"/>
        <v>0</v>
      </c>
      <c r="AY326" s="35" t="s">
        <v>1160</v>
      </c>
      <c r="AZ326" s="35" t="s">
        <v>1174</v>
      </c>
      <c r="BA326" s="28" t="s">
        <v>1176</v>
      </c>
      <c r="BC326" s="34">
        <f t="shared" si="183"/>
        <v>0</v>
      </c>
      <c r="BD326" s="34">
        <f t="shared" si="184"/>
        <v>0</v>
      </c>
      <c r="BE326" s="34">
        <v>0</v>
      </c>
      <c r="BF326" s="34">
        <f>326</f>
        <v>326</v>
      </c>
      <c r="BH326" s="18">
        <f t="shared" si="185"/>
        <v>0</v>
      </c>
      <c r="BI326" s="18">
        <f t="shared" si="186"/>
        <v>0</v>
      </c>
      <c r="BJ326" s="18">
        <f t="shared" si="187"/>
        <v>0</v>
      </c>
    </row>
    <row r="327" spans="1:62" x14ac:dyDescent="0.2">
      <c r="A327" s="5" t="s">
        <v>259</v>
      </c>
      <c r="B327" s="5" t="s">
        <v>591</v>
      </c>
      <c r="C327" s="135" t="s">
        <v>973</v>
      </c>
      <c r="D327" s="136"/>
      <c r="E327" s="136"/>
      <c r="F327" s="5" t="s">
        <v>1099</v>
      </c>
      <c r="G327" s="18">
        <v>38</v>
      </c>
      <c r="H327" s="79">
        <v>0</v>
      </c>
      <c r="I327" s="18">
        <f t="shared" si="166"/>
        <v>0</v>
      </c>
      <c r="J327" s="18">
        <f t="shared" si="167"/>
        <v>0</v>
      </c>
      <c r="K327" s="18">
        <f t="shared" si="168"/>
        <v>0</v>
      </c>
      <c r="L327" s="29" t="s">
        <v>1127</v>
      </c>
      <c r="Z327" s="34">
        <f t="shared" si="169"/>
        <v>0</v>
      </c>
      <c r="AB327" s="34">
        <f t="shared" si="170"/>
        <v>0</v>
      </c>
      <c r="AC327" s="34">
        <f t="shared" si="171"/>
        <v>0</v>
      </c>
      <c r="AD327" s="34">
        <f t="shared" si="172"/>
        <v>0</v>
      </c>
      <c r="AE327" s="34">
        <f t="shared" si="173"/>
        <v>0</v>
      </c>
      <c r="AF327" s="34">
        <f t="shared" si="174"/>
        <v>0</v>
      </c>
      <c r="AG327" s="34">
        <f t="shared" si="175"/>
        <v>0</v>
      </c>
      <c r="AH327" s="34">
        <f t="shared" si="176"/>
        <v>0</v>
      </c>
      <c r="AI327" s="28" t="s">
        <v>1137</v>
      </c>
      <c r="AJ327" s="18">
        <f t="shared" si="177"/>
        <v>0</v>
      </c>
      <c r="AK327" s="18">
        <f t="shared" si="178"/>
        <v>0</v>
      </c>
      <c r="AL327" s="18">
        <f t="shared" si="179"/>
        <v>0</v>
      </c>
      <c r="AN327" s="34">
        <v>21</v>
      </c>
      <c r="AO327" s="34">
        <f>H327*0.0653997603150146</f>
        <v>0</v>
      </c>
      <c r="AP327" s="34">
        <f>H327*(1-0.0653997603150146)</f>
        <v>0</v>
      </c>
      <c r="AQ327" s="29" t="s">
        <v>13</v>
      </c>
      <c r="AV327" s="34">
        <f t="shared" si="180"/>
        <v>0</v>
      </c>
      <c r="AW327" s="34">
        <f t="shared" si="181"/>
        <v>0</v>
      </c>
      <c r="AX327" s="34">
        <f t="shared" si="182"/>
        <v>0</v>
      </c>
      <c r="AY327" s="35" t="s">
        <v>1160</v>
      </c>
      <c r="AZ327" s="35" t="s">
        <v>1174</v>
      </c>
      <c r="BA327" s="28" t="s">
        <v>1176</v>
      </c>
      <c r="BC327" s="34">
        <f t="shared" si="183"/>
        <v>0</v>
      </c>
      <c r="BD327" s="34">
        <f t="shared" si="184"/>
        <v>0</v>
      </c>
      <c r="BE327" s="34">
        <v>0</v>
      </c>
      <c r="BF327" s="34">
        <f>327</f>
        <v>327</v>
      </c>
      <c r="BH327" s="18">
        <f t="shared" si="185"/>
        <v>0</v>
      </c>
      <c r="BI327" s="18">
        <f t="shared" si="186"/>
        <v>0</v>
      </c>
      <c r="BJ327" s="18">
        <f t="shared" si="187"/>
        <v>0</v>
      </c>
    </row>
    <row r="328" spans="1:62" x14ac:dyDescent="0.2">
      <c r="A328" s="5" t="s">
        <v>260</v>
      </c>
      <c r="B328" s="5" t="s">
        <v>592</v>
      </c>
      <c r="C328" s="135" t="s">
        <v>974</v>
      </c>
      <c r="D328" s="136"/>
      <c r="E328" s="136"/>
      <c r="F328" s="5" t="s">
        <v>1101</v>
      </c>
      <c r="G328" s="18">
        <v>28.8</v>
      </c>
      <c r="H328" s="79">
        <v>0</v>
      </c>
      <c r="I328" s="18">
        <f t="shared" si="166"/>
        <v>0</v>
      </c>
      <c r="J328" s="18">
        <f t="shared" si="167"/>
        <v>0</v>
      </c>
      <c r="K328" s="18">
        <f t="shared" si="168"/>
        <v>0</v>
      </c>
      <c r="L328" s="29" t="s">
        <v>1127</v>
      </c>
      <c r="Z328" s="34">
        <f t="shared" si="169"/>
        <v>0</v>
      </c>
      <c r="AB328" s="34">
        <f t="shared" si="170"/>
        <v>0</v>
      </c>
      <c r="AC328" s="34">
        <f t="shared" si="171"/>
        <v>0</v>
      </c>
      <c r="AD328" s="34">
        <f t="shared" si="172"/>
        <v>0</v>
      </c>
      <c r="AE328" s="34">
        <f t="shared" si="173"/>
        <v>0</v>
      </c>
      <c r="AF328" s="34">
        <f t="shared" si="174"/>
        <v>0</v>
      </c>
      <c r="AG328" s="34">
        <f t="shared" si="175"/>
        <v>0</v>
      </c>
      <c r="AH328" s="34">
        <f t="shared" si="176"/>
        <v>0</v>
      </c>
      <c r="AI328" s="28" t="s">
        <v>1137</v>
      </c>
      <c r="AJ328" s="18">
        <f t="shared" si="177"/>
        <v>0</v>
      </c>
      <c r="AK328" s="18">
        <f t="shared" si="178"/>
        <v>0</v>
      </c>
      <c r="AL328" s="18">
        <f t="shared" si="179"/>
        <v>0</v>
      </c>
      <c r="AN328" s="34">
        <v>21</v>
      </c>
      <c r="AO328" s="34">
        <f>H328*0</f>
        <v>0</v>
      </c>
      <c r="AP328" s="34">
        <f>H328*(1-0)</f>
        <v>0</v>
      </c>
      <c r="AQ328" s="29" t="s">
        <v>13</v>
      </c>
      <c r="AV328" s="34">
        <f t="shared" si="180"/>
        <v>0</v>
      </c>
      <c r="AW328" s="34">
        <f t="shared" si="181"/>
        <v>0</v>
      </c>
      <c r="AX328" s="34">
        <f t="shared" si="182"/>
        <v>0</v>
      </c>
      <c r="AY328" s="35" t="s">
        <v>1160</v>
      </c>
      <c r="AZ328" s="35" t="s">
        <v>1174</v>
      </c>
      <c r="BA328" s="28" t="s">
        <v>1176</v>
      </c>
      <c r="BC328" s="34">
        <f t="shared" si="183"/>
        <v>0</v>
      </c>
      <c r="BD328" s="34">
        <f t="shared" si="184"/>
        <v>0</v>
      </c>
      <c r="BE328" s="34">
        <v>0</v>
      </c>
      <c r="BF328" s="34">
        <f>328</f>
        <v>328</v>
      </c>
      <c r="BH328" s="18">
        <f t="shared" si="185"/>
        <v>0</v>
      </c>
      <c r="BI328" s="18">
        <f t="shared" si="186"/>
        <v>0</v>
      </c>
      <c r="BJ328" s="18">
        <f t="shared" si="187"/>
        <v>0</v>
      </c>
    </row>
    <row r="329" spans="1:62" x14ac:dyDescent="0.2">
      <c r="A329" s="6" t="s">
        <v>261</v>
      </c>
      <c r="B329" s="6" t="s">
        <v>593</v>
      </c>
      <c r="C329" s="148" t="s">
        <v>975</v>
      </c>
      <c r="D329" s="149"/>
      <c r="E329" s="149"/>
      <c r="F329" s="6" t="s">
        <v>1100</v>
      </c>
      <c r="G329" s="19">
        <v>7.2</v>
      </c>
      <c r="H329" s="81">
        <v>0</v>
      </c>
      <c r="I329" s="19">
        <f t="shared" si="166"/>
        <v>0</v>
      </c>
      <c r="J329" s="19">
        <f t="shared" si="167"/>
        <v>0</v>
      </c>
      <c r="K329" s="19">
        <f t="shared" si="168"/>
        <v>0</v>
      </c>
      <c r="L329" s="30" t="s">
        <v>1127</v>
      </c>
      <c r="Z329" s="34">
        <f t="shared" si="169"/>
        <v>0</v>
      </c>
      <c r="AB329" s="34">
        <f t="shared" si="170"/>
        <v>0</v>
      </c>
      <c r="AC329" s="34">
        <f t="shared" si="171"/>
        <v>0</v>
      </c>
      <c r="AD329" s="34">
        <f t="shared" si="172"/>
        <v>0</v>
      </c>
      <c r="AE329" s="34">
        <f t="shared" si="173"/>
        <v>0</v>
      </c>
      <c r="AF329" s="34">
        <f t="shared" si="174"/>
        <v>0</v>
      </c>
      <c r="AG329" s="34">
        <f t="shared" si="175"/>
        <v>0</v>
      </c>
      <c r="AH329" s="34">
        <f t="shared" si="176"/>
        <v>0</v>
      </c>
      <c r="AI329" s="28" t="s">
        <v>1137</v>
      </c>
      <c r="AJ329" s="19">
        <f t="shared" si="177"/>
        <v>0</v>
      </c>
      <c r="AK329" s="19">
        <f t="shared" si="178"/>
        <v>0</v>
      </c>
      <c r="AL329" s="19">
        <f t="shared" si="179"/>
        <v>0</v>
      </c>
      <c r="AN329" s="34">
        <v>21</v>
      </c>
      <c r="AO329" s="34">
        <f>H329*1</f>
        <v>0</v>
      </c>
      <c r="AP329" s="34">
        <f>H329*(1-1)</f>
        <v>0</v>
      </c>
      <c r="AQ329" s="30" t="s">
        <v>13</v>
      </c>
      <c r="AV329" s="34">
        <f t="shared" si="180"/>
        <v>0</v>
      </c>
      <c r="AW329" s="34">
        <f t="shared" si="181"/>
        <v>0</v>
      </c>
      <c r="AX329" s="34">
        <f t="shared" si="182"/>
        <v>0</v>
      </c>
      <c r="AY329" s="35" t="s">
        <v>1160</v>
      </c>
      <c r="AZ329" s="35" t="s">
        <v>1174</v>
      </c>
      <c r="BA329" s="28" t="s">
        <v>1176</v>
      </c>
      <c r="BC329" s="34">
        <f t="shared" si="183"/>
        <v>0</v>
      </c>
      <c r="BD329" s="34">
        <f t="shared" si="184"/>
        <v>0</v>
      </c>
      <c r="BE329" s="34">
        <v>0</v>
      </c>
      <c r="BF329" s="34">
        <f>329</f>
        <v>329</v>
      </c>
      <c r="BH329" s="19">
        <f t="shared" si="185"/>
        <v>0</v>
      </c>
      <c r="BI329" s="19">
        <f t="shared" si="186"/>
        <v>0</v>
      </c>
      <c r="BJ329" s="19">
        <f t="shared" si="187"/>
        <v>0</v>
      </c>
    </row>
    <row r="330" spans="1:62" x14ac:dyDescent="0.2">
      <c r="A330" s="5" t="s">
        <v>262</v>
      </c>
      <c r="B330" s="5" t="s">
        <v>594</v>
      </c>
      <c r="C330" s="135" t="s">
        <v>976</v>
      </c>
      <c r="D330" s="136"/>
      <c r="E330" s="136"/>
      <c r="F330" s="5" t="s">
        <v>1101</v>
      </c>
      <c r="G330" s="18">
        <v>10.039999999999999</v>
      </c>
      <c r="H330" s="79">
        <v>0</v>
      </c>
      <c r="I330" s="18">
        <f t="shared" si="166"/>
        <v>0</v>
      </c>
      <c r="J330" s="18">
        <f t="shared" si="167"/>
        <v>0</v>
      </c>
      <c r="K330" s="18">
        <f t="shared" si="168"/>
        <v>0</v>
      </c>
      <c r="L330" s="29" t="s">
        <v>1127</v>
      </c>
      <c r="Z330" s="34">
        <f t="shared" si="169"/>
        <v>0</v>
      </c>
      <c r="AB330" s="34">
        <f t="shared" si="170"/>
        <v>0</v>
      </c>
      <c r="AC330" s="34">
        <f t="shared" si="171"/>
        <v>0</v>
      </c>
      <c r="AD330" s="34">
        <f t="shared" si="172"/>
        <v>0</v>
      </c>
      <c r="AE330" s="34">
        <f t="shared" si="173"/>
        <v>0</v>
      </c>
      <c r="AF330" s="34">
        <f t="shared" si="174"/>
        <v>0</v>
      </c>
      <c r="AG330" s="34">
        <f t="shared" si="175"/>
        <v>0</v>
      </c>
      <c r="AH330" s="34">
        <f t="shared" si="176"/>
        <v>0</v>
      </c>
      <c r="AI330" s="28" t="s">
        <v>1137</v>
      </c>
      <c r="AJ330" s="18">
        <f t="shared" si="177"/>
        <v>0</v>
      </c>
      <c r="AK330" s="18">
        <f t="shared" si="178"/>
        <v>0</v>
      </c>
      <c r="AL330" s="18">
        <f t="shared" si="179"/>
        <v>0</v>
      </c>
      <c r="AN330" s="34">
        <v>21</v>
      </c>
      <c r="AO330" s="34">
        <f>H330*0</f>
        <v>0</v>
      </c>
      <c r="AP330" s="34">
        <f>H330*(1-0)</f>
        <v>0</v>
      </c>
      <c r="AQ330" s="29" t="s">
        <v>13</v>
      </c>
      <c r="AV330" s="34">
        <f t="shared" si="180"/>
        <v>0</v>
      </c>
      <c r="AW330" s="34">
        <f t="shared" si="181"/>
        <v>0</v>
      </c>
      <c r="AX330" s="34">
        <f t="shared" si="182"/>
        <v>0</v>
      </c>
      <c r="AY330" s="35" t="s">
        <v>1160</v>
      </c>
      <c r="AZ330" s="35" t="s">
        <v>1174</v>
      </c>
      <c r="BA330" s="28" t="s">
        <v>1176</v>
      </c>
      <c r="BC330" s="34">
        <f t="shared" si="183"/>
        <v>0</v>
      </c>
      <c r="BD330" s="34">
        <f t="shared" si="184"/>
        <v>0</v>
      </c>
      <c r="BE330" s="34">
        <v>0</v>
      </c>
      <c r="BF330" s="34">
        <f>330</f>
        <v>330</v>
      </c>
      <c r="BH330" s="18">
        <f t="shared" si="185"/>
        <v>0</v>
      </c>
      <c r="BI330" s="18">
        <f t="shared" si="186"/>
        <v>0</v>
      </c>
      <c r="BJ330" s="18">
        <f t="shared" si="187"/>
        <v>0</v>
      </c>
    </row>
    <row r="331" spans="1:62" x14ac:dyDescent="0.2">
      <c r="A331" s="6" t="s">
        <v>263</v>
      </c>
      <c r="B331" s="6" t="s">
        <v>593</v>
      </c>
      <c r="C331" s="148" t="s">
        <v>975</v>
      </c>
      <c r="D331" s="149"/>
      <c r="E331" s="149"/>
      <c r="F331" s="6" t="s">
        <v>1100</v>
      </c>
      <c r="G331" s="19">
        <v>2.3325</v>
      </c>
      <c r="H331" s="81">
        <v>0</v>
      </c>
      <c r="I331" s="19">
        <f t="shared" si="166"/>
        <v>0</v>
      </c>
      <c r="J331" s="19">
        <f t="shared" si="167"/>
        <v>0</v>
      </c>
      <c r="K331" s="19">
        <f t="shared" si="168"/>
        <v>0</v>
      </c>
      <c r="L331" s="30" t="s">
        <v>1127</v>
      </c>
      <c r="Z331" s="34">
        <f t="shared" si="169"/>
        <v>0</v>
      </c>
      <c r="AB331" s="34">
        <f t="shared" si="170"/>
        <v>0</v>
      </c>
      <c r="AC331" s="34">
        <f t="shared" si="171"/>
        <v>0</v>
      </c>
      <c r="AD331" s="34">
        <f t="shared" si="172"/>
        <v>0</v>
      </c>
      <c r="AE331" s="34">
        <f t="shared" si="173"/>
        <v>0</v>
      </c>
      <c r="AF331" s="34">
        <f t="shared" si="174"/>
        <v>0</v>
      </c>
      <c r="AG331" s="34">
        <f t="shared" si="175"/>
        <v>0</v>
      </c>
      <c r="AH331" s="34">
        <f t="shared" si="176"/>
        <v>0</v>
      </c>
      <c r="AI331" s="28" t="s">
        <v>1137</v>
      </c>
      <c r="AJ331" s="19">
        <f t="shared" si="177"/>
        <v>0</v>
      </c>
      <c r="AK331" s="19">
        <f t="shared" si="178"/>
        <v>0</v>
      </c>
      <c r="AL331" s="19">
        <f t="shared" si="179"/>
        <v>0</v>
      </c>
      <c r="AN331" s="34">
        <v>21</v>
      </c>
      <c r="AO331" s="34">
        <f>H331*1</f>
        <v>0</v>
      </c>
      <c r="AP331" s="34">
        <f>H331*(1-1)</f>
        <v>0</v>
      </c>
      <c r="AQ331" s="30" t="s">
        <v>13</v>
      </c>
      <c r="AV331" s="34">
        <f t="shared" si="180"/>
        <v>0</v>
      </c>
      <c r="AW331" s="34">
        <f t="shared" si="181"/>
        <v>0</v>
      </c>
      <c r="AX331" s="34">
        <f t="shared" si="182"/>
        <v>0</v>
      </c>
      <c r="AY331" s="35" t="s">
        <v>1160</v>
      </c>
      <c r="AZ331" s="35" t="s">
        <v>1174</v>
      </c>
      <c r="BA331" s="28" t="s">
        <v>1176</v>
      </c>
      <c r="BC331" s="34">
        <f t="shared" si="183"/>
        <v>0</v>
      </c>
      <c r="BD331" s="34">
        <f t="shared" si="184"/>
        <v>0</v>
      </c>
      <c r="BE331" s="34">
        <v>0</v>
      </c>
      <c r="BF331" s="34">
        <f>331</f>
        <v>331</v>
      </c>
      <c r="BH331" s="19">
        <f t="shared" si="185"/>
        <v>0</v>
      </c>
      <c r="BI331" s="19">
        <f t="shared" si="186"/>
        <v>0</v>
      </c>
      <c r="BJ331" s="19">
        <f t="shared" si="187"/>
        <v>0</v>
      </c>
    </row>
    <row r="332" spans="1:62" x14ac:dyDescent="0.2">
      <c r="A332" s="5" t="s">
        <v>264</v>
      </c>
      <c r="B332" s="5" t="s">
        <v>595</v>
      </c>
      <c r="C332" s="135" t="s">
        <v>977</v>
      </c>
      <c r="D332" s="136"/>
      <c r="E332" s="136"/>
      <c r="F332" s="5" t="s">
        <v>1100</v>
      </c>
      <c r="G332" s="18">
        <v>291.65800000000002</v>
      </c>
      <c r="H332" s="79">
        <v>0</v>
      </c>
      <c r="I332" s="18">
        <f t="shared" si="166"/>
        <v>0</v>
      </c>
      <c r="J332" s="18">
        <f t="shared" si="167"/>
        <v>0</v>
      </c>
      <c r="K332" s="18">
        <f t="shared" si="168"/>
        <v>0</v>
      </c>
      <c r="L332" s="29" t="s">
        <v>1127</v>
      </c>
      <c r="Z332" s="34">
        <f t="shared" si="169"/>
        <v>0</v>
      </c>
      <c r="AB332" s="34">
        <f t="shared" si="170"/>
        <v>0</v>
      </c>
      <c r="AC332" s="34">
        <f t="shared" si="171"/>
        <v>0</v>
      </c>
      <c r="AD332" s="34">
        <f t="shared" si="172"/>
        <v>0</v>
      </c>
      <c r="AE332" s="34">
        <f t="shared" si="173"/>
        <v>0</v>
      </c>
      <c r="AF332" s="34">
        <f t="shared" si="174"/>
        <v>0</v>
      </c>
      <c r="AG332" s="34">
        <f t="shared" si="175"/>
        <v>0</v>
      </c>
      <c r="AH332" s="34">
        <f t="shared" si="176"/>
        <v>0</v>
      </c>
      <c r="AI332" s="28" t="s">
        <v>1137</v>
      </c>
      <c r="AJ332" s="18">
        <f t="shared" si="177"/>
        <v>0</v>
      </c>
      <c r="AK332" s="18">
        <f t="shared" si="178"/>
        <v>0</v>
      </c>
      <c r="AL332" s="18">
        <f t="shared" si="179"/>
        <v>0</v>
      </c>
      <c r="AN332" s="34">
        <v>21</v>
      </c>
      <c r="AO332" s="34">
        <f>H332*1.00000009938184</f>
        <v>0</v>
      </c>
      <c r="AP332" s="34">
        <f>H332*(1-1.00000009938184)</f>
        <v>0</v>
      </c>
      <c r="AQ332" s="29" t="s">
        <v>13</v>
      </c>
      <c r="AV332" s="34">
        <f t="shared" si="180"/>
        <v>0</v>
      </c>
      <c r="AW332" s="34">
        <f t="shared" si="181"/>
        <v>0</v>
      </c>
      <c r="AX332" s="34">
        <f t="shared" si="182"/>
        <v>0</v>
      </c>
      <c r="AY332" s="35" t="s">
        <v>1160</v>
      </c>
      <c r="AZ332" s="35" t="s">
        <v>1174</v>
      </c>
      <c r="BA332" s="28" t="s">
        <v>1176</v>
      </c>
      <c r="BC332" s="34">
        <f t="shared" si="183"/>
        <v>0</v>
      </c>
      <c r="BD332" s="34">
        <f t="shared" si="184"/>
        <v>0</v>
      </c>
      <c r="BE332" s="34">
        <v>0</v>
      </c>
      <c r="BF332" s="34">
        <f>332</f>
        <v>332</v>
      </c>
      <c r="BH332" s="18">
        <f t="shared" si="185"/>
        <v>0</v>
      </c>
      <c r="BI332" s="18">
        <f t="shared" si="186"/>
        <v>0</v>
      </c>
      <c r="BJ332" s="18">
        <f t="shared" si="187"/>
        <v>0</v>
      </c>
    </row>
    <row r="333" spans="1:62" x14ac:dyDescent="0.2">
      <c r="A333" s="5" t="s">
        <v>265</v>
      </c>
      <c r="B333" s="5" t="s">
        <v>596</v>
      </c>
      <c r="C333" s="135" t="s">
        <v>978</v>
      </c>
      <c r="D333" s="136"/>
      <c r="E333" s="136"/>
      <c r="F333" s="5" t="s">
        <v>1100</v>
      </c>
      <c r="G333" s="18">
        <v>291.65800000000002</v>
      </c>
      <c r="H333" s="79">
        <v>0</v>
      </c>
      <c r="I333" s="18">
        <f t="shared" si="166"/>
        <v>0</v>
      </c>
      <c r="J333" s="18">
        <f t="shared" si="167"/>
        <v>0</v>
      </c>
      <c r="K333" s="18">
        <f t="shared" si="168"/>
        <v>0</v>
      </c>
      <c r="L333" s="29" t="s">
        <v>1127</v>
      </c>
      <c r="Z333" s="34">
        <f t="shared" si="169"/>
        <v>0</v>
      </c>
      <c r="AB333" s="34">
        <f t="shared" si="170"/>
        <v>0</v>
      </c>
      <c r="AC333" s="34">
        <f t="shared" si="171"/>
        <v>0</v>
      </c>
      <c r="AD333" s="34">
        <f t="shared" si="172"/>
        <v>0</v>
      </c>
      <c r="AE333" s="34">
        <f t="shared" si="173"/>
        <v>0</v>
      </c>
      <c r="AF333" s="34">
        <f t="shared" si="174"/>
        <v>0</v>
      </c>
      <c r="AG333" s="34">
        <f t="shared" si="175"/>
        <v>0</v>
      </c>
      <c r="AH333" s="34">
        <f t="shared" si="176"/>
        <v>0</v>
      </c>
      <c r="AI333" s="28" t="s">
        <v>1137</v>
      </c>
      <c r="AJ333" s="18">
        <f t="shared" si="177"/>
        <v>0</v>
      </c>
      <c r="AK333" s="18">
        <f t="shared" si="178"/>
        <v>0</v>
      </c>
      <c r="AL333" s="18">
        <f t="shared" si="179"/>
        <v>0</v>
      </c>
      <c r="AN333" s="34">
        <v>21</v>
      </c>
      <c r="AO333" s="34">
        <f>H333*0.147980690841263</f>
        <v>0</v>
      </c>
      <c r="AP333" s="34">
        <f>H333*(1-0.147980690841263)</f>
        <v>0</v>
      </c>
      <c r="AQ333" s="29" t="s">
        <v>13</v>
      </c>
      <c r="AV333" s="34">
        <f t="shared" si="180"/>
        <v>0</v>
      </c>
      <c r="AW333" s="34">
        <f t="shared" si="181"/>
        <v>0</v>
      </c>
      <c r="AX333" s="34">
        <f t="shared" si="182"/>
        <v>0</v>
      </c>
      <c r="AY333" s="35" t="s">
        <v>1160</v>
      </c>
      <c r="AZ333" s="35" t="s">
        <v>1174</v>
      </c>
      <c r="BA333" s="28" t="s">
        <v>1176</v>
      </c>
      <c r="BC333" s="34">
        <f t="shared" si="183"/>
        <v>0</v>
      </c>
      <c r="BD333" s="34">
        <f t="shared" si="184"/>
        <v>0</v>
      </c>
      <c r="BE333" s="34">
        <v>0</v>
      </c>
      <c r="BF333" s="34">
        <f>333</f>
        <v>333</v>
      </c>
      <c r="BH333" s="18">
        <f t="shared" si="185"/>
        <v>0</v>
      </c>
      <c r="BI333" s="18">
        <f t="shared" si="186"/>
        <v>0</v>
      </c>
      <c r="BJ333" s="18">
        <f t="shared" si="187"/>
        <v>0</v>
      </c>
    </row>
    <row r="334" spans="1:62" x14ac:dyDescent="0.2">
      <c r="A334" s="6" t="s">
        <v>266</v>
      </c>
      <c r="B334" s="6" t="s">
        <v>593</v>
      </c>
      <c r="C334" s="148" t="s">
        <v>975</v>
      </c>
      <c r="D334" s="149"/>
      <c r="E334" s="149"/>
      <c r="F334" s="6" t="s">
        <v>1100</v>
      </c>
      <c r="G334" s="19">
        <v>306.24090000000001</v>
      </c>
      <c r="H334" s="81">
        <v>0</v>
      </c>
      <c r="I334" s="19">
        <f t="shared" si="166"/>
        <v>0</v>
      </c>
      <c r="J334" s="19">
        <f t="shared" si="167"/>
        <v>0</v>
      </c>
      <c r="K334" s="19">
        <f t="shared" si="168"/>
        <v>0</v>
      </c>
      <c r="L334" s="30" t="s">
        <v>1127</v>
      </c>
      <c r="Z334" s="34">
        <f t="shared" si="169"/>
        <v>0</v>
      </c>
      <c r="AB334" s="34">
        <f t="shared" si="170"/>
        <v>0</v>
      </c>
      <c r="AC334" s="34">
        <f t="shared" si="171"/>
        <v>0</v>
      </c>
      <c r="AD334" s="34">
        <f t="shared" si="172"/>
        <v>0</v>
      </c>
      <c r="AE334" s="34">
        <f t="shared" si="173"/>
        <v>0</v>
      </c>
      <c r="AF334" s="34">
        <f t="shared" si="174"/>
        <v>0</v>
      </c>
      <c r="AG334" s="34">
        <f t="shared" si="175"/>
        <v>0</v>
      </c>
      <c r="AH334" s="34">
        <f t="shared" si="176"/>
        <v>0</v>
      </c>
      <c r="AI334" s="28" t="s">
        <v>1137</v>
      </c>
      <c r="AJ334" s="19">
        <f t="shared" si="177"/>
        <v>0</v>
      </c>
      <c r="AK334" s="19">
        <f t="shared" si="178"/>
        <v>0</v>
      </c>
      <c r="AL334" s="19">
        <f t="shared" si="179"/>
        <v>0</v>
      </c>
      <c r="AN334" s="34">
        <v>21</v>
      </c>
      <c r="AO334" s="34">
        <f>H334*1</f>
        <v>0</v>
      </c>
      <c r="AP334" s="34">
        <f>H334*(1-1)</f>
        <v>0</v>
      </c>
      <c r="AQ334" s="30" t="s">
        <v>13</v>
      </c>
      <c r="AV334" s="34">
        <f t="shared" si="180"/>
        <v>0</v>
      </c>
      <c r="AW334" s="34">
        <f t="shared" si="181"/>
        <v>0</v>
      </c>
      <c r="AX334" s="34">
        <f t="shared" si="182"/>
        <v>0</v>
      </c>
      <c r="AY334" s="35" t="s">
        <v>1160</v>
      </c>
      <c r="AZ334" s="35" t="s">
        <v>1174</v>
      </c>
      <c r="BA334" s="28" t="s">
        <v>1176</v>
      </c>
      <c r="BC334" s="34">
        <f t="shared" si="183"/>
        <v>0</v>
      </c>
      <c r="BD334" s="34">
        <f t="shared" si="184"/>
        <v>0</v>
      </c>
      <c r="BE334" s="34">
        <v>0</v>
      </c>
      <c r="BF334" s="34">
        <f>334</f>
        <v>334</v>
      </c>
      <c r="BH334" s="19">
        <f t="shared" si="185"/>
        <v>0</v>
      </c>
      <c r="BI334" s="19">
        <f t="shared" si="186"/>
        <v>0</v>
      </c>
      <c r="BJ334" s="19">
        <f t="shared" si="187"/>
        <v>0</v>
      </c>
    </row>
    <row r="335" spans="1:62" x14ac:dyDescent="0.2">
      <c r="A335" s="5" t="s">
        <v>267</v>
      </c>
      <c r="B335" s="5" t="s">
        <v>597</v>
      </c>
      <c r="C335" s="135" t="s">
        <v>979</v>
      </c>
      <c r="D335" s="136"/>
      <c r="E335" s="136"/>
      <c r="F335" s="5" t="s">
        <v>1101</v>
      </c>
      <c r="G335" s="18">
        <v>391.58</v>
      </c>
      <c r="H335" s="79">
        <v>0</v>
      </c>
      <c r="I335" s="18">
        <f t="shared" si="166"/>
        <v>0</v>
      </c>
      <c r="J335" s="18">
        <f t="shared" si="167"/>
        <v>0</v>
      </c>
      <c r="K335" s="18">
        <f t="shared" si="168"/>
        <v>0</v>
      </c>
      <c r="L335" s="29" t="s">
        <v>1127</v>
      </c>
      <c r="Z335" s="34">
        <f t="shared" si="169"/>
        <v>0</v>
      </c>
      <c r="AB335" s="34">
        <f t="shared" si="170"/>
        <v>0</v>
      </c>
      <c r="AC335" s="34">
        <f t="shared" si="171"/>
        <v>0</v>
      </c>
      <c r="AD335" s="34">
        <f t="shared" si="172"/>
        <v>0</v>
      </c>
      <c r="AE335" s="34">
        <f t="shared" si="173"/>
        <v>0</v>
      </c>
      <c r="AF335" s="34">
        <f t="shared" si="174"/>
        <v>0</v>
      </c>
      <c r="AG335" s="34">
        <f t="shared" si="175"/>
        <v>0</v>
      </c>
      <c r="AH335" s="34">
        <f t="shared" si="176"/>
        <v>0</v>
      </c>
      <c r="AI335" s="28" t="s">
        <v>1137</v>
      </c>
      <c r="AJ335" s="18">
        <f t="shared" si="177"/>
        <v>0</v>
      </c>
      <c r="AK335" s="18">
        <f t="shared" si="178"/>
        <v>0</v>
      </c>
      <c r="AL335" s="18">
        <f t="shared" si="179"/>
        <v>0</v>
      </c>
      <c r="AN335" s="34">
        <v>21</v>
      </c>
      <c r="AO335" s="34">
        <f>H335*0</f>
        <v>0</v>
      </c>
      <c r="AP335" s="34">
        <f>H335*(1-0)</f>
        <v>0</v>
      </c>
      <c r="AQ335" s="29" t="s">
        <v>13</v>
      </c>
      <c r="AV335" s="34">
        <f t="shared" si="180"/>
        <v>0</v>
      </c>
      <c r="AW335" s="34">
        <f t="shared" si="181"/>
        <v>0</v>
      </c>
      <c r="AX335" s="34">
        <f t="shared" si="182"/>
        <v>0</v>
      </c>
      <c r="AY335" s="35" t="s">
        <v>1160</v>
      </c>
      <c r="AZ335" s="35" t="s">
        <v>1174</v>
      </c>
      <c r="BA335" s="28" t="s">
        <v>1176</v>
      </c>
      <c r="BC335" s="34">
        <f t="shared" si="183"/>
        <v>0</v>
      </c>
      <c r="BD335" s="34">
        <f t="shared" si="184"/>
        <v>0</v>
      </c>
      <c r="BE335" s="34">
        <v>0</v>
      </c>
      <c r="BF335" s="34">
        <f>335</f>
        <v>335</v>
      </c>
      <c r="BH335" s="18">
        <f t="shared" si="185"/>
        <v>0</v>
      </c>
      <c r="BI335" s="18">
        <f t="shared" si="186"/>
        <v>0</v>
      </c>
      <c r="BJ335" s="18">
        <f t="shared" si="187"/>
        <v>0</v>
      </c>
    </row>
    <row r="336" spans="1:62" x14ac:dyDescent="0.2">
      <c r="C336" s="131" t="s">
        <v>980</v>
      </c>
      <c r="D336" s="132"/>
      <c r="E336" s="132"/>
      <c r="H336" s="80"/>
    </row>
    <row r="337" spans="1:62" x14ac:dyDescent="0.2">
      <c r="A337" s="6" t="s">
        <v>268</v>
      </c>
      <c r="B337" s="6" t="s">
        <v>598</v>
      </c>
      <c r="C337" s="148" t="s">
        <v>981</v>
      </c>
      <c r="D337" s="149"/>
      <c r="E337" s="149"/>
      <c r="F337" s="6" t="s">
        <v>1101</v>
      </c>
      <c r="G337" s="19">
        <v>156.66200000000001</v>
      </c>
      <c r="H337" s="81">
        <v>0</v>
      </c>
      <c r="I337" s="19">
        <f>G337*AO337</f>
        <v>0</v>
      </c>
      <c r="J337" s="19">
        <f>G337*AP337</f>
        <v>0</v>
      </c>
      <c r="K337" s="19">
        <f>G337*H337</f>
        <v>0</v>
      </c>
      <c r="L337" s="30" t="s">
        <v>1127</v>
      </c>
      <c r="Z337" s="34">
        <f>IF(AQ337="5",BJ337,0)</f>
        <v>0</v>
      </c>
      <c r="AB337" s="34">
        <f>IF(AQ337="1",BH337,0)</f>
        <v>0</v>
      </c>
      <c r="AC337" s="34">
        <f>IF(AQ337="1",BI337,0)</f>
        <v>0</v>
      </c>
      <c r="AD337" s="34">
        <f>IF(AQ337="7",BH337,0)</f>
        <v>0</v>
      </c>
      <c r="AE337" s="34">
        <f>IF(AQ337="7",BI337,0)</f>
        <v>0</v>
      </c>
      <c r="AF337" s="34">
        <f>IF(AQ337="2",BH337,0)</f>
        <v>0</v>
      </c>
      <c r="AG337" s="34">
        <f>IF(AQ337="2",BI337,0)</f>
        <v>0</v>
      </c>
      <c r="AH337" s="34">
        <f>IF(AQ337="0",BJ337,0)</f>
        <v>0</v>
      </c>
      <c r="AI337" s="28" t="s">
        <v>1137</v>
      </c>
      <c r="AJ337" s="19">
        <f>IF(AN337=0,K337,0)</f>
        <v>0</v>
      </c>
      <c r="AK337" s="19">
        <f>IF(AN337=15,K337,0)</f>
        <v>0</v>
      </c>
      <c r="AL337" s="19">
        <f>IF(AN337=21,K337,0)</f>
        <v>0</v>
      </c>
      <c r="AN337" s="34">
        <v>21</v>
      </c>
      <c r="AO337" s="34">
        <f>H337*1</f>
        <v>0</v>
      </c>
      <c r="AP337" s="34">
        <f>H337*(1-1)</f>
        <v>0</v>
      </c>
      <c r="AQ337" s="30" t="s">
        <v>13</v>
      </c>
      <c r="AV337" s="34">
        <f>AW337+AX337</f>
        <v>0</v>
      </c>
      <c r="AW337" s="34">
        <f>G337*AO337</f>
        <v>0</v>
      </c>
      <c r="AX337" s="34">
        <f>G337*AP337</f>
        <v>0</v>
      </c>
      <c r="AY337" s="35" t="s">
        <v>1160</v>
      </c>
      <c r="AZ337" s="35" t="s">
        <v>1174</v>
      </c>
      <c r="BA337" s="28" t="s">
        <v>1176</v>
      </c>
      <c r="BC337" s="34">
        <f>AW337+AX337</f>
        <v>0</v>
      </c>
      <c r="BD337" s="34">
        <f>H337/(100-BE337)*100</f>
        <v>0</v>
      </c>
      <c r="BE337" s="34">
        <v>0</v>
      </c>
      <c r="BF337" s="34">
        <f>337</f>
        <v>337</v>
      </c>
      <c r="BH337" s="19">
        <f>G337*AO337</f>
        <v>0</v>
      </c>
      <c r="BI337" s="19">
        <f>G337*AP337</f>
        <v>0</v>
      </c>
      <c r="BJ337" s="19">
        <f>G337*H337</f>
        <v>0</v>
      </c>
    </row>
    <row r="338" spans="1:62" x14ac:dyDescent="0.2">
      <c r="A338" s="6" t="s">
        <v>269</v>
      </c>
      <c r="B338" s="6" t="s">
        <v>599</v>
      </c>
      <c r="C338" s="148" t="s">
        <v>982</v>
      </c>
      <c r="D338" s="149"/>
      <c r="E338" s="149"/>
      <c r="F338" s="6" t="s">
        <v>1101</v>
      </c>
      <c r="G338" s="19">
        <v>143.22</v>
      </c>
      <c r="H338" s="81">
        <v>0</v>
      </c>
      <c r="I338" s="19">
        <f>G338*AO338</f>
        <v>0</v>
      </c>
      <c r="J338" s="19">
        <f>G338*AP338</f>
        <v>0</v>
      </c>
      <c r="K338" s="19">
        <f>G338*H338</f>
        <v>0</v>
      </c>
      <c r="L338" s="30" t="s">
        <v>1127</v>
      </c>
      <c r="Z338" s="34">
        <f>IF(AQ338="5",BJ338,0)</f>
        <v>0</v>
      </c>
      <c r="AB338" s="34">
        <f>IF(AQ338="1",BH338,0)</f>
        <v>0</v>
      </c>
      <c r="AC338" s="34">
        <f>IF(AQ338="1",BI338,0)</f>
        <v>0</v>
      </c>
      <c r="AD338" s="34">
        <f>IF(AQ338="7",BH338,0)</f>
        <v>0</v>
      </c>
      <c r="AE338" s="34">
        <f>IF(AQ338="7",BI338,0)</f>
        <v>0</v>
      </c>
      <c r="AF338" s="34">
        <f>IF(AQ338="2",BH338,0)</f>
        <v>0</v>
      </c>
      <c r="AG338" s="34">
        <f>IF(AQ338="2",BI338,0)</f>
        <v>0</v>
      </c>
      <c r="AH338" s="34">
        <f>IF(AQ338="0",BJ338,0)</f>
        <v>0</v>
      </c>
      <c r="AI338" s="28" t="s">
        <v>1137</v>
      </c>
      <c r="AJ338" s="19">
        <f>IF(AN338=0,K338,0)</f>
        <v>0</v>
      </c>
      <c r="AK338" s="19">
        <f>IF(AN338=15,K338,0)</f>
        <v>0</v>
      </c>
      <c r="AL338" s="19">
        <f>IF(AN338=21,K338,0)</f>
        <v>0</v>
      </c>
      <c r="AN338" s="34">
        <v>21</v>
      </c>
      <c r="AO338" s="34">
        <f>H338*1</f>
        <v>0</v>
      </c>
      <c r="AP338" s="34">
        <f>H338*(1-1)</f>
        <v>0</v>
      </c>
      <c r="AQ338" s="30" t="s">
        <v>13</v>
      </c>
      <c r="AV338" s="34">
        <f>AW338+AX338</f>
        <v>0</v>
      </c>
      <c r="AW338" s="34">
        <f>G338*AO338</f>
        <v>0</v>
      </c>
      <c r="AX338" s="34">
        <f>G338*AP338</f>
        <v>0</v>
      </c>
      <c r="AY338" s="35" t="s">
        <v>1160</v>
      </c>
      <c r="AZ338" s="35" t="s">
        <v>1174</v>
      </c>
      <c r="BA338" s="28" t="s">
        <v>1176</v>
      </c>
      <c r="BC338" s="34">
        <f>AW338+AX338</f>
        <v>0</v>
      </c>
      <c r="BD338" s="34">
        <f>H338/(100-BE338)*100</f>
        <v>0</v>
      </c>
      <c r="BE338" s="34">
        <v>0</v>
      </c>
      <c r="BF338" s="34">
        <f>338</f>
        <v>338</v>
      </c>
      <c r="BH338" s="19">
        <f>G338*AO338</f>
        <v>0</v>
      </c>
      <c r="BI338" s="19">
        <f>G338*AP338</f>
        <v>0</v>
      </c>
      <c r="BJ338" s="19">
        <f>G338*H338</f>
        <v>0</v>
      </c>
    </row>
    <row r="339" spans="1:62" x14ac:dyDescent="0.2">
      <c r="A339" s="6" t="s">
        <v>270</v>
      </c>
      <c r="B339" s="6" t="s">
        <v>600</v>
      </c>
      <c r="C339" s="148" t="s">
        <v>983</v>
      </c>
      <c r="D339" s="149"/>
      <c r="E339" s="149"/>
      <c r="F339" s="6" t="s">
        <v>1101</v>
      </c>
      <c r="G339" s="19">
        <v>130.85599999999999</v>
      </c>
      <c r="H339" s="81">
        <v>0</v>
      </c>
      <c r="I339" s="19">
        <f>G339*AO339</f>
        <v>0</v>
      </c>
      <c r="J339" s="19">
        <f>G339*AP339</f>
        <v>0</v>
      </c>
      <c r="K339" s="19">
        <f>G339*H339</f>
        <v>0</v>
      </c>
      <c r="L339" s="30" t="s">
        <v>1127</v>
      </c>
      <c r="Z339" s="34">
        <f>IF(AQ339="5",BJ339,0)</f>
        <v>0</v>
      </c>
      <c r="AB339" s="34">
        <f>IF(AQ339="1",BH339,0)</f>
        <v>0</v>
      </c>
      <c r="AC339" s="34">
        <f>IF(AQ339="1",BI339,0)</f>
        <v>0</v>
      </c>
      <c r="AD339" s="34">
        <f>IF(AQ339="7",BH339,0)</f>
        <v>0</v>
      </c>
      <c r="AE339" s="34">
        <f>IF(AQ339="7",BI339,0)</f>
        <v>0</v>
      </c>
      <c r="AF339" s="34">
        <f>IF(AQ339="2",BH339,0)</f>
        <v>0</v>
      </c>
      <c r="AG339" s="34">
        <f>IF(AQ339="2",BI339,0)</f>
        <v>0</v>
      </c>
      <c r="AH339" s="34">
        <f>IF(AQ339="0",BJ339,0)</f>
        <v>0</v>
      </c>
      <c r="AI339" s="28" t="s">
        <v>1137</v>
      </c>
      <c r="AJ339" s="19">
        <f>IF(AN339=0,K339,0)</f>
        <v>0</v>
      </c>
      <c r="AK339" s="19">
        <f>IF(AN339=15,K339,0)</f>
        <v>0</v>
      </c>
      <c r="AL339" s="19">
        <f>IF(AN339=21,K339,0)</f>
        <v>0</v>
      </c>
      <c r="AN339" s="34">
        <v>21</v>
      </c>
      <c r="AO339" s="34">
        <f>H339*1</f>
        <v>0</v>
      </c>
      <c r="AP339" s="34">
        <f>H339*(1-1)</f>
        <v>0</v>
      </c>
      <c r="AQ339" s="30" t="s">
        <v>13</v>
      </c>
      <c r="AV339" s="34">
        <f>AW339+AX339</f>
        <v>0</v>
      </c>
      <c r="AW339" s="34">
        <f>G339*AO339</f>
        <v>0</v>
      </c>
      <c r="AX339" s="34">
        <f>G339*AP339</f>
        <v>0</v>
      </c>
      <c r="AY339" s="35" t="s">
        <v>1160</v>
      </c>
      <c r="AZ339" s="35" t="s">
        <v>1174</v>
      </c>
      <c r="BA339" s="28" t="s">
        <v>1176</v>
      </c>
      <c r="BC339" s="34">
        <f>AW339+AX339</f>
        <v>0</v>
      </c>
      <c r="BD339" s="34">
        <f>H339/(100-BE339)*100</f>
        <v>0</v>
      </c>
      <c r="BE339" s="34">
        <v>0</v>
      </c>
      <c r="BF339" s="34">
        <f>339</f>
        <v>339</v>
      </c>
      <c r="BH339" s="19">
        <f>G339*AO339</f>
        <v>0</v>
      </c>
      <c r="BI339" s="19">
        <f>G339*AP339</f>
        <v>0</v>
      </c>
      <c r="BJ339" s="19">
        <f>G339*H339</f>
        <v>0</v>
      </c>
    </row>
    <row r="340" spans="1:62" x14ac:dyDescent="0.2">
      <c r="A340" s="5" t="s">
        <v>271</v>
      </c>
      <c r="B340" s="5" t="s">
        <v>601</v>
      </c>
      <c r="C340" s="135" t="s">
        <v>984</v>
      </c>
      <c r="D340" s="136"/>
      <c r="E340" s="136"/>
      <c r="F340" s="5" t="s">
        <v>1102</v>
      </c>
      <c r="G340" s="18">
        <v>7.9269999999999996</v>
      </c>
      <c r="H340" s="79">
        <v>0</v>
      </c>
      <c r="I340" s="18">
        <f>G340*AO340</f>
        <v>0</v>
      </c>
      <c r="J340" s="18">
        <f>G340*AP340</f>
        <v>0</v>
      </c>
      <c r="K340" s="18">
        <f>G340*H340</f>
        <v>0</v>
      </c>
      <c r="L340" s="29" t="s">
        <v>1127</v>
      </c>
      <c r="Z340" s="34">
        <f>IF(AQ340="5",BJ340,0)</f>
        <v>0</v>
      </c>
      <c r="AB340" s="34">
        <f>IF(AQ340="1",BH340,0)</f>
        <v>0</v>
      </c>
      <c r="AC340" s="34">
        <f>IF(AQ340="1",BI340,0)</f>
        <v>0</v>
      </c>
      <c r="AD340" s="34">
        <f>IF(AQ340="7",BH340,0)</f>
        <v>0</v>
      </c>
      <c r="AE340" s="34">
        <f>IF(AQ340="7",BI340,0)</f>
        <v>0</v>
      </c>
      <c r="AF340" s="34">
        <f>IF(AQ340="2",BH340,0)</f>
        <v>0</v>
      </c>
      <c r="AG340" s="34">
        <f>IF(AQ340="2",BI340,0)</f>
        <v>0</v>
      </c>
      <c r="AH340" s="34">
        <f>IF(AQ340="0",BJ340,0)</f>
        <v>0</v>
      </c>
      <c r="AI340" s="28" t="s">
        <v>1137</v>
      </c>
      <c r="AJ340" s="18">
        <f>IF(AN340=0,K340,0)</f>
        <v>0</v>
      </c>
      <c r="AK340" s="18">
        <f>IF(AN340=15,K340,0)</f>
        <v>0</v>
      </c>
      <c r="AL340" s="18">
        <f>IF(AN340=21,K340,0)</f>
        <v>0</v>
      </c>
      <c r="AN340" s="34">
        <v>21</v>
      </c>
      <c r="AO340" s="34">
        <f>H340*0</f>
        <v>0</v>
      </c>
      <c r="AP340" s="34">
        <f>H340*(1-0)</f>
        <v>0</v>
      </c>
      <c r="AQ340" s="29" t="s">
        <v>11</v>
      </c>
      <c r="AV340" s="34">
        <f>AW340+AX340</f>
        <v>0</v>
      </c>
      <c r="AW340" s="34">
        <f>G340*AO340</f>
        <v>0</v>
      </c>
      <c r="AX340" s="34">
        <f>G340*AP340</f>
        <v>0</v>
      </c>
      <c r="AY340" s="35" t="s">
        <v>1160</v>
      </c>
      <c r="AZ340" s="35" t="s">
        <v>1174</v>
      </c>
      <c r="BA340" s="28" t="s">
        <v>1176</v>
      </c>
      <c r="BC340" s="34">
        <f>AW340+AX340</f>
        <v>0</v>
      </c>
      <c r="BD340" s="34">
        <f>H340/(100-BE340)*100</f>
        <v>0</v>
      </c>
      <c r="BE340" s="34">
        <v>0</v>
      </c>
      <c r="BF340" s="34">
        <f>340</f>
        <v>340</v>
      </c>
      <c r="BH340" s="18">
        <f>G340*AO340</f>
        <v>0</v>
      </c>
      <c r="BI340" s="18">
        <f>G340*AP340</f>
        <v>0</v>
      </c>
      <c r="BJ340" s="18">
        <f>G340*H340</f>
        <v>0</v>
      </c>
    </row>
    <row r="341" spans="1:62" x14ac:dyDescent="0.2">
      <c r="A341" s="4"/>
      <c r="B341" s="14" t="s">
        <v>602</v>
      </c>
      <c r="C341" s="133" t="s">
        <v>985</v>
      </c>
      <c r="D341" s="134"/>
      <c r="E341" s="134"/>
      <c r="F341" s="4" t="s">
        <v>6</v>
      </c>
      <c r="G341" s="4" t="s">
        <v>6</v>
      </c>
      <c r="H341" s="4" t="s">
        <v>6</v>
      </c>
      <c r="I341" s="37">
        <f>SUM(I342:I345)</f>
        <v>0</v>
      </c>
      <c r="J341" s="37">
        <f>SUM(J342:J345)</f>
        <v>0</v>
      </c>
      <c r="K341" s="37">
        <f>SUM(K342:K345)</f>
        <v>0</v>
      </c>
      <c r="L341" s="28"/>
      <c r="AI341" s="28" t="s">
        <v>1137</v>
      </c>
      <c r="AS341" s="37">
        <f>SUM(AJ342:AJ345)</f>
        <v>0</v>
      </c>
      <c r="AT341" s="37">
        <f>SUM(AK342:AK345)</f>
        <v>0</v>
      </c>
      <c r="AU341" s="37">
        <f>SUM(AL342:AL345)</f>
        <v>0</v>
      </c>
    </row>
    <row r="342" spans="1:62" x14ac:dyDescent="0.2">
      <c r="A342" s="5" t="s">
        <v>272</v>
      </c>
      <c r="B342" s="5" t="s">
        <v>603</v>
      </c>
      <c r="C342" s="135" t="s">
        <v>986</v>
      </c>
      <c r="D342" s="136"/>
      <c r="E342" s="136"/>
      <c r="F342" s="5" t="s">
        <v>1100</v>
      </c>
      <c r="G342" s="18">
        <v>90.108000000000004</v>
      </c>
      <c r="H342" s="79">
        <v>0</v>
      </c>
      <c r="I342" s="18">
        <f>G342*AO342</f>
        <v>0</v>
      </c>
      <c r="J342" s="18">
        <f>G342*AP342</f>
        <v>0</v>
      </c>
      <c r="K342" s="18">
        <f>G342*H342</f>
        <v>0</v>
      </c>
      <c r="L342" s="29" t="s">
        <v>1127</v>
      </c>
      <c r="Z342" s="34">
        <f>IF(AQ342="5",BJ342,0)</f>
        <v>0</v>
      </c>
      <c r="AB342" s="34">
        <f>IF(AQ342="1",BH342,0)</f>
        <v>0</v>
      </c>
      <c r="AC342" s="34">
        <f>IF(AQ342="1",BI342,0)</f>
        <v>0</v>
      </c>
      <c r="AD342" s="34">
        <f>IF(AQ342="7",BH342,0)</f>
        <v>0</v>
      </c>
      <c r="AE342" s="34">
        <f>IF(AQ342="7",BI342,0)</f>
        <v>0</v>
      </c>
      <c r="AF342" s="34">
        <f>IF(AQ342="2",BH342,0)</f>
        <v>0</v>
      </c>
      <c r="AG342" s="34">
        <f>IF(AQ342="2",BI342,0)</f>
        <v>0</v>
      </c>
      <c r="AH342" s="34">
        <f>IF(AQ342="0",BJ342,0)</f>
        <v>0</v>
      </c>
      <c r="AI342" s="28" t="s">
        <v>1137</v>
      </c>
      <c r="AJ342" s="18">
        <f>IF(AN342=0,K342,0)</f>
        <v>0</v>
      </c>
      <c r="AK342" s="18">
        <f>IF(AN342=15,K342,0)</f>
        <v>0</v>
      </c>
      <c r="AL342" s="18">
        <f>IF(AN342=21,K342,0)</f>
        <v>0</v>
      </c>
      <c r="AN342" s="34">
        <v>21</v>
      </c>
      <c r="AO342" s="34">
        <f>H342*0.402944158507798</f>
        <v>0</v>
      </c>
      <c r="AP342" s="34">
        <f>H342*(1-0.402944158507798)</f>
        <v>0</v>
      </c>
      <c r="AQ342" s="29" t="s">
        <v>13</v>
      </c>
      <c r="AV342" s="34">
        <f>AW342+AX342</f>
        <v>0</v>
      </c>
      <c r="AW342" s="34">
        <f>G342*AO342</f>
        <v>0</v>
      </c>
      <c r="AX342" s="34">
        <f>G342*AP342</f>
        <v>0</v>
      </c>
      <c r="AY342" s="35" t="s">
        <v>1161</v>
      </c>
      <c r="AZ342" s="35" t="s">
        <v>1174</v>
      </c>
      <c r="BA342" s="28" t="s">
        <v>1176</v>
      </c>
      <c r="BC342" s="34">
        <f>AW342+AX342</f>
        <v>0</v>
      </c>
      <c r="BD342" s="34">
        <f>H342/(100-BE342)*100</f>
        <v>0</v>
      </c>
      <c r="BE342" s="34">
        <v>0</v>
      </c>
      <c r="BF342" s="34">
        <f>342</f>
        <v>342</v>
      </c>
      <c r="BH342" s="18">
        <f>G342*AO342</f>
        <v>0</v>
      </c>
      <c r="BI342" s="18">
        <f>G342*AP342</f>
        <v>0</v>
      </c>
      <c r="BJ342" s="18">
        <f>G342*H342</f>
        <v>0</v>
      </c>
    </row>
    <row r="343" spans="1:62" x14ac:dyDescent="0.2">
      <c r="C343" s="131" t="s">
        <v>987</v>
      </c>
      <c r="D343" s="132"/>
      <c r="E343" s="132"/>
      <c r="H343" s="80"/>
    </row>
    <row r="344" spans="1:62" x14ac:dyDescent="0.2">
      <c r="A344" s="5" t="s">
        <v>273</v>
      </c>
      <c r="B344" s="5" t="s">
        <v>604</v>
      </c>
      <c r="C344" s="135" t="s">
        <v>988</v>
      </c>
      <c r="D344" s="136"/>
      <c r="E344" s="136"/>
      <c r="F344" s="5" t="s">
        <v>1100</v>
      </c>
      <c r="G344" s="18">
        <v>17.04</v>
      </c>
      <c r="H344" s="79">
        <v>0</v>
      </c>
      <c r="I344" s="18">
        <f>G344*AO344</f>
        <v>0</v>
      </c>
      <c r="J344" s="18">
        <f>G344*AP344</f>
        <v>0</v>
      </c>
      <c r="K344" s="18">
        <f>G344*H344</f>
        <v>0</v>
      </c>
      <c r="L344" s="29" t="s">
        <v>1127</v>
      </c>
      <c r="Z344" s="34">
        <f>IF(AQ344="5",BJ344,0)</f>
        <v>0</v>
      </c>
      <c r="AB344" s="34">
        <f>IF(AQ344="1",BH344,0)</f>
        <v>0</v>
      </c>
      <c r="AC344" s="34">
        <f>IF(AQ344="1",BI344,0)</f>
        <v>0</v>
      </c>
      <c r="AD344" s="34">
        <f>IF(AQ344="7",BH344,0)</f>
        <v>0</v>
      </c>
      <c r="AE344" s="34">
        <f>IF(AQ344="7",BI344,0)</f>
        <v>0</v>
      </c>
      <c r="AF344" s="34">
        <f>IF(AQ344="2",BH344,0)</f>
        <v>0</v>
      </c>
      <c r="AG344" s="34">
        <f>IF(AQ344="2",BI344,0)</f>
        <v>0</v>
      </c>
      <c r="AH344" s="34">
        <f>IF(AQ344="0",BJ344,0)</f>
        <v>0</v>
      </c>
      <c r="AI344" s="28" t="s">
        <v>1137</v>
      </c>
      <c r="AJ344" s="18">
        <f>IF(AN344=0,K344,0)</f>
        <v>0</v>
      </c>
      <c r="AK344" s="18">
        <f>IF(AN344=15,K344,0)</f>
        <v>0</v>
      </c>
      <c r="AL344" s="18">
        <f>IF(AN344=21,K344,0)</f>
        <v>0</v>
      </c>
      <c r="AN344" s="34">
        <v>21</v>
      </c>
      <c r="AO344" s="34">
        <f>H344*0.620882673288895</f>
        <v>0</v>
      </c>
      <c r="AP344" s="34">
        <f>H344*(1-0.620882673288895)</f>
        <v>0</v>
      </c>
      <c r="AQ344" s="29" t="s">
        <v>13</v>
      </c>
      <c r="AV344" s="34">
        <f>AW344+AX344</f>
        <v>0</v>
      </c>
      <c r="AW344" s="34">
        <f>G344*AO344</f>
        <v>0</v>
      </c>
      <c r="AX344" s="34">
        <f>G344*AP344</f>
        <v>0</v>
      </c>
      <c r="AY344" s="35" t="s">
        <v>1161</v>
      </c>
      <c r="AZ344" s="35" t="s">
        <v>1174</v>
      </c>
      <c r="BA344" s="28" t="s">
        <v>1176</v>
      </c>
      <c r="BC344" s="34">
        <f>AW344+AX344</f>
        <v>0</v>
      </c>
      <c r="BD344" s="34">
        <f>H344/(100-BE344)*100</f>
        <v>0</v>
      </c>
      <c r="BE344" s="34">
        <v>0</v>
      </c>
      <c r="BF344" s="34">
        <f>344</f>
        <v>344</v>
      </c>
      <c r="BH344" s="18">
        <f>G344*AO344</f>
        <v>0</v>
      </c>
      <c r="BI344" s="18">
        <f>G344*AP344</f>
        <v>0</v>
      </c>
      <c r="BJ344" s="18">
        <f>G344*H344</f>
        <v>0</v>
      </c>
    </row>
    <row r="345" spans="1:62" x14ac:dyDescent="0.2">
      <c r="A345" s="5" t="s">
        <v>274</v>
      </c>
      <c r="B345" s="5" t="s">
        <v>605</v>
      </c>
      <c r="C345" s="135" t="s">
        <v>989</v>
      </c>
      <c r="D345" s="136"/>
      <c r="E345" s="136"/>
      <c r="F345" s="5" t="s">
        <v>1100</v>
      </c>
      <c r="G345" s="18">
        <v>265.40800000000002</v>
      </c>
      <c r="H345" s="79">
        <v>0</v>
      </c>
      <c r="I345" s="18">
        <f>G345*AO345</f>
        <v>0</v>
      </c>
      <c r="J345" s="18">
        <f>G345*AP345</f>
        <v>0</v>
      </c>
      <c r="K345" s="18">
        <f>G345*H345</f>
        <v>0</v>
      </c>
      <c r="L345" s="29" t="s">
        <v>1127</v>
      </c>
      <c r="Z345" s="34">
        <f>IF(AQ345="5",BJ345,0)</f>
        <v>0</v>
      </c>
      <c r="AB345" s="34">
        <f>IF(AQ345="1",BH345,0)</f>
        <v>0</v>
      </c>
      <c r="AC345" s="34">
        <f>IF(AQ345="1",BI345,0)</f>
        <v>0</v>
      </c>
      <c r="AD345" s="34">
        <f>IF(AQ345="7",BH345,0)</f>
        <v>0</v>
      </c>
      <c r="AE345" s="34">
        <f>IF(AQ345="7",BI345,0)</f>
        <v>0</v>
      </c>
      <c r="AF345" s="34">
        <f>IF(AQ345="2",BH345,0)</f>
        <v>0</v>
      </c>
      <c r="AG345" s="34">
        <f>IF(AQ345="2",BI345,0)</f>
        <v>0</v>
      </c>
      <c r="AH345" s="34">
        <f>IF(AQ345="0",BJ345,0)</f>
        <v>0</v>
      </c>
      <c r="AI345" s="28" t="s">
        <v>1137</v>
      </c>
      <c r="AJ345" s="18">
        <f>IF(AN345=0,K345,0)</f>
        <v>0</v>
      </c>
      <c r="AK345" s="18">
        <f>IF(AN345=15,K345,0)</f>
        <v>0</v>
      </c>
      <c r="AL345" s="18">
        <f>IF(AN345=21,K345,0)</f>
        <v>0</v>
      </c>
      <c r="AN345" s="34">
        <v>21</v>
      </c>
      <c r="AO345" s="34">
        <f>H345*0.152307441688264</f>
        <v>0</v>
      </c>
      <c r="AP345" s="34">
        <f>H345*(1-0.152307441688264)</f>
        <v>0</v>
      </c>
      <c r="AQ345" s="29" t="s">
        <v>13</v>
      </c>
      <c r="AV345" s="34">
        <f>AW345+AX345</f>
        <v>0</v>
      </c>
      <c r="AW345" s="34">
        <f>G345*AO345</f>
        <v>0</v>
      </c>
      <c r="AX345" s="34">
        <f>G345*AP345</f>
        <v>0</v>
      </c>
      <c r="AY345" s="35" t="s">
        <v>1161</v>
      </c>
      <c r="AZ345" s="35" t="s">
        <v>1174</v>
      </c>
      <c r="BA345" s="28" t="s">
        <v>1176</v>
      </c>
      <c r="BC345" s="34">
        <f>AW345+AX345</f>
        <v>0</v>
      </c>
      <c r="BD345" s="34">
        <f>H345/(100-BE345)*100</f>
        <v>0</v>
      </c>
      <c r="BE345" s="34">
        <v>0</v>
      </c>
      <c r="BF345" s="34">
        <f>345</f>
        <v>345</v>
      </c>
      <c r="BH345" s="18">
        <f>G345*AO345</f>
        <v>0</v>
      </c>
      <c r="BI345" s="18">
        <f>G345*AP345</f>
        <v>0</v>
      </c>
      <c r="BJ345" s="18">
        <f>G345*H345</f>
        <v>0</v>
      </c>
    </row>
    <row r="346" spans="1:62" x14ac:dyDescent="0.2">
      <c r="C346" s="131" t="s">
        <v>990</v>
      </c>
      <c r="D346" s="132"/>
      <c r="E346" s="132"/>
      <c r="H346" s="80"/>
    </row>
    <row r="347" spans="1:62" x14ac:dyDescent="0.2">
      <c r="A347" s="4"/>
      <c r="B347" s="14" t="s">
        <v>606</v>
      </c>
      <c r="C347" s="133" t="s">
        <v>991</v>
      </c>
      <c r="D347" s="134"/>
      <c r="E347" s="134"/>
      <c r="F347" s="4" t="s">
        <v>6</v>
      </c>
      <c r="G347" s="4" t="s">
        <v>6</v>
      </c>
      <c r="H347" s="4" t="s">
        <v>6</v>
      </c>
      <c r="I347" s="37">
        <f>SUM(I348:I420)</f>
        <v>0</v>
      </c>
      <c r="J347" s="37">
        <f>SUM(J348:J420)</f>
        <v>0</v>
      </c>
      <c r="K347" s="37">
        <f>SUM(K348:K420)</f>
        <v>0</v>
      </c>
      <c r="L347" s="28"/>
      <c r="AI347" s="28" t="s">
        <v>1137</v>
      </c>
      <c r="AS347" s="37">
        <f>SUM(AJ348:AJ420)</f>
        <v>0</v>
      </c>
      <c r="AT347" s="37">
        <f>SUM(AK348:AK420)</f>
        <v>0</v>
      </c>
      <c r="AU347" s="37">
        <f>SUM(AL348:AL420)</f>
        <v>0</v>
      </c>
    </row>
    <row r="348" spans="1:62" x14ac:dyDescent="0.2">
      <c r="A348" s="5" t="s">
        <v>275</v>
      </c>
      <c r="B348" s="5" t="s">
        <v>607</v>
      </c>
      <c r="C348" s="135" t="s">
        <v>992</v>
      </c>
      <c r="D348" s="136"/>
      <c r="E348" s="136"/>
      <c r="F348" s="5" t="s">
        <v>1099</v>
      </c>
      <c r="G348" s="18">
        <v>16</v>
      </c>
      <c r="H348" s="79">
        <v>0</v>
      </c>
      <c r="I348" s="18">
        <f t="shared" ref="I348:I379" si="188">G348*AO348</f>
        <v>0</v>
      </c>
      <c r="J348" s="18">
        <f t="shared" ref="J348:J379" si="189">G348*AP348</f>
        <v>0</v>
      </c>
      <c r="K348" s="18">
        <f t="shared" ref="K348:K379" si="190">G348*H348</f>
        <v>0</v>
      </c>
      <c r="L348" s="29" t="s">
        <v>1127</v>
      </c>
      <c r="Z348" s="34">
        <f t="shared" ref="Z348:Z379" si="191">IF(AQ348="5",BJ348,0)</f>
        <v>0</v>
      </c>
      <c r="AB348" s="34">
        <f t="shared" ref="AB348:AB379" si="192">IF(AQ348="1",BH348,0)</f>
        <v>0</v>
      </c>
      <c r="AC348" s="34">
        <f t="shared" ref="AC348:AC379" si="193">IF(AQ348="1",BI348,0)</f>
        <v>0</v>
      </c>
      <c r="AD348" s="34">
        <f t="shared" ref="AD348:AD379" si="194">IF(AQ348="7",BH348,0)</f>
        <v>0</v>
      </c>
      <c r="AE348" s="34">
        <f t="shared" ref="AE348:AE379" si="195">IF(AQ348="7",BI348,0)</f>
        <v>0</v>
      </c>
      <c r="AF348" s="34">
        <f t="shared" ref="AF348:AF379" si="196">IF(AQ348="2",BH348,0)</f>
        <v>0</v>
      </c>
      <c r="AG348" s="34">
        <f t="shared" ref="AG348:AG379" si="197">IF(AQ348="2",BI348,0)</f>
        <v>0</v>
      </c>
      <c r="AH348" s="34">
        <f t="shared" ref="AH348:AH379" si="198">IF(AQ348="0",BJ348,0)</f>
        <v>0</v>
      </c>
      <c r="AI348" s="28" t="s">
        <v>1137</v>
      </c>
      <c r="AJ348" s="18">
        <f t="shared" ref="AJ348:AJ379" si="199">IF(AN348=0,K348,0)</f>
        <v>0</v>
      </c>
      <c r="AK348" s="18">
        <f t="shared" ref="AK348:AK379" si="200">IF(AN348=15,K348,0)</f>
        <v>0</v>
      </c>
      <c r="AL348" s="18">
        <f t="shared" ref="AL348:AL379" si="201">IF(AN348=21,K348,0)</f>
        <v>0</v>
      </c>
      <c r="AN348" s="34">
        <v>21</v>
      </c>
      <c r="AO348" s="34">
        <f t="shared" ref="AO348:AO363" si="202">H348*0</f>
        <v>0</v>
      </c>
      <c r="AP348" s="34">
        <f t="shared" ref="AP348:AP363" si="203">H348*(1-0)</f>
        <v>0</v>
      </c>
      <c r="AQ348" s="29" t="s">
        <v>7</v>
      </c>
      <c r="AV348" s="34">
        <f t="shared" ref="AV348:AV379" si="204">AW348+AX348</f>
        <v>0</v>
      </c>
      <c r="AW348" s="34">
        <f t="shared" ref="AW348:AW379" si="205">G348*AO348</f>
        <v>0</v>
      </c>
      <c r="AX348" s="34">
        <f t="shared" ref="AX348:AX379" si="206">G348*AP348</f>
        <v>0</v>
      </c>
      <c r="AY348" s="35" t="s">
        <v>1162</v>
      </c>
      <c r="AZ348" s="35" t="s">
        <v>1169</v>
      </c>
      <c r="BA348" s="28" t="s">
        <v>1176</v>
      </c>
      <c r="BC348" s="34">
        <f t="shared" ref="BC348:BC379" si="207">AW348+AX348</f>
        <v>0</v>
      </c>
      <c r="BD348" s="34">
        <f t="shared" ref="BD348:BD379" si="208">H348/(100-BE348)*100</f>
        <v>0</v>
      </c>
      <c r="BE348" s="34">
        <v>0</v>
      </c>
      <c r="BF348" s="34">
        <f>348</f>
        <v>348</v>
      </c>
      <c r="BH348" s="18">
        <f t="shared" ref="BH348:BH379" si="209">G348*AO348</f>
        <v>0</v>
      </c>
      <c r="BI348" s="18">
        <f t="shared" ref="BI348:BI379" si="210">G348*AP348</f>
        <v>0</v>
      </c>
      <c r="BJ348" s="18">
        <f t="shared" ref="BJ348:BJ379" si="211">G348*H348</f>
        <v>0</v>
      </c>
    </row>
    <row r="349" spans="1:62" x14ac:dyDescent="0.2">
      <c r="A349" s="5" t="s">
        <v>276</v>
      </c>
      <c r="B349" s="5" t="s">
        <v>608</v>
      </c>
      <c r="C349" s="135" t="s">
        <v>993</v>
      </c>
      <c r="D349" s="136"/>
      <c r="E349" s="136"/>
      <c r="F349" s="5" t="s">
        <v>1099</v>
      </c>
      <c r="G349" s="18">
        <v>8</v>
      </c>
      <c r="H349" s="79">
        <v>0</v>
      </c>
      <c r="I349" s="18">
        <f t="shared" si="188"/>
        <v>0</v>
      </c>
      <c r="J349" s="18">
        <f t="shared" si="189"/>
        <v>0</v>
      </c>
      <c r="K349" s="18">
        <f t="shared" si="190"/>
        <v>0</v>
      </c>
      <c r="L349" s="29" t="s">
        <v>1127</v>
      </c>
      <c r="Z349" s="34">
        <f t="shared" si="191"/>
        <v>0</v>
      </c>
      <c r="AB349" s="34">
        <f t="shared" si="192"/>
        <v>0</v>
      </c>
      <c r="AC349" s="34">
        <f t="shared" si="193"/>
        <v>0</v>
      </c>
      <c r="AD349" s="34">
        <f t="shared" si="194"/>
        <v>0</v>
      </c>
      <c r="AE349" s="34">
        <f t="shared" si="195"/>
        <v>0</v>
      </c>
      <c r="AF349" s="34">
        <f t="shared" si="196"/>
        <v>0</v>
      </c>
      <c r="AG349" s="34">
        <f t="shared" si="197"/>
        <v>0</v>
      </c>
      <c r="AH349" s="34">
        <f t="shared" si="198"/>
        <v>0</v>
      </c>
      <c r="AI349" s="28" t="s">
        <v>1137</v>
      </c>
      <c r="AJ349" s="18">
        <f t="shared" si="199"/>
        <v>0</v>
      </c>
      <c r="AK349" s="18">
        <f t="shared" si="200"/>
        <v>0</v>
      </c>
      <c r="AL349" s="18">
        <f t="shared" si="201"/>
        <v>0</v>
      </c>
      <c r="AN349" s="34">
        <v>21</v>
      </c>
      <c r="AO349" s="34">
        <f t="shared" si="202"/>
        <v>0</v>
      </c>
      <c r="AP349" s="34">
        <f t="shared" si="203"/>
        <v>0</v>
      </c>
      <c r="AQ349" s="29" t="s">
        <v>7</v>
      </c>
      <c r="AV349" s="34">
        <f t="shared" si="204"/>
        <v>0</v>
      </c>
      <c r="AW349" s="34">
        <f t="shared" si="205"/>
        <v>0</v>
      </c>
      <c r="AX349" s="34">
        <f t="shared" si="206"/>
        <v>0</v>
      </c>
      <c r="AY349" s="35" t="s">
        <v>1162</v>
      </c>
      <c r="AZ349" s="35" t="s">
        <v>1169</v>
      </c>
      <c r="BA349" s="28" t="s">
        <v>1176</v>
      </c>
      <c r="BC349" s="34">
        <f t="shared" si="207"/>
        <v>0</v>
      </c>
      <c r="BD349" s="34">
        <f t="shared" si="208"/>
        <v>0</v>
      </c>
      <c r="BE349" s="34">
        <v>0</v>
      </c>
      <c r="BF349" s="34">
        <f>349</f>
        <v>349</v>
      </c>
      <c r="BH349" s="18">
        <f t="shared" si="209"/>
        <v>0</v>
      </c>
      <c r="BI349" s="18">
        <f t="shared" si="210"/>
        <v>0</v>
      </c>
      <c r="BJ349" s="18">
        <f t="shared" si="211"/>
        <v>0</v>
      </c>
    </row>
    <row r="350" spans="1:62" x14ac:dyDescent="0.2">
      <c r="A350" s="5" t="s">
        <v>277</v>
      </c>
      <c r="B350" s="5" t="s">
        <v>609</v>
      </c>
      <c r="C350" s="135" t="s">
        <v>994</v>
      </c>
      <c r="D350" s="136"/>
      <c r="E350" s="136"/>
      <c r="F350" s="5" t="s">
        <v>1099</v>
      </c>
      <c r="G350" s="18">
        <v>50</v>
      </c>
      <c r="H350" s="79">
        <v>0</v>
      </c>
      <c r="I350" s="18">
        <f t="shared" si="188"/>
        <v>0</v>
      </c>
      <c r="J350" s="18">
        <f t="shared" si="189"/>
        <v>0</v>
      </c>
      <c r="K350" s="18">
        <f t="shared" si="190"/>
        <v>0</v>
      </c>
      <c r="L350" s="29" t="s">
        <v>1127</v>
      </c>
      <c r="Z350" s="34">
        <f t="shared" si="191"/>
        <v>0</v>
      </c>
      <c r="AB350" s="34">
        <f t="shared" si="192"/>
        <v>0</v>
      </c>
      <c r="AC350" s="34">
        <f t="shared" si="193"/>
        <v>0</v>
      </c>
      <c r="AD350" s="34">
        <f t="shared" si="194"/>
        <v>0</v>
      </c>
      <c r="AE350" s="34">
        <f t="shared" si="195"/>
        <v>0</v>
      </c>
      <c r="AF350" s="34">
        <f t="shared" si="196"/>
        <v>0</v>
      </c>
      <c r="AG350" s="34">
        <f t="shared" si="197"/>
        <v>0</v>
      </c>
      <c r="AH350" s="34">
        <f t="shared" si="198"/>
        <v>0</v>
      </c>
      <c r="AI350" s="28" t="s">
        <v>1137</v>
      </c>
      <c r="AJ350" s="18">
        <f t="shared" si="199"/>
        <v>0</v>
      </c>
      <c r="AK350" s="18">
        <f t="shared" si="200"/>
        <v>0</v>
      </c>
      <c r="AL350" s="18">
        <f t="shared" si="201"/>
        <v>0</v>
      </c>
      <c r="AN350" s="34">
        <v>21</v>
      </c>
      <c r="AO350" s="34">
        <f t="shared" si="202"/>
        <v>0</v>
      </c>
      <c r="AP350" s="34">
        <f t="shared" si="203"/>
        <v>0</v>
      </c>
      <c r="AQ350" s="29" t="s">
        <v>7</v>
      </c>
      <c r="AV350" s="34">
        <f t="shared" si="204"/>
        <v>0</v>
      </c>
      <c r="AW350" s="34">
        <f t="shared" si="205"/>
        <v>0</v>
      </c>
      <c r="AX350" s="34">
        <f t="shared" si="206"/>
        <v>0</v>
      </c>
      <c r="AY350" s="35" t="s">
        <v>1162</v>
      </c>
      <c r="AZ350" s="35" t="s">
        <v>1169</v>
      </c>
      <c r="BA350" s="28" t="s">
        <v>1176</v>
      </c>
      <c r="BC350" s="34">
        <f t="shared" si="207"/>
        <v>0</v>
      </c>
      <c r="BD350" s="34">
        <f t="shared" si="208"/>
        <v>0</v>
      </c>
      <c r="BE350" s="34">
        <v>0</v>
      </c>
      <c r="BF350" s="34">
        <f>350</f>
        <v>350</v>
      </c>
      <c r="BH350" s="18">
        <f t="shared" si="209"/>
        <v>0</v>
      </c>
      <c r="BI350" s="18">
        <f t="shared" si="210"/>
        <v>0</v>
      </c>
      <c r="BJ350" s="18">
        <f t="shared" si="211"/>
        <v>0</v>
      </c>
    </row>
    <row r="351" spans="1:62" x14ac:dyDescent="0.2">
      <c r="A351" s="5" t="s">
        <v>278</v>
      </c>
      <c r="B351" s="5" t="s">
        <v>610</v>
      </c>
      <c r="C351" s="135" t="s">
        <v>995</v>
      </c>
      <c r="D351" s="136"/>
      <c r="E351" s="136"/>
      <c r="F351" s="5" t="s">
        <v>1101</v>
      </c>
      <c r="G351" s="18">
        <v>80</v>
      </c>
      <c r="H351" s="79">
        <v>0</v>
      </c>
      <c r="I351" s="18">
        <f t="shared" si="188"/>
        <v>0</v>
      </c>
      <c r="J351" s="18">
        <f t="shared" si="189"/>
        <v>0</v>
      </c>
      <c r="K351" s="18">
        <f t="shared" si="190"/>
        <v>0</v>
      </c>
      <c r="L351" s="29" t="s">
        <v>1127</v>
      </c>
      <c r="Z351" s="34">
        <f t="shared" si="191"/>
        <v>0</v>
      </c>
      <c r="AB351" s="34">
        <f t="shared" si="192"/>
        <v>0</v>
      </c>
      <c r="AC351" s="34">
        <f t="shared" si="193"/>
        <v>0</v>
      </c>
      <c r="AD351" s="34">
        <f t="shared" si="194"/>
        <v>0</v>
      </c>
      <c r="AE351" s="34">
        <f t="shared" si="195"/>
        <v>0</v>
      </c>
      <c r="AF351" s="34">
        <f t="shared" si="196"/>
        <v>0</v>
      </c>
      <c r="AG351" s="34">
        <f t="shared" si="197"/>
        <v>0</v>
      </c>
      <c r="AH351" s="34">
        <f t="shared" si="198"/>
        <v>0</v>
      </c>
      <c r="AI351" s="28" t="s">
        <v>1137</v>
      </c>
      <c r="AJ351" s="18">
        <f t="shared" si="199"/>
        <v>0</v>
      </c>
      <c r="AK351" s="18">
        <f t="shared" si="200"/>
        <v>0</v>
      </c>
      <c r="AL351" s="18">
        <f t="shared" si="201"/>
        <v>0</v>
      </c>
      <c r="AN351" s="34">
        <v>21</v>
      </c>
      <c r="AO351" s="34">
        <f t="shared" si="202"/>
        <v>0</v>
      </c>
      <c r="AP351" s="34">
        <f t="shared" si="203"/>
        <v>0</v>
      </c>
      <c r="AQ351" s="29" t="s">
        <v>7</v>
      </c>
      <c r="AV351" s="34">
        <f t="shared" si="204"/>
        <v>0</v>
      </c>
      <c r="AW351" s="34">
        <f t="shared" si="205"/>
        <v>0</v>
      </c>
      <c r="AX351" s="34">
        <f t="shared" si="206"/>
        <v>0</v>
      </c>
      <c r="AY351" s="35" t="s">
        <v>1162</v>
      </c>
      <c r="AZ351" s="35" t="s">
        <v>1169</v>
      </c>
      <c r="BA351" s="28" t="s">
        <v>1176</v>
      </c>
      <c r="BC351" s="34">
        <f t="shared" si="207"/>
        <v>0</v>
      </c>
      <c r="BD351" s="34">
        <f t="shared" si="208"/>
        <v>0</v>
      </c>
      <c r="BE351" s="34">
        <v>0</v>
      </c>
      <c r="BF351" s="34">
        <f>351</f>
        <v>351</v>
      </c>
      <c r="BH351" s="18">
        <f t="shared" si="209"/>
        <v>0</v>
      </c>
      <c r="BI351" s="18">
        <f t="shared" si="210"/>
        <v>0</v>
      </c>
      <c r="BJ351" s="18">
        <f t="shared" si="211"/>
        <v>0</v>
      </c>
    </row>
    <row r="352" spans="1:62" x14ac:dyDescent="0.2">
      <c r="A352" s="5" t="s">
        <v>279</v>
      </c>
      <c r="B352" s="5" t="s">
        <v>611</v>
      </c>
      <c r="C352" s="135" t="s">
        <v>996</v>
      </c>
      <c r="D352" s="136"/>
      <c r="E352" s="136"/>
      <c r="F352" s="5" t="s">
        <v>1101</v>
      </c>
      <c r="G352" s="18">
        <v>16</v>
      </c>
      <c r="H352" s="79">
        <v>0</v>
      </c>
      <c r="I352" s="18">
        <f t="shared" si="188"/>
        <v>0</v>
      </c>
      <c r="J352" s="18">
        <f t="shared" si="189"/>
        <v>0</v>
      </c>
      <c r="K352" s="18">
        <f t="shared" si="190"/>
        <v>0</v>
      </c>
      <c r="L352" s="29" t="s">
        <v>1127</v>
      </c>
      <c r="Z352" s="34">
        <f t="shared" si="191"/>
        <v>0</v>
      </c>
      <c r="AB352" s="34">
        <f t="shared" si="192"/>
        <v>0</v>
      </c>
      <c r="AC352" s="34">
        <f t="shared" si="193"/>
        <v>0</v>
      </c>
      <c r="AD352" s="34">
        <f t="shared" si="194"/>
        <v>0</v>
      </c>
      <c r="AE352" s="34">
        <f t="shared" si="195"/>
        <v>0</v>
      </c>
      <c r="AF352" s="34">
        <f t="shared" si="196"/>
        <v>0</v>
      </c>
      <c r="AG352" s="34">
        <f t="shared" si="197"/>
        <v>0</v>
      </c>
      <c r="AH352" s="34">
        <f t="shared" si="198"/>
        <v>0</v>
      </c>
      <c r="AI352" s="28" t="s">
        <v>1137</v>
      </c>
      <c r="AJ352" s="18">
        <f t="shared" si="199"/>
        <v>0</v>
      </c>
      <c r="AK352" s="18">
        <f t="shared" si="200"/>
        <v>0</v>
      </c>
      <c r="AL352" s="18">
        <f t="shared" si="201"/>
        <v>0</v>
      </c>
      <c r="AN352" s="34">
        <v>21</v>
      </c>
      <c r="AO352" s="34">
        <f t="shared" si="202"/>
        <v>0</v>
      </c>
      <c r="AP352" s="34">
        <f t="shared" si="203"/>
        <v>0</v>
      </c>
      <c r="AQ352" s="29" t="s">
        <v>7</v>
      </c>
      <c r="AV352" s="34">
        <f t="shared" si="204"/>
        <v>0</v>
      </c>
      <c r="AW352" s="34">
        <f t="shared" si="205"/>
        <v>0</v>
      </c>
      <c r="AX352" s="34">
        <f t="shared" si="206"/>
        <v>0</v>
      </c>
      <c r="AY352" s="35" t="s">
        <v>1162</v>
      </c>
      <c r="AZ352" s="35" t="s">
        <v>1169</v>
      </c>
      <c r="BA352" s="28" t="s">
        <v>1176</v>
      </c>
      <c r="BC352" s="34">
        <f t="shared" si="207"/>
        <v>0</v>
      </c>
      <c r="BD352" s="34">
        <f t="shared" si="208"/>
        <v>0</v>
      </c>
      <c r="BE352" s="34">
        <v>0</v>
      </c>
      <c r="BF352" s="34">
        <f>352</f>
        <v>352</v>
      </c>
      <c r="BH352" s="18">
        <f t="shared" si="209"/>
        <v>0</v>
      </c>
      <c r="BI352" s="18">
        <f t="shared" si="210"/>
        <v>0</v>
      </c>
      <c r="BJ352" s="18">
        <f t="shared" si="211"/>
        <v>0</v>
      </c>
    </row>
    <row r="353" spans="1:62" x14ac:dyDescent="0.2">
      <c r="A353" s="5" t="s">
        <v>280</v>
      </c>
      <c r="B353" s="5" t="s">
        <v>612</v>
      </c>
      <c r="C353" s="135" t="s">
        <v>997</v>
      </c>
      <c r="D353" s="136"/>
      <c r="E353" s="136"/>
      <c r="F353" s="5" t="s">
        <v>1099</v>
      </c>
      <c r="G353" s="18">
        <v>1</v>
      </c>
      <c r="H353" s="79">
        <v>0</v>
      </c>
      <c r="I353" s="18">
        <f t="shared" si="188"/>
        <v>0</v>
      </c>
      <c r="J353" s="18">
        <f t="shared" si="189"/>
        <v>0</v>
      </c>
      <c r="K353" s="18">
        <f t="shared" si="190"/>
        <v>0</v>
      </c>
      <c r="L353" s="29" t="s">
        <v>1127</v>
      </c>
      <c r="Z353" s="34">
        <f t="shared" si="191"/>
        <v>0</v>
      </c>
      <c r="AB353" s="34">
        <f t="shared" si="192"/>
        <v>0</v>
      </c>
      <c r="AC353" s="34">
        <f t="shared" si="193"/>
        <v>0</v>
      </c>
      <c r="AD353" s="34">
        <f t="shared" si="194"/>
        <v>0</v>
      </c>
      <c r="AE353" s="34">
        <f t="shared" si="195"/>
        <v>0</v>
      </c>
      <c r="AF353" s="34">
        <f t="shared" si="196"/>
        <v>0</v>
      </c>
      <c r="AG353" s="34">
        <f t="shared" si="197"/>
        <v>0</v>
      </c>
      <c r="AH353" s="34">
        <f t="shared" si="198"/>
        <v>0</v>
      </c>
      <c r="AI353" s="28" t="s">
        <v>1137</v>
      </c>
      <c r="AJ353" s="18">
        <f t="shared" si="199"/>
        <v>0</v>
      </c>
      <c r="AK353" s="18">
        <f t="shared" si="200"/>
        <v>0</v>
      </c>
      <c r="AL353" s="18">
        <f t="shared" si="201"/>
        <v>0</v>
      </c>
      <c r="AN353" s="34">
        <v>21</v>
      </c>
      <c r="AO353" s="34">
        <f t="shared" si="202"/>
        <v>0</v>
      </c>
      <c r="AP353" s="34">
        <f t="shared" si="203"/>
        <v>0</v>
      </c>
      <c r="AQ353" s="29" t="s">
        <v>7</v>
      </c>
      <c r="AV353" s="34">
        <f t="shared" si="204"/>
        <v>0</v>
      </c>
      <c r="AW353" s="34">
        <f t="shared" si="205"/>
        <v>0</v>
      </c>
      <c r="AX353" s="34">
        <f t="shared" si="206"/>
        <v>0</v>
      </c>
      <c r="AY353" s="35" t="s">
        <v>1162</v>
      </c>
      <c r="AZ353" s="35" t="s">
        <v>1169</v>
      </c>
      <c r="BA353" s="28" t="s">
        <v>1176</v>
      </c>
      <c r="BC353" s="34">
        <f t="shared" si="207"/>
        <v>0</v>
      </c>
      <c r="BD353" s="34">
        <f t="shared" si="208"/>
        <v>0</v>
      </c>
      <c r="BE353" s="34">
        <v>0</v>
      </c>
      <c r="BF353" s="34">
        <f>353</f>
        <v>353</v>
      </c>
      <c r="BH353" s="18">
        <f t="shared" si="209"/>
        <v>0</v>
      </c>
      <c r="BI353" s="18">
        <f t="shared" si="210"/>
        <v>0</v>
      </c>
      <c r="BJ353" s="18">
        <f t="shared" si="211"/>
        <v>0</v>
      </c>
    </row>
    <row r="354" spans="1:62" x14ac:dyDescent="0.2">
      <c r="A354" s="5" t="s">
        <v>281</v>
      </c>
      <c r="B354" s="5" t="s">
        <v>613</v>
      </c>
      <c r="C354" s="135" t="s">
        <v>998</v>
      </c>
      <c r="D354" s="136"/>
      <c r="E354" s="136"/>
      <c r="F354" s="5" t="s">
        <v>1104</v>
      </c>
      <c r="G354" s="18">
        <v>20</v>
      </c>
      <c r="H354" s="79">
        <v>0</v>
      </c>
      <c r="I354" s="18">
        <f t="shared" si="188"/>
        <v>0</v>
      </c>
      <c r="J354" s="18">
        <f t="shared" si="189"/>
        <v>0</v>
      </c>
      <c r="K354" s="18">
        <f t="shared" si="190"/>
        <v>0</v>
      </c>
      <c r="L354" s="29" t="s">
        <v>1127</v>
      </c>
      <c r="Z354" s="34">
        <f t="shared" si="191"/>
        <v>0</v>
      </c>
      <c r="AB354" s="34">
        <f t="shared" si="192"/>
        <v>0</v>
      </c>
      <c r="AC354" s="34">
        <f t="shared" si="193"/>
        <v>0</v>
      </c>
      <c r="AD354" s="34">
        <f t="shared" si="194"/>
        <v>0</v>
      </c>
      <c r="AE354" s="34">
        <f t="shared" si="195"/>
        <v>0</v>
      </c>
      <c r="AF354" s="34">
        <f t="shared" si="196"/>
        <v>0</v>
      </c>
      <c r="AG354" s="34">
        <f t="shared" si="197"/>
        <v>0</v>
      </c>
      <c r="AH354" s="34">
        <f t="shared" si="198"/>
        <v>0</v>
      </c>
      <c r="AI354" s="28" t="s">
        <v>1137</v>
      </c>
      <c r="AJ354" s="18">
        <f t="shared" si="199"/>
        <v>0</v>
      </c>
      <c r="AK354" s="18">
        <f t="shared" si="200"/>
        <v>0</v>
      </c>
      <c r="AL354" s="18">
        <f t="shared" si="201"/>
        <v>0</v>
      </c>
      <c r="AN354" s="34">
        <v>21</v>
      </c>
      <c r="AO354" s="34">
        <f t="shared" si="202"/>
        <v>0</v>
      </c>
      <c r="AP354" s="34">
        <f t="shared" si="203"/>
        <v>0</v>
      </c>
      <c r="AQ354" s="29" t="s">
        <v>7</v>
      </c>
      <c r="AV354" s="34">
        <f t="shared" si="204"/>
        <v>0</v>
      </c>
      <c r="AW354" s="34">
        <f t="shared" si="205"/>
        <v>0</v>
      </c>
      <c r="AX354" s="34">
        <f t="shared" si="206"/>
        <v>0</v>
      </c>
      <c r="AY354" s="35" t="s">
        <v>1162</v>
      </c>
      <c r="AZ354" s="35" t="s">
        <v>1169</v>
      </c>
      <c r="BA354" s="28" t="s">
        <v>1176</v>
      </c>
      <c r="BC354" s="34">
        <f t="shared" si="207"/>
        <v>0</v>
      </c>
      <c r="BD354" s="34">
        <f t="shared" si="208"/>
        <v>0</v>
      </c>
      <c r="BE354" s="34">
        <v>0</v>
      </c>
      <c r="BF354" s="34">
        <f>354</f>
        <v>354</v>
      </c>
      <c r="BH354" s="18">
        <f t="shared" si="209"/>
        <v>0</v>
      </c>
      <c r="BI354" s="18">
        <f t="shared" si="210"/>
        <v>0</v>
      </c>
      <c r="BJ354" s="18">
        <f t="shared" si="211"/>
        <v>0</v>
      </c>
    </row>
    <row r="355" spans="1:62" x14ac:dyDescent="0.2">
      <c r="A355" s="5" t="s">
        <v>282</v>
      </c>
      <c r="B355" s="5" t="s">
        <v>614</v>
      </c>
      <c r="C355" s="135" t="s">
        <v>999</v>
      </c>
      <c r="D355" s="136"/>
      <c r="E355" s="136"/>
      <c r="F355" s="5" t="s">
        <v>1103</v>
      </c>
      <c r="G355" s="18">
        <v>2</v>
      </c>
      <c r="H355" s="79">
        <v>0</v>
      </c>
      <c r="I355" s="18">
        <f t="shared" si="188"/>
        <v>0</v>
      </c>
      <c r="J355" s="18">
        <f t="shared" si="189"/>
        <v>0</v>
      </c>
      <c r="K355" s="18">
        <f t="shared" si="190"/>
        <v>0</v>
      </c>
      <c r="L355" s="29" t="s">
        <v>1127</v>
      </c>
      <c r="Z355" s="34">
        <f t="shared" si="191"/>
        <v>0</v>
      </c>
      <c r="AB355" s="34">
        <f t="shared" si="192"/>
        <v>0</v>
      </c>
      <c r="AC355" s="34">
        <f t="shared" si="193"/>
        <v>0</v>
      </c>
      <c r="AD355" s="34">
        <f t="shared" si="194"/>
        <v>0</v>
      </c>
      <c r="AE355" s="34">
        <f t="shared" si="195"/>
        <v>0</v>
      </c>
      <c r="AF355" s="34">
        <f t="shared" si="196"/>
        <v>0</v>
      </c>
      <c r="AG355" s="34">
        <f t="shared" si="197"/>
        <v>0</v>
      </c>
      <c r="AH355" s="34">
        <f t="shared" si="198"/>
        <v>0</v>
      </c>
      <c r="AI355" s="28" t="s">
        <v>1137</v>
      </c>
      <c r="AJ355" s="18">
        <f t="shared" si="199"/>
        <v>0</v>
      </c>
      <c r="AK355" s="18">
        <f t="shared" si="200"/>
        <v>0</v>
      </c>
      <c r="AL355" s="18">
        <f t="shared" si="201"/>
        <v>0</v>
      </c>
      <c r="AN355" s="34">
        <v>21</v>
      </c>
      <c r="AO355" s="34">
        <f t="shared" si="202"/>
        <v>0</v>
      </c>
      <c r="AP355" s="34">
        <f t="shared" si="203"/>
        <v>0</v>
      </c>
      <c r="AQ355" s="29" t="s">
        <v>7</v>
      </c>
      <c r="AV355" s="34">
        <f t="shared" si="204"/>
        <v>0</v>
      </c>
      <c r="AW355" s="34">
        <f t="shared" si="205"/>
        <v>0</v>
      </c>
      <c r="AX355" s="34">
        <f t="shared" si="206"/>
        <v>0</v>
      </c>
      <c r="AY355" s="35" t="s">
        <v>1162</v>
      </c>
      <c r="AZ355" s="35" t="s">
        <v>1169</v>
      </c>
      <c r="BA355" s="28" t="s">
        <v>1176</v>
      </c>
      <c r="BC355" s="34">
        <f t="shared" si="207"/>
        <v>0</v>
      </c>
      <c r="BD355" s="34">
        <f t="shared" si="208"/>
        <v>0</v>
      </c>
      <c r="BE355" s="34">
        <v>0</v>
      </c>
      <c r="BF355" s="34">
        <f>355</f>
        <v>355</v>
      </c>
      <c r="BH355" s="18">
        <f t="shared" si="209"/>
        <v>0</v>
      </c>
      <c r="BI355" s="18">
        <f t="shared" si="210"/>
        <v>0</v>
      </c>
      <c r="BJ355" s="18">
        <f t="shared" si="211"/>
        <v>0</v>
      </c>
    </row>
    <row r="356" spans="1:62" x14ac:dyDescent="0.2">
      <c r="A356" s="5" t="s">
        <v>283</v>
      </c>
      <c r="B356" s="5" t="s">
        <v>615</v>
      </c>
      <c r="C356" s="135" t="s">
        <v>1000</v>
      </c>
      <c r="D356" s="136"/>
      <c r="E356" s="136"/>
      <c r="F356" s="5" t="s">
        <v>1108</v>
      </c>
      <c r="G356" s="18">
        <v>2</v>
      </c>
      <c r="H356" s="79">
        <v>0</v>
      </c>
      <c r="I356" s="18">
        <f t="shared" si="188"/>
        <v>0</v>
      </c>
      <c r="J356" s="18">
        <f t="shared" si="189"/>
        <v>0</v>
      </c>
      <c r="K356" s="18">
        <f t="shared" si="190"/>
        <v>0</v>
      </c>
      <c r="L356" s="29" t="s">
        <v>1127</v>
      </c>
      <c r="Z356" s="34">
        <f t="shared" si="191"/>
        <v>0</v>
      </c>
      <c r="AB356" s="34">
        <f t="shared" si="192"/>
        <v>0</v>
      </c>
      <c r="AC356" s="34">
        <f t="shared" si="193"/>
        <v>0</v>
      </c>
      <c r="AD356" s="34">
        <f t="shared" si="194"/>
        <v>0</v>
      </c>
      <c r="AE356" s="34">
        <f t="shared" si="195"/>
        <v>0</v>
      </c>
      <c r="AF356" s="34">
        <f t="shared" si="196"/>
        <v>0</v>
      </c>
      <c r="AG356" s="34">
        <f t="shared" si="197"/>
        <v>0</v>
      </c>
      <c r="AH356" s="34">
        <f t="shared" si="198"/>
        <v>0</v>
      </c>
      <c r="AI356" s="28" t="s">
        <v>1137</v>
      </c>
      <c r="AJ356" s="18">
        <f t="shared" si="199"/>
        <v>0</v>
      </c>
      <c r="AK356" s="18">
        <f t="shared" si="200"/>
        <v>0</v>
      </c>
      <c r="AL356" s="18">
        <f t="shared" si="201"/>
        <v>0</v>
      </c>
      <c r="AN356" s="34">
        <v>21</v>
      </c>
      <c r="AO356" s="34">
        <f t="shared" si="202"/>
        <v>0</v>
      </c>
      <c r="AP356" s="34">
        <f t="shared" si="203"/>
        <v>0</v>
      </c>
      <c r="AQ356" s="29" t="s">
        <v>7</v>
      </c>
      <c r="AV356" s="34">
        <f t="shared" si="204"/>
        <v>0</v>
      </c>
      <c r="AW356" s="34">
        <f t="shared" si="205"/>
        <v>0</v>
      </c>
      <c r="AX356" s="34">
        <f t="shared" si="206"/>
        <v>0</v>
      </c>
      <c r="AY356" s="35" t="s">
        <v>1162</v>
      </c>
      <c r="AZ356" s="35" t="s">
        <v>1169</v>
      </c>
      <c r="BA356" s="28" t="s">
        <v>1176</v>
      </c>
      <c r="BC356" s="34">
        <f t="shared" si="207"/>
        <v>0</v>
      </c>
      <c r="BD356" s="34">
        <f t="shared" si="208"/>
        <v>0</v>
      </c>
      <c r="BE356" s="34">
        <v>0</v>
      </c>
      <c r="BF356" s="34">
        <f>356</f>
        <v>356</v>
      </c>
      <c r="BH356" s="18">
        <f t="shared" si="209"/>
        <v>0</v>
      </c>
      <c r="BI356" s="18">
        <f t="shared" si="210"/>
        <v>0</v>
      </c>
      <c r="BJ356" s="18">
        <f t="shared" si="211"/>
        <v>0</v>
      </c>
    </row>
    <row r="357" spans="1:62" x14ac:dyDescent="0.2">
      <c r="A357" s="5" t="s">
        <v>284</v>
      </c>
      <c r="B357" s="5" t="s">
        <v>616</v>
      </c>
      <c r="C357" s="135" t="s">
        <v>1001</v>
      </c>
      <c r="D357" s="136"/>
      <c r="E357" s="136"/>
      <c r="F357" s="5" t="s">
        <v>1104</v>
      </c>
      <c r="G357" s="18">
        <v>8</v>
      </c>
      <c r="H357" s="79">
        <v>0</v>
      </c>
      <c r="I357" s="18">
        <f t="shared" si="188"/>
        <v>0</v>
      </c>
      <c r="J357" s="18">
        <f t="shared" si="189"/>
        <v>0</v>
      </c>
      <c r="K357" s="18">
        <f t="shared" si="190"/>
        <v>0</v>
      </c>
      <c r="L357" s="29" t="s">
        <v>1127</v>
      </c>
      <c r="Z357" s="34">
        <f t="shared" si="191"/>
        <v>0</v>
      </c>
      <c r="AB357" s="34">
        <f t="shared" si="192"/>
        <v>0</v>
      </c>
      <c r="AC357" s="34">
        <f t="shared" si="193"/>
        <v>0</v>
      </c>
      <c r="AD357" s="34">
        <f t="shared" si="194"/>
        <v>0</v>
      </c>
      <c r="AE357" s="34">
        <f t="shared" si="195"/>
        <v>0</v>
      </c>
      <c r="AF357" s="34">
        <f t="shared" si="196"/>
        <v>0</v>
      </c>
      <c r="AG357" s="34">
        <f t="shared" si="197"/>
        <v>0</v>
      </c>
      <c r="AH357" s="34">
        <f t="shared" si="198"/>
        <v>0</v>
      </c>
      <c r="AI357" s="28" t="s">
        <v>1137</v>
      </c>
      <c r="AJ357" s="18">
        <f t="shared" si="199"/>
        <v>0</v>
      </c>
      <c r="AK357" s="18">
        <f t="shared" si="200"/>
        <v>0</v>
      </c>
      <c r="AL357" s="18">
        <f t="shared" si="201"/>
        <v>0</v>
      </c>
      <c r="AN357" s="34">
        <v>21</v>
      </c>
      <c r="AO357" s="34">
        <f t="shared" si="202"/>
        <v>0</v>
      </c>
      <c r="AP357" s="34">
        <f t="shared" si="203"/>
        <v>0</v>
      </c>
      <c r="AQ357" s="29" t="s">
        <v>7</v>
      </c>
      <c r="AV357" s="34">
        <f t="shared" si="204"/>
        <v>0</v>
      </c>
      <c r="AW357" s="34">
        <f t="shared" si="205"/>
        <v>0</v>
      </c>
      <c r="AX357" s="34">
        <f t="shared" si="206"/>
        <v>0</v>
      </c>
      <c r="AY357" s="35" t="s">
        <v>1162</v>
      </c>
      <c r="AZ357" s="35" t="s">
        <v>1169</v>
      </c>
      <c r="BA357" s="28" t="s">
        <v>1176</v>
      </c>
      <c r="BC357" s="34">
        <f t="shared" si="207"/>
        <v>0</v>
      </c>
      <c r="BD357" s="34">
        <f t="shared" si="208"/>
        <v>0</v>
      </c>
      <c r="BE357" s="34">
        <v>0</v>
      </c>
      <c r="BF357" s="34">
        <f>357</f>
        <v>357</v>
      </c>
      <c r="BH357" s="18">
        <f t="shared" si="209"/>
        <v>0</v>
      </c>
      <c r="BI357" s="18">
        <f t="shared" si="210"/>
        <v>0</v>
      </c>
      <c r="BJ357" s="18">
        <f t="shared" si="211"/>
        <v>0</v>
      </c>
    </row>
    <row r="358" spans="1:62" x14ac:dyDescent="0.2">
      <c r="A358" s="5" t="s">
        <v>285</v>
      </c>
      <c r="B358" s="5" t="s">
        <v>617</v>
      </c>
      <c r="C358" s="135" t="s">
        <v>1002</v>
      </c>
      <c r="D358" s="136"/>
      <c r="E358" s="136"/>
      <c r="F358" s="5" t="s">
        <v>1101</v>
      </c>
      <c r="G358" s="18">
        <v>40</v>
      </c>
      <c r="H358" s="79">
        <v>0</v>
      </c>
      <c r="I358" s="18">
        <f t="shared" si="188"/>
        <v>0</v>
      </c>
      <c r="J358" s="18">
        <f t="shared" si="189"/>
        <v>0</v>
      </c>
      <c r="K358" s="18">
        <f t="shared" si="190"/>
        <v>0</v>
      </c>
      <c r="L358" s="29" t="s">
        <v>1127</v>
      </c>
      <c r="Z358" s="34">
        <f t="shared" si="191"/>
        <v>0</v>
      </c>
      <c r="AB358" s="34">
        <f t="shared" si="192"/>
        <v>0</v>
      </c>
      <c r="AC358" s="34">
        <f t="shared" si="193"/>
        <v>0</v>
      </c>
      <c r="AD358" s="34">
        <f t="shared" si="194"/>
        <v>0</v>
      </c>
      <c r="AE358" s="34">
        <f t="shared" si="195"/>
        <v>0</v>
      </c>
      <c r="AF358" s="34">
        <f t="shared" si="196"/>
        <v>0</v>
      </c>
      <c r="AG358" s="34">
        <f t="shared" si="197"/>
        <v>0</v>
      </c>
      <c r="AH358" s="34">
        <f t="shared" si="198"/>
        <v>0</v>
      </c>
      <c r="AI358" s="28" t="s">
        <v>1137</v>
      </c>
      <c r="AJ358" s="18">
        <f t="shared" si="199"/>
        <v>0</v>
      </c>
      <c r="AK358" s="18">
        <f t="shared" si="200"/>
        <v>0</v>
      </c>
      <c r="AL358" s="18">
        <f t="shared" si="201"/>
        <v>0</v>
      </c>
      <c r="AN358" s="34">
        <v>21</v>
      </c>
      <c r="AO358" s="34">
        <f t="shared" si="202"/>
        <v>0</v>
      </c>
      <c r="AP358" s="34">
        <f t="shared" si="203"/>
        <v>0</v>
      </c>
      <c r="AQ358" s="29" t="s">
        <v>7</v>
      </c>
      <c r="AV358" s="34">
        <f t="shared" si="204"/>
        <v>0</v>
      </c>
      <c r="AW358" s="34">
        <f t="shared" si="205"/>
        <v>0</v>
      </c>
      <c r="AX358" s="34">
        <f t="shared" si="206"/>
        <v>0</v>
      </c>
      <c r="AY358" s="35" t="s">
        <v>1162</v>
      </c>
      <c r="AZ358" s="35" t="s">
        <v>1169</v>
      </c>
      <c r="BA358" s="28" t="s">
        <v>1176</v>
      </c>
      <c r="BC358" s="34">
        <f t="shared" si="207"/>
        <v>0</v>
      </c>
      <c r="BD358" s="34">
        <f t="shared" si="208"/>
        <v>0</v>
      </c>
      <c r="BE358" s="34">
        <v>0</v>
      </c>
      <c r="BF358" s="34">
        <f>358</f>
        <v>358</v>
      </c>
      <c r="BH358" s="18">
        <f t="shared" si="209"/>
        <v>0</v>
      </c>
      <c r="BI358" s="18">
        <f t="shared" si="210"/>
        <v>0</v>
      </c>
      <c r="BJ358" s="18">
        <f t="shared" si="211"/>
        <v>0</v>
      </c>
    </row>
    <row r="359" spans="1:62" x14ac:dyDescent="0.2">
      <c r="A359" s="5" t="s">
        <v>286</v>
      </c>
      <c r="B359" s="5" t="s">
        <v>618</v>
      </c>
      <c r="C359" s="135" t="s">
        <v>1003</v>
      </c>
      <c r="D359" s="136"/>
      <c r="E359" s="136"/>
      <c r="F359" s="5" t="s">
        <v>1101</v>
      </c>
      <c r="G359" s="18">
        <v>40</v>
      </c>
      <c r="H359" s="79">
        <v>0</v>
      </c>
      <c r="I359" s="18">
        <f t="shared" si="188"/>
        <v>0</v>
      </c>
      <c r="J359" s="18">
        <f t="shared" si="189"/>
        <v>0</v>
      </c>
      <c r="K359" s="18">
        <f t="shared" si="190"/>
        <v>0</v>
      </c>
      <c r="L359" s="29" t="s">
        <v>1127</v>
      </c>
      <c r="Z359" s="34">
        <f t="shared" si="191"/>
        <v>0</v>
      </c>
      <c r="AB359" s="34">
        <f t="shared" si="192"/>
        <v>0</v>
      </c>
      <c r="AC359" s="34">
        <f t="shared" si="193"/>
        <v>0</v>
      </c>
      <c r="AD359" s="34">
        <f t="shared" si="194"/>
        <v>0</v>
      </c>
      <c r="AE359" s="34">
        <f t="shared" si="195"/>
        <v>0</v>
      </c>
      <c r="AF359" s="34">
        <f t="shared" si="196"/>
        <v>0</v>
      </c>
      <c r="AG359" s="34">
        <f t="shared" si="197"/>
        <v>0</v>
      </c>
      <c r="AH359" s="34">
        <f t="shared" si="198"/>
        <v>0</v>
      </c>
      <c r="AI359" s="28" t="s">
        <v>1137</v>
      </c>
      <c r="AJ359" s="18">
        <f t="shared" si="199"/>
        <v>0</v>
      </c>
      <c r="AK359" s="18">
        <f t="shared" si="200"/>
        <v>0</v>
      </c>
      <c r="AL359" s="18">
        <f t="shared" si="201"/>
        <v>0</v>
      </c>
      <c r="AN359" s="34">
        <v>21</v>
      </c>
      <c r="AO359" s="34">
        <f t="shared" si="202"/>
        <v>0</v>
      </c>
      <c r="AP359" s="34">
        <f t="shared" si="203"/>
        <v>0</v>
      </c>
      <c r="AQ359" s="29" t="s">
        <v>7</v>
      </c>
      <c r="AV359" s="34">
        <f t="shared" si="204"/>
        <v>0</v>
      </c>
      <c r="AW359" s="34">
        <f t="shared" si="205"/>
        <v>0</v>
      </c>
      <c r="AX359" s="34">
        <f t="shared" si="206"/>
        <v>0</v>
      </c>
      <c r="AY359" s="35" t="s">
        <v>1162</v>
      </c>
      <c r="AZ359" s="35" t="s">
        <v>1169</v>
      </c>
      <c r="BA359" s="28" t="s">
        <v>1176</v>
      </c>
      <c r="BC359" s="34">
        <f t="shared" si="207"/>
        <v>0</v>
      </c>
      <c r="BD359" s="34">
        <f t="shared" si="208"/>
        <v>0</v>
      </c>
      <c r="BE359" s="34">
        <v>0</v>
      </c>
      <c r="BF359" s="34">
        <f>359</f>
        <v>359</v>
      </c>
      <c r="BH359" s="18">
        <f t="shared" si="209"/>
        <v>0</v>
      </c>
      <c r="BI359" s="18">
        <f t="shared" si="210"/>
        <v>0</v>
      </c>
      <c r="BJ359" s="18">
        <f t="shared" si="211"/>
        <v>0</v>
      </c>
    </row>
    <row r="360" spans="1:62" x14ac:dyDescent="0.2">
      <c r="A360" s="5" t="s">
        <v>287</v>
      </c>
      <c r="B360" s="5" t="s">
        <v>619</v>
      </c>
      <c r="C360" s="135" t="s">
        <v>1004</v>
      </c>
      <c r="D360" s="136"/>
      <c r="E360" s="136"/>
      <c r="F360" s="5" t="s">
        <v>1101</v>
      </c>
      <c r="G360" s="18">
        <v>12</v>
      </c>
      <c r="H360" s="79">
        <v>0</v>
      </c>
      <c r="I360" s="18">
        <f t="shared" si="188"/>
        <v>0</v>
      </c>
      <c r="J360" s="18">
        <f t="shared" si="189"/>
        <v>0</v>
      </c>
      <c r="K360" s="18">
        <f t="shared" si="190"/>
        <v>0</v>
      </c>
      <c r="L360" s="29" t="s">
        <v>1127</v>
      </c>
      <c r="Z360" s="34">
        <f t="shared" si="191"/>
        <v>0</v>
      </c>
      <c r="AB360" s="34">
        <f t="shared" si="192"/>
        <v>0</v>
      </c>
      <c r="AC360" s="34">
        <f t="shared" si="193"/>
        <v>0</v>
      </c>
      <c r="AD360" s="34">
        <f t="shared" si="194"/>
        <v>0</v>
      </c>
      <c r="AE360" s="34">
        <f t="shared" si="195"/>
        <v>0</v>
      </c>
      <c r="AF360" s="34">
        <f t="shared" si="196"/>
        <v>0</v>
      </c>
      <c r="AG360" s="34">
        <f t="shared" si="197"/>
        <v>0</v>
      </c>
      <c r="AH360" s="34">
        <f t="shared" si="198"/>
        <v>0</v>
      </c>
      <c r="AI360" s="28" t="s">
        <v>1137</v>
      </c>
      <c r="AJ360" s="18">
        <f t="shared" si="199"/>
        <v>0</v>
      </c>
      <c r="AK360" s="18">
        <f t="shared" si="200"/>
        <v>0</v>
      </c>
      <c r="AL360" s="18">
        <f t="shared" si="201"/>
        <v>0</v>
      </c>
      <c r="AN360" s="34">
        <v>21</v>
      </c>
      <c r="AO360" s="34">
        <f t="shared" si="202"/>
        <v>0</v>
      </c>
      <c r="AP360" s="34">
        <f t="shared" si="203"/>
        <v>0</v>
      </c>
      <c r="AQ360" s="29" t="s">
        <v>7</v>
      </c>
      <c r="AV360" s="34">
        <f t="shared" si="204"/>
        <v>0</v>
      </c>
      <c r="AW360" s="34">
        <f t="shared" si="205"/>
        <v>0</v>
      </c>
      <c r="AX360" s="34">
        <f t="shared" si="206"/>
        <v>0</v>
      </c>
      <c r="AY360" s="35" t="s">
        <v>1162</v>
      </c>
      <c r="AZ360" s="35" t="s">
        <v>1169</v>
      </c>
      <c r="BA360" s="28" t="s">
        <v>1176</v>
      </c>
      <c r="BC360" s="34">
        <f t="shared" si="207"/>
        <v>0</v>
      </c>
      <c r="BD360" s="34">
        <f t="shared" si="208"/>
        <v>0</v>
      </c>
      <c r="BE360" s="34">
        <v>0</v>
      </c>
      <c r="BF360" s="34">
        <f>360</f>
        <v>360</v>
      </c>
      <c r="BH360" s="18">
        <f t="shared" si="209"/>
        <v>0</v>
      </c>
      <c r="BI360" s="18">
        <f t="shared" si="210"/>
        <v>0</v>
      </c>
      <c r="BJ360" s="18">
        <f t="shared" si="211"/>
        <v>0</v>
      </c>
    </row>
    <row r="361" spans="1:62" x14ac:dyDescent="0.2">
      <c r="A361" s="5" t="s">
        <v>288</v>
      </c>
      <c r="B361" s="5" t="s">
        <v>620</v>
      </c>
      <c r="C361" s="135" t="s">
        <v>1005</v>
      </c>
      <c r="D361" s="136"/>
      <c r="E361" s="136"/>
      <c r="F361" s="5" t="s">
        <v>1101</v>
      </c>
      <c r="G361" s="18">
        <v>12</v>
      </c>
      <c r="H361" s="79">
        <v>0</v>
      </c>
      <c r="I361" s="18">
        <f t="shared" si="188"/>
        <v>0</v>
      </c>
      <c r="J361" s="18">
        <f t="shared" si="189"/>
        <v>0</v>
      </c>
      <c r="K361" s="18">
        <f t="shared" si="190"/>
        <v>0</v>
      </c>
      <c r="L361" s="29" t="s">
        <v>1127</v>
      </c>
      <c r="Z361" s="34">
        <f t="shared" si="191"/>
        <v>0</v>
      </c>
      <c r="AB361" s="34">
        <f t="shared" si="192"/>
        <v>0</v>
      </c>
      <c r="AC361" s="34">
        <f t="shared" si="193"/>
        <v>0</v>
      </c>
      <c r="AD361" s="34">
        <f t="shared" si="194"/>
        <v>0</v>
      </c>
      <c r="AE361" s="34">
        <f t="shared" si="195"/>
        <v>0</v>
      </c>
      <c r="AF361" s="34">
        <f t="shared" si="196"/>
        <v>0</v>
      </c>
      <c r="AG361" s="34">
        <f t="shared" si="197"/>
        <v>0</v>
      </c>
      <c r="AH361" s="34">
        <f t="shared" si="198"/>
        <v>0</v>
      </c>
      <c r="AI361" s="28" t="s">
        <v>1137</v>
      </c>
      <c r="AJ361" s="18">
        <f t="shared" si="199"/>
        <v>0</v>
      </c>
      <c r="AK361" s="18">
        <f t="shared" si="200"/>
        <v>0</v>
      </c>
      <c r="AL361" s="18">
        <f t="shared" si="201"/>
        <v>0</v>
      </c>
      <c r="AN361" s="34">
        <v>21</v>
      </c>
      <c r="AO361" s="34">
        <f t="shared" si="202"/>
        <v>0</v>
      </c>
      <c r="AP361" s="34">
        <f t="shared" si="203"/>
        <v>0</v>
      </c>
      <c r="AQ361" s="29" t="s">
        <v>7</v>
      </c>
      <c r="AV361" s="34">
        <f t="shared" si="204"/>
        <v>0</v>
      </c>
      <c r="AW361" s="34">
        <f t="shared" si="205"/>
        <v>0</v>
      </c>
      <c r="AX361" s="34">
        <f t="shared" si="206"/>
        <v>0</v>
      </c>
      <c r="AY361" s="35" t="s">
        <v>1162</v>
      </c>
      <c r="AZ361" s="35" t="s">
        <v>1169</v>
      </c>
      <c r="BA361" s="28" t="s">
        <v>1176</v>
      </c>
      <c r="BC361" s="34">
        <f t="shared" si="207"/>
        <v>0</v>
      </c>
      <c r="BD361" s="34">
        <f t="shared" si="208"/>
        <v>0</v>
      </c>
      <c r="BE361" s="34">
        <v>0</v>
      </c>
      <c r="BF361" s="34">
        <f>361</f>
        <v>361</v>
      </c>
      <c r="BH361" s="18">
        <f t="shared" si="209"/>
        <v>0</v>
      </c>
      <c r="BI361" s="18">
        <f t="shared" si="210"/>
        <v>0</v>
      </c>
      <c r="BJ361" s="18">
        <f t="shared" si="211"/>
        <v>0</v>
      </c>
    </row>
    <row r="362" spans="1:62" x14ac:dyDescent="0.2">
      <c r="A362" s="5" t="s">
        <v>289</v>
      </c>
      <c r="B362" s="5" t="s">
        <v>621</v>
      </c>
      <c r="C362" s="135" t="s">
        <v>1006</v>
      </c>
      <c r="D362" s="136"/>
      <c r="E362" s="136"/>
      <c r="F362" s="5" t="s">
        <v>1103</v>
      </c>
      <c r="G362" s="18">
        <v>68</v>
      </c>
      <c r="H362" s="79">
        <v>0</v>
      </c>
      <c r="I362" s="18">
        <f t="shared" si="188"/>
        <v>0</v>
      </c>
      <c r="J362" s="18">
        <f t="shared" si="189"/>
        <v>0</v>
      </c>
      <c r="K362" s="18">
        <f t="shared" si="190"/>
        <v>0</v>
      </c>
      <c r="L362" s="29" t="s">
        <v>1127</v>
      </c>
      <c r="Z362" s="34">
        <f t="shared" si="191"/>
        <v>0</v>
      </c>
      <c r="AB362" s="34">
        <f t="shared" si="192"/>
        <v>0</v>
      </c>
      <c r="AC362" s="34">
        <f t="shared" si="193"/>
        <v>0</v>
      </c>
      <c r="AD362" s="34">
        <f t="shared" si="194"/>
        <v>0</v>
      </c>
      <c r="AE362" s="34">
        <f t="shared" si="195"/>
        <v>0</v>
      </c>
      <c r="AF362" s="34">
        <f t="shared" si="196"/>
        <v>0</v>
      </c>
      <c r="AG362" s="34">
        <f t="shared" si="197"/>
        <v>0</v>
      </c>
      <c r="AH362" s="34">
        <f t="shared" si="198"/>
        <v>0</v>
      </c>
      <c r="AI362" s="28" t="s">
        <v>1137</v>
      </c>
      <c r="AJ362" s="18">
        <f t="shared" si="199"/>
        <v>0</v>
      </c>
      <c r="AK362" s="18">
        <f t="shared" si="200"/>
        <v>0</v>
      </c>
      <c r="AL362" s="18">
        <f t="shared" si="201"/>
        <v>0</v>
      </c>
      <c r="AN362" s="34">
        <v>21</v>
      </c>
      <c r="AO362" s="34">
        <f t="shared" si="202"/>
        <v>0</v>
      </c>
      <c r="AP362" s="34">
        <f t="shared" si="203"/>
        <v>0</v>
      </c>
      <c r="AQ362" s="29" t="s">
        <v>7</v>
      </c>
      <c r="AV362" s="34">
        <f t="shared" si="204"/>
        <v>0</v>
      </c>
      <c r="AW362" s="34">
        <f t="shared" si="205"/>
        <v>0</v>
      </c>
      <c r="AX362" s="34">
        <f t="shared" si="206"/>
        <v>0</v>
      </c>
      <c r="AY362" s="35" t="s">
        <v>1162</v>
      </c>
      <c r="AZ362" s="35" t="s">
        <v>1169</v>
      </c>
      <c r="BA362" s="28" t="s">
        <v>1176</v>
      </c>
      <c r="BC362" s="34">
        <f t="shared" si="207"/>
        <v>0</v>
      </c>
      <c r="BD362" s="34">
        <f t="shared" si="208"/>
        <v>0</v>
      </c>
      <c r="BE362" s="34">
        <v>0</v>
      </c>
      <c r="BF362" s="34">
        <f>362</f>
        <v>362</v>
      </c>
      <c r="BH362" s="18">
        <f t="shared" si="209"/>
        <v>0</v>
      </c>
      <c r="BI362" s="18">
        <f t="shared" si="210"/>
        <v>0</v>
      </c>
      <c r="BJ362" s="18">
        <f t="shared" si="211"/>
        <v>0</v>
      </c>
    </row>
    <row r="363" spans="1:62" x14ac:dyDescent="0.2">
      <c r="A363" s="5" t="s">
        <v>290</v>
      </c>
      <c r="B363" s="5" t="s">
        <v>622</v>
      </c>
      <c r="C363" s="135" t="s">
        <v>1007</v>
      </c>
      <c r="D363" s="136"/>
      <c r="E363" s="136"/>
      <c r="F363" s="5" t="s">
        <v>1099</v>
      </c>
      <c r="G363" s="18">
        <v>16</v>
      </c>
      <c r="H363" s="79">
        <v>0</v>
      </c>
      <c r="I363" s="18">
        <f t="shared" si="188"/>
        <v>0</v>
      </c>
      <c r="J363" s="18">
        <f t="shared" si="189"/>
        <v>0</v>
      </c>
      <c r="K363" s="18">
        <f t="shared" si="190"/>
        <v>0</v>
      </c>
      <c r="L363" s="29" t="s">
        <v>1127</v>
      </c>
      <c r="Z363" s="34">
        <f t="shared" si="191"/>
        <v>0</v>
      </c>
      <c r="AB363" s="34">
        <f t="shared" si="192"/>
        <v>0</v>
      </c>
      <c r="AC363" s="34">
        <f t="shared" si="193"/>
        <v>0</v>
      </c>
      <c r="AD363" s="34">
        <f t="shared" si="194"/>
        <v>0</v>
      </c>
      <c r="AE363" s="34">
        <f t="shared" si="195"/>
        <v>0</v>
      </c>
      <c r="AF363" s="34">
        <f t="shared" si="196"/>
        <v>0</v>
      </c>
      <c r="AG363" s="34">
        <f t="shared" si="197"/>
        <v>0</v>
      </c>
      <c r="AH363" s="34">
        <f t="shared" si="198"/>
        <v>0</v>
      </c>
      <c r="AI363" s="28" t="s">
        <v>1137</v>
      </c>
      <c r="AJ363" s="18">
        <f t="shared" si="199"/>
        <v>0</v>
      </c>
      <c r="AK363" s="18">
        <f t="shared" si="200"/>
        <v>0</v>
      </c>
      <c r="AL363" s="18">
        <f t="shared" si="201"/>
        <v>0</v>
      </c>
      <c r="AN363" s="34">
        <v>21</v>
      </c>
      <c r="AO363" s="34">
        <f t="shared" si="202"/>
        <v>0</v>
      </c>
      <c r="AP363" s="34">
        <f t="shared" si="203"/>
        <v>0</v>
      </c>
      <c r="AQ363" s="29" t="s">
        <v>7</v>
      </c>
      <c r="AV363" s="34">
        <f t="shared" si="204"/>
        <v>0</v>
      </c>
      <c r="AW363" s="34">
        <f t="shared" si="205"/>
        <v>0</v>
      </c>
      <c r="AX363" s="34">
        <f t="shared" si="206"/>
        <v>0</v>
      </c>
      <c r="AY363" s="35" t="s">
        <v>1162</v>
      </c>
      <c r="AZ363" s="35" t="s">
        <v>1169</v>
      </c>
      <c r="BA363" s="28" t="s">
        <v>1176</v>
      </c>
      <c r="BC363" s="34">
        <f t="shared" si="207"/>
        <v>0</v>
      </c>
      <c r="BD363" s="34">
        <f t="shared" si="208"/>
        <v>0</v>
      </c>
      <c r="BE363" s="34">
        <v>0</v>
      </c>
      <c r="BF363" s="34">
        <f>363</f>
        <v>363</v>
      </c>
      <c r="BH363" s="18">
        <f t="shared" si="209"/>
        <v>0</v>
      </c>
      <c r="BI363" s="18">
        <f t="shared" si="210"/>
        <v>0</v>
      </c>
      <c r="BJ363" s="18">
        <f t="shared" si="211"/>
        <v>0</v>
      </c>
    </row>
    <row r="364" spans="1:62" x14ac:dyDescent="0.2">
      <c r="A364" s="6" t="s">
        <v>291</v>
      </c>
      <c r="B364" s="6" t="s">
        <v>623</v>
      </c>
      <c r="C364" s="148" t="s">
        <v>1008</v>
      </c>
      <c r="D364" s="149"/>
      <c r="E364" s="149"/>
      <c r="F364" s="6" t="s">
        <v>1099</v>
      </c>
      <c r="G364" s="19">
        <v>48</v>
      </c>
      <c r="H364" s="81">
        <v>0</v>
      </c>
      <c r="I364" s="19">
        <f t="shared" si="188"/>
        <v>0</v>
      </c>
      <c r="J364" s="19">
        <f t="shared" si="189"/>
        <v>0</v>
      </c>
      <c r="K364" s="19">
        <f t="shared" si="190"/>
        <v>0</v>
      </c>
      <c r="L364" s="30" t="s">
        <v>1127</v>
      </c>
      <c r="Z364" s="34">
        <f t="shared" si="191"/>
        <v>0</v>
      </c>
      <c r="AB364" s="34">
        <f t="shared" si="192"/>
        <v>0</v>
      </c>
      <c r="AC364" s="34">
        <f t="shared" si="193"/>
        <v>0</v>
      </c>
      <c r="AD364" s="34">
        <f t="shared" si="194"/>
        <v>0</v>
      </c>
      <c r="AE364" s="34">
        <f t="shared" si="195"/>
        <v>0</v>
      </c>
      <c r="AF364" s="34">
        <f t="shared" si="196"/>
        <v>0</v>
      </c>
      <c r="AG364" s="34">
        <f t="shared" si="197"/>
        <v>0</v>
      </c>
      <c r="AH364" s="34">
        <f t="shared" si="198"/>
        <v>0</v>
      </c>
      <c r="AI364" s="28" t="s">
        <v>1137</v>
      </c>
      <c r="AJ364" s="19">
        <f t="shared" si="199"/>
        <v>0</v>
      </c>
      <c r="AK364" s="19">
        <f t="shared" si="200"/>
        <v>0</v>
      </c>
      <c r="AL364" s="19">
        <f t="shared" si="201"/>
        <v>0</v>
      </c>
      <c r="AN364" s="34">
        <v>21</v>
      </c>
      <c r="AO364" s="34">
        <f>H364*1</f>
        <v>0</v>
      </c>
      <c r="AP364" s="34">
        <f>H364*(1-1)</f>
        <v>0</v>
      </c>
      <c r="AQ364" s="30" t="s">
        <v>7</v>
      </c>
      <c r="AV364" s="34">
        <f t="shared" si="204"/>
        <v>0</v>
      </c>
      <c r="AW364" s="34">
        <f t="shared" si="205"/>
        <v>0</v>
      </c>
      <c r="AX364" s="34">
        <f t="shared" si="206"/>
        <v>0</v>
      </c>
      <c r="AY364" s="35" t="s">
        <v>1162</v>
      </c>
      <c r="AZ364" s="35" t="s">
        <v>1169</v>
      </c>
      <c r="BA364" s="28" t="s">
        <v>1176</v>
      </c>
      <c r="BC364" s="34">
        <f t="shared" si="207"/>
        <v>0</v>
      </c>
      <c r="BD364" s="34">
        <f t="shared" si="208"/>
        <v>0</v>
      </c>
      <c r="BE364" s="34">
        <v>0</v>
      </c>
      <c r="BF364" s="34">
        <f>364</f>
        <v>364</v>
      </c>
      <c r="BH364" s="19">
        <f t="shared" si="209"/>
        <v>0</v>
      </c>
      <c r="BI364" s="19">
        <f t="shared" si="210"/>
        <v>0</v>
      </c>
      <c r="BJ364" s="19">
        <f t="shared" si="211"/>
        <v>0</v>
      </c>
    </row>
    <row r="365" spans="1:62" x14ac:dyDescent="0.2">
      <c r="A365" s="5" t="s">
        <v>292</v>
      </c>
      <c r="B365" s="5" t="s">
        <v>624</v>
      </c>
      <c r="C365" s="135" t="s">
        <v>1009</v>
      </c>
      <c r="D365" s="136"/>
      <c r="E365" s="136"/>
      <c r="F365" s="5" t="s">
        <v>1099</v>
      </c>
      <c r="G365" s="18">
        <v>2</v>
      </c>
      <c r="H365" s="79">
        <v>0</v>
      </c>
      <c r="I365" s="18">
        <f t="shared" si="188"/>
        <v>0</v>
      </c>
      <c r="J365" s="18">
        <f t="shared" si="189"/>
        <v>0</v>
      </c>
      <c r="K365" s="18">
        <f t="shared" si="190"/>
        <v>0</v>
      </c>
      <c r="L365" s="29" t="s">
        <v>1127</v>
      </c>
      <c r="Z365" s="34">
        <f t="shared" si="191"/>
        <v>0</v>
      </c>
      <c r="AB365" s="34">
        <f t="shared" si="192"/>
        <v>0</v>
      </c>
      <c r="AC365" s="34">
        <f t="shared" si="193"/>
        <v>0</v>
      </c>
      <c r="AD365" s="34">
        <f t="shared" si="194"/>
        <v>0</v>
      </c>
      <c r="AE365" s="34">
        <f t="shared" si="195"/>
        <v>0</v>
      </c>
      <c r="AF365" s="34">
        <f t="shared" si="196"/>
        <v>0</v>
      </c>
      <c r="AG365" s="34">
        <f t="shared" si="197"/>
        <v>0</v>
      </c>
      <c r="AH365" s="34">
        <f t="shared" si="198"/>
        <v>0</v>
      </c>
      <c r="AI365" s="28" t="s">
        <v>1137</v>
      </c>
      <c r="AJ365" s="18">
        <f t="shared" si="199"/>
        <v>0</v>
      </c>
      <c r="AK365" s="18">
        <f t="shared" si="200"/>
        <v>0</v>
      </c>
      <c r="AL365" s="18">
        <f t="shared" si="201"/>
        <v>0</v>
      </c>
      <c r="AN365" s="34">
        <v>21</v>
      </c>
      <c r="AO365" s="34">
        <f t="shared" ref="AO365:AO406" si="212">H365*0</f>
        <v>0</v>
      </c>
      <c r="AP365" s="34">
        <f t="shared" ref="AP365:AP406" si="213">H365*(1-0)</f>
        <v>0</v>
      </c>
      <c r="AQ365" s="29" t="s">
        <v>7</v>
      </c>
      <c r="AV365" s="34">
        <f t="shared" si="204"/>
        <v>0</v>
      </c>
      <c r="AW365" s="34">
        <f t="shared" si="205"/>
        <v>0</v>
      </c>
      <c r="AX365" s="34">
        <f t="shared" si="206"/>
        <v>0</v>
      </c>
      <c r="AY365" s="35" t="s">
        <v>1162</v>
      </c>
      <c r="AZ365" s="35" t="s">
        <v>1169</v>
      </c>
      <c r="BA365" s="28" t="s">
        <v>1176</v>
      </c>
      <c r="BC365" s="34">
        <f t="shared" si="207"/>
        <v>0</v>
      </c>
      <c r="BD365" s="34">
        <f t="shared" si="208"/>
        <v>0</v>
      </c>
      <c r="BE365" s="34">
        <v>0</v>
      </c>
      <c r="BF365" s="34">
        <f>365</f>
        <v>365</v>
      </c>
      <c r="BH365" s="18">
        <f t="shared" si="209"/>
        <v>0</v>
      </c>
      <c r="BI365" s="18">
        <f t="shared" si="210"/>
        <v>0</v>
      </c>
      <c r="BJ365" s="18">
        <f t="shared" si="211"/>
        <v>0</v>
      </c>
    </row>
    <row r="366" spans="1:62" x14ac:dyDescent="0.2">
      <c r="A366" s="5" t="s">
        <v>293</v>
      </c>
      <c r="B366" s="5" t="s">
        <v>625</v>
      </c>
      <c r="C366" s="135" t="s">
        <v>1010</v>
      </c>
      <c r="D366" s="136"/>
      <c r="E366" s="136"/>
      <c r="F366" s="5" t="s">
        <v>1099</v>
      </c>
      <c r="G366" s="18">
        <v>2</v>
      </c>
      <c r="H366" s="79">
        <v>0</v>
      </c>
      <c r="I366" s="18">
        <f t="shared" si="188"/>
        <v>0</v>
      </c>
      <c r="J366" s="18">
        <f t="shared" si="189"/>
        <v>0</v>
      </c>
      <c r="K366" s="18">
        <f t="shared" si="190"/>
        <v>0</v>
      </c>
      <c r="L366" s="29" t="s">
        <v>1127</v>
      </c>
      <c r="Z366" s="34">
        <f t="shared" si="191"/>
        <v>0</v>
      </c>
      <c r="AB366" s="34">
        <f t="shared" si="192"/>
        <v>0</v>
      </c>
      <c r="AC366" s="34">
        <f t="shared" si="193"/>
        <v>0</v>
      </c>
      <c r="AD366" s="34">
        <f t="shared" si="194"/>
        <v>0</v>
      </c>
      <c r="AE366" s="34">
        <f t="shared" si="195"/>
        <v>0</v>
      </c>
      <c r="AF366" s="34">
        <f t="shared" si="196"/>
        <v>0</v>
      </c>
      <c r="AG366" s="34">
        <f t="shared" si="197"/>
        <v>0</v>
      </c>
      <c r="AH366" s="34">
        <f t="shared" si="198"/>
        <v>0</v>
      </c>
      <c r="AI366" s="28" t="s">
        <v>1137</v>
      </c>
      <c r="AJ366" s="18">
        <f t="shared" si="199"/>
        <v>0</v>
      </c>
      <c r="AK366" s="18">
        <f t="shared" si="200"/>
        <v>0</v>
      </c>
      <c r="AL366" s="18">
        <f t="shared" si="201"/>
        <v>0</v>
      </c>
      <c r="AN366" s="34">
        <v>21</v>
      </c>
      <c r="AO366" s="34">
        <f t="shared" si="212"/>
        <v>0</v>
      </c>
      <c r="AP366" s="34">
        <f t="shared" si="213"/>
        <v>0</v>
      </c>
      <c r="AQ366" s="29" t="s">
        <v>7</v>
      </c>
      <c r="AV366" s="34">
        <f t="shared" si="204"/>
        <v>0</v>
      </c>
      <c r="AW366" s="34">
        <f t="shared" si="205"/>
        <v>0</v>
      </c>
      <c r="AX366" s="34">
        <f t="shared" si="206"/>
        <v>0</v>
      </c>
      <c r="AY366" s="35" t="s">
        <v>1162</v>
      </c>
      <c r="AZ366" s="35" t="s">
        <v>1169</v>
      </c>
      <c r="BA366" s="28" t="s">
        <v>1176</v>
      </c>
      <c r="BC366" s="34">
        <f t="shared" si="207"/>
        <v>0</v>
      </c>
      <c r="BD366" s="34">
        <f t="shared" si="208"/>
        <v>0</v>
      </c>
      <c r="BE366" s="34">
        <v>0</v>
      </c>
      <c r="BF366" s="34">
        <f>366</f>
        <v>366</v>
      </c>
      <c r="BH366" s="18">
        <f t="shared" si="209"/>
        <v>0</v>
      </c>
      <c r="BI366" s="18">
        <f t="shared" si="210"/>
        <v>0</v>
      </c>
      <c r="BJ366" s="18">
        <f t="shared" si="211"/>
        <v>0</v>
      </c>
    </row>
    <row r="367" spans="1:62" x14ac:dyDescent="0.2">
      <c r="A367" s="5" t="s">
        <v>294</v>
      </c>
      <c r="B367" s="5" t="s">
        <v>626</v>
      </c>
      <c r="C367" s="135" t="s">
        <v>1011</v>
      </c>
      <c r="D367" s="136"/>
      <c r="E367" s="136"/>
      <c r="F367" s="5" t="s">
        <v>1099</v>
      </c>
      <c r="G367" s="18">
        <v>2</v>
      </c>
      <c r="H367" s="79">
        <v>0</v>
      </c>
      <c r="I367" s="18">
        <f t="shared" si="188"/>
        <v>0</v>
      </c>
      <c r="J367" s="18">
        <f t="shared" si="189"/>
        <v>0</v>
      </c>
      <c r="K367" s="18">
        <f t="shared" si="190"/>
        <v>0</v>
      </c>
      <c r="L367" s="29" t="s">
        <v>1127</v>
      </c>
      <c r="Z367" s="34">
        <f t="shared" si="191"/>
        <v>0</v>
      </c>
      <c r="AB367" s="34">
        <f t="shared" si="192"/>
        <v>0</v>
      </c>
      <c r="AC367" s="34">
        <f t="shared" si="193"/>
        <v>0</v>
      </c>
      <c r="AD367" s="34">
        <f t="shared" si="194"/>
        <v>0</v>
      </c>
      <c r="AE367" s="34">
        <f t="shared" si="195"/>
        <v>0</v>
      </c>
      <c r="AF367" s="34">
        <f t="shared" si="196"/>
        <v>0</v>
      </c>
      <c r="AG367" s="34">
        <f t="shared" si="197"/>
        <v>0</v>
      </c>
      <c r="AH367" s="34">
        <f t="shared" si="198"/>
        <v>0</v>
      </c>
      <c r="AI367" s="28" t="s">
        <v>1137</v>
      </c>
      <c r="AJ367" s="18">
        <f t="shared" si="199"/>
        <v>0</v>
      </c>
      <c r="AK367" s="18">
        <f t="shared" si="200"/>
        <v>0</v>
      </c>
      <c r="AL367" s="18">
        <f t="shared" si="201"/>
        <v>0</v>
      </c>
      <c r="AN367" s="34">
        <v>21</v>
      </c>
      <c r="AO367" s="34">
        <f t="shared" si="212"/>
        <v>0</v>
      </c>
      <c r="AP367" s="34">
        <f t="shared" si="213"/>
        <v>0</v>
      </c>
      <c r="AQ367" s="29" t="s">
        <v>7</v>
      </c>
      <c r="AV367" s="34">
        <f t="shared" si="204"/>
        <v>0</v>
      </c>
      <c r="AW367" s="34">
        <f t="shared" si="205"/>
        <v>0</v>
      </c>
      <c r="AX367" s="34">
        <f t="shared" si="206"/>
        <v>0</v>
      </c>
      <c r="AY367" s="35" t="s">
        <v>1162</v>
      </c>
      <c r="AZ367" s="35" t="s">
        <v>1169</v>
      </c>
      <c r="BA367" s="28" t="s">
        <v>1176</v>
      </c>
      <c r="BC367" s="34">
        <f t="shared" si="207"/>
        <v>0</v>
      </c>
      <c r="BD367" s="34">
        <f t="shared" si="208"/>
        <v>0</v>
      </c>
      <c r="BE367" s="34">
        <v>0</v>
      </c>
      <c r="BF367" s="34">
        <f>367</f>
        <v>367</v>
      </c>
      <c r="BH367" s="18">
        <f t="shared" si="209"/>
        <v>0</v>
      </c>
      <c r="BI367" s="18">
        <f t="shared" si="210"/>
        <v>0</v>
      </c>
      <c r="BJ367" s="18">
        <f t="shared" si="211"/>
        <v>0</v>
      </c>
    </row>
    <row r="368" spans="1:62" x14ac:dyDescent="0.2">
      <c r="A368" s="5" t="s">
        <v>295</v>
      </c>
      <c r="B368" s="5" t="s">
        <v>627</v>
      </c>
      <c r="C368" s="135" t="s">
        <v>1012</v>
      </c>
      <c r="D368" s="136"/>
      <c r="E368" s="136"/>
      <c r="F368" s="5" t="s">
        <v>1099</v>
      </c>
      <c r="G368" s="18">
        <v>2</v>
      </c>
      <c r="H368" s="79">
        <v>0</v>
      </c>
      <c r="I368" s="18">
        <f t="shared" si="188"/>
        <v>0</v>
      </c>
      <c r="J368" s="18">
        <f t="shared" si="189"/>
        <v>0</v>
      </c>
      <c r="K368" s="18">
        <f t="shared" si="190"/>
        <v>0</v>
      </c>
      <c r="L368" s="29" t="s">
        <v>1127</v>
      </c>
      <c r="Z368" s="34">
        <f t="shared" si="191"/>
        <v>0</v>
      </c>
      <c r="AB368" s="34">
        <f t="shared" si="192"/>
        <v>0</v>
      </c>
      <c r="AC368" s="34">
        <f t="shared" si="193"/>
        <v>0</v>
      </c>
      <c r="AD368" s="34">
        <f t="shared" si="194"/>
        <v>0</v>
      </c>
      <c r="AE368" s="34">
        <f t="shared" si="195"/>
        <v>0</v>
      </c>
      <c r="AF368" s="34">
        <f t="shared" si="196"/>
        <v>0</v>
      </c>
      <c r="AG368" s="34">
        <f t="shared" si="197"/>
        <v>0</v>
      </c>
      <c r="AH368" s="34">
        <f t="shared" si="198"/>
        <v>0</v>
      </c>
      <c r="AI368" s="28" t="s">
        <v>1137</v>
      </c>
      <c r="AJ368" s="18">
        <f t="shared" si="199"/>
        <v>0</v>
      </c>
      <c r="AK368" s="18">
        <f t="shared" si="200"/>
        <v>0</v>
      </c>
      <c r="AL368" s="18">
        <f t="shared" si="201"/>
        <v>0</v>
      </c>
      <c r="AN368" s="34">
        <v>21</v>
      </c>
      <c r="AO368" s="34">
        <f t="shared" si="212"/>
        <v>0</v>
      </c>
      <c r="AP368" s="34">
        <f t="shared" si="213"/>
        <v>0</v>
      </c>
      <c r="AQ368" s="29" t="s">
        <v>7</v>
      </c>
      <c r="AV368" s="34">
        <f t="shared" si="204"/>
        <v>0</v>
      </c>
      <c r="AW368" s="34">
        <f t="shared" si="205"/>
        <v>0</v>
      </c>
      <c r="AX368" s="34">
        <f t="shared" si="206"/>
        <v>0</v>
      </c>
      <c r="AY368" s="35" t="s">
        <v>1162</v>
      </c>
      <c r="AZ368" s="35" t="s">
        <v>1169</v>
      </c>
      <c r="BA368" s="28" t="s">
        <v>1176</v>
      </c>
      <c r="BC368" s="34">
        <f t="shared" si="207"/>
        <v>0</v>
      </c>
      <c r="BD368" s="34">
        <f t="shared" si="208"/>
        <v>0</v>
      </c>
      <c r="BE368" s="34">
        <v>0</v>
      </c>
      <c r="BF368" s="34">
        <f>368</f>
        <v>368</v>
      </c>
      <c r="BH368" s="18">
        <f t="shared" si="209"/>
        <v>0</v>
      </c>
      <c r="BI368" s="18">
        <f t="shared" si="210"/>
        <v>0</v>
      </c>
      <c r="BJ368" s="18">
        <f t="shared" si="211"/>
        <v>0</v>
      </c>
    </row>
    <row r="369" spans="1:62" x14ac:dyDescent="0.2">
      <c r="A369" s="5" t="s">
        <v>296</v>
      </c>
      <c r="B369" s="5" t="s">
        <v>628</v>
      </c>
      <c r="C369" s="135" t="s">
        <v>1013</v>
      </c>
      <c r="D369" s="136"/>
      <c r="E369" s="136"/>
      <c r="F369" s="5" t="s">
        <v>1104</v>
      </c>
      <c r="G369" s="18">
        <v>24</v>
      </c>
      <c r="H369" s="79">
        <v>0</v>
      </c>
      <c r="I369" s="18">
        <f t="shared" si="188"/>
        <v>0</v>
      </c>
      <c r="J369" s="18">
        <f t="shared" si="189"/>
        <v>0</v>
      </c>
      <c r="K369" s="18">
        <f t="shared" si="190"/>
        <v>0</v>
      </c>
      <c r="L369" s="29" t="s">
        <v>1127</v>
      </c>
      <c r="Z369" s="34">
        <f t="shared" si="191"/>
        <v>0</v>
      </c>
      <c r="AB369" s="34">
        <f t="shared" si="192"/>
        <v>0</v>
      </c>
      <c r="AC369" s="34">
        <f t="shared" si="193"/>
        <v>0</v>
      </c>
      <c r="AD369" s="34">
        <f t="shared" si="194"/>
        <v>0</v>
      </c>
      <c r="AE369" s="34">
        <f t="shared" si="195"/>
        <v>0</v>
      </c>
      <c r="AF369" s="34">
        <f t="shared" si="196"/>
        <v>0</v>
      </c>
      <c r="AG369" s="34">
        <f t="shared" si="197"/>
        <v>0</v>
      </c>
      <c r="AH369" s="34">
        <f t="shared" si="198"/>
        <v>0</v>
      </c>
      <c r="AI369" s="28" t="s">
        <v>1137</v>
      </c>
      <c r="AJ369" s="18">
        <f t="shared" si="199"/>
        <v>0</v>
      </c>
      <c r="AK369" s="18">
        <f t="shared" si="200"/>
        <v>0</v>
      </c>
      <c r="AL369" s="18">
        <f t="shared" si="201"/>
        <v>0</v>
      </c>
      <c r="AN369" s="34">
        <v>21</v>
      </c>
      <c r="AO369" s="34">
        <f t="shared" si="212"/>
        <v>0</v>
      </c>
      <c r="AP369" s="34">
        <f t="shared" si="213"/>
        <v>0</v>
      </c>
      <c r="AQ369" s="29" t="s">
        <v>7</v>
      </c>
      <c r="AV369" s="34">
        <f t="shared" si="204"/>
        <v>0</v>
      </c>
      <c r="AW369" s="34">
        <f t="shared" si="205"/>
        <v>0</v>
      </c>
      <c r="AX369" s="34">
        <f t="shared" si="206"/>
        <v>0</v>
      </c>
      <c r="AY369" s="35" t="s">
        <v>1162</v>
      </c>
      <c r="AZ369" s="35" t="s">
        <v>1169</v>
      </c>
      <c r="BA369" s="28" t="s">
        <v>1176</v>
      </c>
      <c r="BC369" s="34">
        <f t="shared" si="207"/>
        <v>0</v>
      </c>
      <c r="BD369" s="34">
        <f t="shared" si="208"/>
        <v>0</v>
      </c>
      <c r="BE369" s="34">
        <v>0</v>
      </c>
      <c r="BF369" s="34">
        <f>369</f>
        <v>369</v>
      </c>
      <c r="BH369" s="18">
        <f t="shared" si="209"/>
        <v>0</v>
      </c>
      <c r="BI369" s="18">
        <f t="shared" si="210"/>
        <v>0</v>
      </c>
      <c r="BJ369" s="18">
        <f t="shared" si="211"/>
        <v>0</v>
      </c>
    </row>
    <row r="370" spans="1:62" x14ac:dyDescent="0.2">
      <c r="A370" s="5" t="s">
        <v>297</v>
      </c>
      <c r="B370" s="5" t="s">
        <v>629</v>
      </c>
      <c r="C370" s="135" t="s">
        <v>1014</v>
      </c>
      <c r="D370" s="136"/>
      <c r="E370" s="136"/>
      <c r="F370" s="5" t="s">
        <v>1101</v>
      </c>
      <c r="G370" s="18">
        <v>100</v>
      </c>
      <c r="H370" s="79">
        <v>0</v>
      </c>
      <c r="I370" s="18">
        <f t="shared" si="188"/>
        <v>0</v>
      </c>
      <c r="J370" s="18">
        <f t="shared" si="189"/>
        <v>0</v>
      </c>
      <c r="K370" s="18">
        <f t="shared" si="190"/>
        <v>0</v>
      </c>
      <c r="L370" s="29" t="s">
        <v>1127</v>
      </c>
      <c r="Z370" s="34">
        <f t="shared" si="191"/>
        <v>0</v>
      </c>
      <c r="AB370" s="34">
        <f t="shared" si="192"/>
        <v>0</v>
      </c>
      <c r="AC370" s="34">
        <f t="shared" si="193"/>
        <v>0</v>
      </c>
      <c r="AD370" s="34">
        <f t="shared" si="194"/>
        <v>0</v>
      </c>
      <c r="AE370" s="34">
        <f t="shared" si="195"/>
        <v>0</v>
      </c>
      <c r="AF370" s="34">
        <f t="shared" si="196"/>
        <v>0</v>
      </c>
      <c r="AG370" s="34">
        <f t="shared" si="197"/>
        <v>0</v>
      </c>
      <c r="AH370" s="34">
        <f t="shared" si="198"/>
        <v>0</v>
      </c>
      <c r="AI370" s="28" t="s">
        <v>1137</v>
      </c>
      <c r="AJ370" s="18">
        <f t="shared" si="199"/>
        <v>0</v>
      </c>
      <c r="AK370" s="18">
        <f t="shared" si="200"/>
        <v>0</v>
      </c>
      <c r="AL370" s="18">
        <f t="shared" si="201"/>
        <v>0</v>
      </c>
      <c r="AN370" s="34">
        <v>21</v>
      </c>
      <c r="AO370" s="34">
        <f t="shared" si="212"/>
        <v>0</v>
      </c>
      <c r="AP370" s="34">
        <f t="shared" si="213"/>
        <v>0</v>
      </c>
      <c r="AQ370" s="29" t="s">
        <v>7</v>
      </c>
      <c r="AV370" s="34">
        <f t="shared" si="204"/>
        <v>0</v>
      </c>
      <c r="AW370" s="34">
        <f t="shared" si="205"/>
        <v>0</v>
      </c>
      <c r="AX370" s="34">
        <f t="shared" si="206"/>
        <v>0</v>
      </c>
      <c r="AY370" s="35" t="s">
        <v>1162</v>
      </c>
      <c r="AZ370" s="35" t="s">
        <v>1169</v>
      </c>
      <c r="BA370" s="28" t="s">
        <v>1176</v>
      </c>
      <c r="BC370" s="34">
        <f t="shared" si="207"/>
        <v>0</v>
      </c>
      <c r="BD370" s="34">
        <f t="shared" si="208"/>
        <v>0</v>
      </c>
      <c r="BE370" s="34">
        <v>0</v>
      </c>
      <c r="BF370" s="34">
        <f>370</f>
        <v>370</v>
      </c>
      <c r="BH370" s="18">
        <f t="shared" si="209"/>
        <v>0</v>
      </c>
      <c r="BI370" s="18">
        <f t="shared" si="210"/>
        <v>0</v>
      </c>
      <c r="BJ370" s="18">
        <f t="shared" si="211"/>
        <v>0</v>
      </c>
    </row>
    <row r="371" spans="1:62" x14ac:dyDescent="0.2">
      <c r="A371" s="5" t="s">
        <v>298</v>
      </c>
      <c r="B371" s="5" t="s">
        <v>630</v>
      </c>
      <c r="C371" s="135" t="s">
        <v>1015</v>
      </c>
      <c r="D371" s="136"/>
      <c r="E371" s="136"/>
      <c r="F371" s="5" t="s">
        <v>1101</v>
      </c>
      <c r="G371" s="18">
        <v>60</v>
      </c>
      <c r="H371" s="79">
        <v>0</v>
      </c>
      <c r="I371" s="18">
        <f t="shared" si="188"/>
        <v>0</v>
      </c>
      <c r="J371" s="18">
        <f t="shared" si="189"/>
        <v>0</v>
      </c>
      <c r="K371" s="18">
        <f t="shared" si="190"/>
        <v>0</v>
      </c>
      <c r="L371" s="29" t="s">
        <v>1127</v>
      </c>
      <c r="Z371" s="34">
        <f t="shared" si="191"/>
        <v>0</v>
      </c>
      <c r="AB371" s="34">
        <f t="shared" si="192"/>
        <v>0</v>
      </c>
      <c r="AC371" s="34">
        <f t="shared" si="193"/>
        <v>0</v>
      </c>
      <c r="AD371" s="34">
        <f t="shared" si="194"/>
        <v>0</v>
      </c>
      <c r="AE371" s="34">
        <f t="shared" si="195"/>
        <v>0</v>
      </c>
      <c r="AF371" s="34">
        <f t="shared" si="196"/>
        <v>0</v>
      </c>
      <c r="AG371" s="34">
        <f t="shared" si="197"/>
        <v>0</v>
      </c>
      <c r="AH371" s="34">
        <f t="shared" si="198"/>
        <v>0</v>
      </c>
      <c r="AI371" s="28" t="s">
        <v>1137</v>
      </c>
      <c r="AJ371" s="18">
        <f t="shared" si="199"/>
        <v>0</v>
      </c>
      <c r="AK371" s="18">
        <f t="shared" si="200"/>
        <v>0</v>
      </c>
      <c r="AL371" s="18">
        <f t="shared" si="201"/>
        <v>0</v>
      </c>
      <c r="AN371" s="34">
        <v>21</v>
      </c>
      <c r="AO371" s="34">
        <f t="shared" si="212"/>
        <v>0</v>
      </c>
      <c r="AP371" s="34">
        <f t="shared" si="213"/>
        <v>0</v>
      </c>
      <c r="AQ371" s="29" t="s">
        <v>7</v>
      </c>
      <c r="AV371" s="34">
        <f t="shared" si="204"/>
        <v>0</v>
      </c>
      <c r="AW371" s="34">
        <f t="shared" si="205"/>
        <v>0</v>
      </c>
      <c r="AX371" s="34">
        <f t="shared" si="206"/>
        <v>0</v>
      </c>
      <c r="AY371" s="35" t="s">
        <v>1162</v>
      </c>
      <c r="AZ371" s="35" t="s">
        <v>1169</v>
      </c>
      <c r="BA371" s="28" t="s">
        <v>1176</v>
      </c>
      <c r="BC371" s="34">
        <f t="shared" si="207"/>
        <v>0</v>
      </c>
      <c r="BD371" s="34">
        <f t="shared" si="208"/>
        <v>0</v>
      </c>
      <c r="BE371" s="34">
        <v>0</v>
      </c>
      <c r="BF371" s="34">
        <f>371</f>
        <v>371</v>
      </c>
      <c r="BH371" s="18">
        <f t="shared" si="209"/>
        <v>0</v>
      </c>
      <c r="BI371" s="18">
        <f t="shared" si="210"/>
        <v>0</v>
      </c>
      <c r="BJ371" s="18">
        <f t="shared" si="211"/>
        <v>0</v>
      </c>
    </row>
    <row r="372" spans="1:62" x14ac:dyDescent="0.2">
      <c r="A372" s="5" t="s">
        <v>299</v>
      </c>
      <c r="B372" s="5" t="s">
        <v>631</v>
      </c>
      <c r="C372" s="135" t="s">
        <v>1016</v>
      </c>
      <c r="D372" s="136"/>
      <c r="E372" s="136"/>
      <c r="F372" s="5" t="s">
        <v>1101</v>
      </c>
      <c r="G372" s="18">
        <v>40</v>
      </c>
      <c r="H372" s="79">
        <v>0</v>
      </c>
      <c r="I372" s="18">
        <f t="shared" si="188"/>
        <v>0</v>
      </c>
      <c r="J372" s="18">
        <f t="shared" si="189"/>
        <v>0</v>
      </c>
      <c r="K372" s="18">
        <f t="shared" si="190"/>
        <v>0</v>
      </c>
      <c r="L372" s="29" t="s">
        <v>1127</v>
      </c>
      <c r="Z372" s="34">
        <f t="shared" si="191"/>
        <v>0</v>
      </c>
      <c r="AB372" s="34">
        <f t="shared" si="192"/>
        <v>0</v>
      </c>
      <c r="AC372" s="34">
        <f t="shared" si="193"/>
        <v>0</v>
      </c>
      <c r="AD372" s="34">
        <f t="shared" si="194"/>
        <v>0</v>
      </c>
      <c r="AE372" s="34">
        <f t="shared" si="195"/>
        <v>0</v>
      </c>
      <c r="AF372" s="34">
        <f t="shared" si="196"/>
        <v>0</v>
      </c>
      <c r="AG372" s="34">
        <f t="shared" si="197"/>
        <v>0</v>
      </c>
      <c r="AH372" s="34">
        <f t="shared" si="198"/>
        <v>0</v>
      </c>
      <c r="AI372" s="28" t="s">
        <v>1137</v>
      </c>
      <c r="AJ372" s="18">
        <f t="shared" si="199"/>
        <v>0</v>
      </c>
      <c r="AK372" s="18">
        <f t="shared" si="200"/>
        <v>0</v>
      </c>
      <c r="AL372" s="18">
        <f t="shared" si="201"/>
        <v>0</v>
      </c>
      <c r="AN372" s="34">
        <v>21</v>
      </c>
      <c r="AO372" s="34">
        <f t="shared" si="212"/>
        <v>0</v>
      </c>
      <c r="AP372" s="34">
        <f t="shared" si="213"/>
        <v>0</v>
      </c>
      <c r="AQ372" s="29" t="s">
        <v>7</v>
      </c>
      <c r="AV372" s="34">
        <f t="shared" si="204"/>
        <v>0</v>
      </c>
      <c r="AW372" s="34">
        <f t="shared" si="205"/>
        <v>0</v>
      </c>
      <c r="AX372" s="34">
        <f t="shared" si="206"/>
        <v>0</v>
      </c>
      <c r="AY372" s="35" t="s">
        <v>1162</v>
      </c>
      <c r="AZ372" s="35" t="s">
        <v>1169</v>
      </c>
      <c r="BA372" s="28" t="s">
        <v>1176</v>
      </c>
      <c r="BC372" s="34">
        <f t="shared" si="207"/>
        <v>0</v>
      </c>
      <c r="BD372" s="34">
        <f t="shared" si="208"/>
        <v>0</v>
      </c>
      <c r="BE372" s="34">
        <v>0</v>
      </c>
      <c r="BF372" s="34">
        <f>372</f>
        <v>372</v>
      </c>
      <c r="BH372" s="18">
        <f t="shared" si="209"/>
        <v>0</v>
      </c>
      <c r="BI372" s="18">
        <f t="shared" si="210"/>
        <v>0</v>
      </c>
      <c r="BJ372" s="18">
        <f t="shared" si="211"/>
        <v>0</v>
      </c>
    </row>
    <row r="373" spans="1:62" x14ac:dyDescent="0.2">
      <c r="A373" s="5" t="s">
        <v>300</v>
      </c>
      <c r="B373" s="5" t="s">
        <v>632</v>
      </c>
      <c r="C373" s="135" t="s">
        <v>1017</v>
      </c>
      <c r="D373" s="136"/>
      <c r="E373" s="136"/>
      <c r="F373" s="5" t="s">
        <v>1101</v>
      </c>
      <c r="G373" s="18">
        <v>800</v>
      </c>
      <c r="H373" s="79">
        <v>0</v>
      </c>
      <c r="I373" s="18">
        <f t="shared" si="188"/>
        <v>0</v>
      </c>
      <c r="J373" s="18">
        <f t="shared" si="189"/>
        <v>0</v>
      </c>
      <c r="K373" s="18">
        <f t="shared" si="190"/>
        <v>0</v>
      </c>
      <c r="L373" s="29" t="s">
        <v>1127</v>
      </c>
      <c r="Z373" s="34">
        <f t="shared" si="191"/>
        <v>0</v>
      </c>
      <c r="AB373" s="34">
        <f t="shared" si="192"/>
        <v>0</v>
      </c>
      <c r="AC373" s="34">
        <f t="shared" si="193"/>
        <v>0</v>
      </c>
      <c r="AD373" s="34">
        <f t="shared" si="194"/>
        <v>0</v>
      </c>
      <c r="AE373" s="34">
        <f t="shared" si="195"/>
        <v>0</v>
      </c>
      <c r="AF373" s="34">
        <f t="shared" si="196"/>
        <v>0</v>
      </c>
      <c r="AG373" s="34">
        <f t="shared" si="197"/>
        <v>0</v>
      </c>
      <c r="AH373" s="34">
        <f t="shared" si="198"/>
        <v>0</v>
      </c>
      <c r="AI373" s="28" t="s">
        <v>1137</v>
      </c>
      <c r="AJ373" s="18">
        <f t="shared" si="199"/>
        <v>0</v>
      </c>
      <c r="AK373" s="18">
        <f t="shared" si="200"/>
        <v>0</v>
      </c>
      <c r="AL373" s="18">
        <f t="shared" si="201"/>
        <v>0</v>
      </c>
      <c r="AN373" s="34">
        <v>21</v>
      </c>
      <c r="AO373" s="34">
        <f t="shared" si="212"/>
        <v>0</v>
      </c>
      <c r="AP373" s="34">
        <f t="shared" si="213"/>
        <v>0</v>
      </c>
      <c r="AQ373" s="29" t="s">
        <v>7</v>
      </c>
      <c r="AV373" s="34">
        <f t="shared" si="204"/>
        <v>0</v>
      </c>
      <c r="AW373" s="34">
        <f t="shared" si="205"/>
        <v>0</v>
      </c>
      <c r="AX373" s="34">
        <f t="shared" si="206"/>
        <v>0</v>
      </c>
      <c r="AY373" s="35" t="s">
        <v>1162</v>
      </c>
      <c r="AZ373" s="35" t="s">
        <v>1169</v>
      </c>
      <c r="BA373" s="28" t="s">
        <v>1176</v>
      </c>
      <c r="BC373" s="34">
        <f t="shared" si="207"/>
        <v>0</v>
      </c>
      <c r="BD373" s="34">
        <f t="shared" si="208"/>
        <v>0</v>
      </c>
      <c r="BE373" s="34">
        <v>0</v>
      </c>
      <c r="BF373" s="34">
        <f>373</f>
        <v>373</v>
      </c>
      <c r="BH373" s="18">
        <f t="shared" si="209"/>
        <v>0</v>
      </c>
      <c r="BI373" s="18">
        <f t="shared" si="210"/>
        <v>0</v>
      </c>
      <c r="BJ373" s="18">
        <f t="shared" si="211"/>
        <v>0</v>
      </c>
    </row>
    <row r="374" spans="1:62" x14ac:dyDescent="0.2">
      <c r="A374" s="5" t="s">
        <v>301</v>
      </c>
      <c r="B374" s="5" t="s">
        <v>633</v>
      </c>
      <c r="C374" s="135" t="s">
        <v>1018</v>
      </c>
      <c r="D374" s="136"/>
      <c r="E374" s="136"/>
      <c r="F374" s="5" t="s">
        <v>1101</v>
      </c>
      <c r="G374" s="18">
        <v>540</v>
      </c>
      <c r="H374" s="79">
        <v>0</v>
      </c>
      <c r="I374" s="18">
        <f t="shared" si="188"/>
        <v>0</v>
      </c>
      <c r="J374" s="18">
        <f t="shared" si="189"/>
        <v>0</v>
      </c>
      <c r="K374" s="18">
        <f t="shared" si="190"/>
        <v>0</v>
      </c>
      <c r="L374" s="29" t="s">
        <v>1127</v>
      </c>
      <c r="Z374" s="34">
        <f t="shared" si="191"/>
        <v>0</v>
      </c>
      <c r="AB374" s="34">
        <f t="shared" si="192"/>
        <v>0</v>
      </c>
      <c r="AC374" s="34">
        <f t="shared" si="193"/>
        <v>0</v>
      </c>
      <c r="AD374" s="34">
        <f t="shared" si="194"/>
        <v>0</v>
      </c>
      <c r="AE374" s="34">
        <f t="shared" si="195"/>
        <v>0</v>
      </c>
      <c r="AF374" s="34">
        <f t="shared" si="196"/>
        <v>0</v>
      </c>
      <c r="AG374" s="34">
        <f t="shared" si="197"/>
        <v>0</v>
      </c>
      <c r="AH374" s="34">
        <f t="shared" si="198"/>
        <v>0</v>
      </c>
      <c r="AI374" s="28" t="s">
        <v>1137</v>
      </c>
      <c r="AJ374" s="18">
        <f t="shared" si="199"/>
        <v>0</v>
      </c>
      <c r="AK374" s="18">
        <f t="shared" si="200"/>
        <v>0</v>
      </c>
      <c r="AL374" s="18">
        <f t="shared" si="201"/>
        <v>0</v>
      </c>
      <c r="AN374" s="34">
        <v>21</v>
      </c>
      <c r="AO374" s="34">
        <f t="shared" si="212"/>
        <v>0</v>
      </c>
      <c r="AP374" s="34">
        <f t="shared" si="213"/>
        <v>0</v>
      </c>
      <c r="AQ374" s="29" t="s">
        <v>7</v>
      </c>
      <c r="AV374" s="34">
        <f t="shared" si="204"/>
        <v>0</v>
      </c>
      <c r="AW374" s="34">
        <f t="shared" si="205"/>
        <v>0</v>
      </c>
      <c r="AX374" s="34">
        <f t="shared" si="206"/>
        <v>0</v>
      </c>
      <c r="AY374" s="35" t="s">
        <v>1162</v>
      </c>
      <c r="AZ374" s="35" t="s">
        <v>1169</v>
      </c>
      <c r="BA374" s="28" t="s">
        <v>1176</v>
      </c>
      <c r="BC374" s="34">
        <f t="shared" si="207"/>
        <v>0</v>
      </c>
      <c r="BD374" s="34">
        <f t="shared" si="208"/>
        <v>0</v>
      </c>
      <c r="BE374" s="34">
        <v>0</v>
      </c>
      <c r="BF374" s="34">
        <f>374</f>
        <v>374</v>
      </c>
      <c r="BH374" s="18">
        <f t="shared" si="209"/>
        <v>0</v>
      </c>
      <c r="BI374" s="18">
        <f t="shared" si="210"/>
        <v>0</v>
      </c>
      <c r="BJ374" s="18">
        <f t="shared" si="211"/>
        <v>0</v>
      </c>
    </row>
    <row r="375" spans="1:62" x14ac:dyDescent="0.2">
      <c r="A375" s="5" t="s">
        <v>302</v>
      </c>
      <c r="B375" s="5" t="s">
        <v>634</v>
      </c>
      <c r="C375" s="135" t="s">
        <v>1019</v>
      </c>
      <c r="D375" s="136"/>
      <c r="E375" s="136"/>
      <c r="F375" s="5" t="s">
        <v>1101</v>
      </c>
      <c r="G375" s="18">
        <v>180</v>
      </c>
      <c r="H375" s="79">
        <v>0</v>
      </c>
      <c r="I375" s="18">
        <f t="shared" si="188"/>
        <v>0</v>
      </c>
      <c r="J375" s="18">
        <f t="shared" si="189"/>
        <v>0</v>
      </c>
      <c r="K375" s="18">
        <f t="shared" si="190"/>
        <v>0</v>
      </c>
      <c r="L375" s="29" t="s">
        <v>1127</v>
      </c>
      <c r="Z375" s="34">
        <f t="shared" si="191"/>
        <v>0</v>
      </c>
      <c r="AB375" s="34">
        <f t="shared" si="192"/>
        <v>0</v>
      </c>
      <c r="AC375" s="34">
        <f t="shared" si="193"/>
        <v>0</v>
      </c>
      <c r="AD375" s="34">
        <f t="shared" si="194"/>
        <v>0</v>
      </c>
      <c r="AE375" s="34">
        <f t="shared" si="195"/>
        <v>0</v>
      </c>
      <c r="AF375" s="34">
        <f t="shared" si="196"/>
        <v>0</v>
      </c>
      <c r="AG375" s="34">
        <f t="shared" si="197"/>
        <v>0</v>
      </c>
      <c r="AH375" s="34">
        <f t="shared" si="198"/>
        <v>0</v>
      </c>
      <c r="AI375" s="28" t="s">
        <v>1137</v>
      </c>
      <c r="AJ375" s="18">
        <f t="shared" si="199"/>
        <v>0</v>
      </c>
      <c r="AK375" s="18">
        <f t="shared" si="200"/>
        <v>0</v>
      </c>
      <c r="AL375" s="18">
        <f t="shared" si="201"/>
        <v>0</v>
      </c>
      <c r="AN375" s="34">
        <v>21</v>
      </c>
      <c r="AO375" s="34">
        <f t="shared" si="212"/>
        <v>0</v>
      </c>
      <c r="AP375" s="34">
        <f t="shared" si="213"/>
        <v>0</v>
      </c>
      <c r="AQ375" s="29" t="s">
        <v>7</v>
      </c>
      <c r="AV375" s="34">
        <f t="shared" si="204"/>
        <v>0</v>
      </c>
      <c r="AW375" s="34">
        <f t="shared" si="205"/>
        <v>0</v>
      </c>
      <c r="AX375" s="34">
        <f t="shared" si="206"/>
        <v>0</v>
      </c>
      <c r="AY375" s="35" t="s">
        <v>1162</v>
      </c>
      <c r="AZ375" s="35" t="s">
        <v>1169</v>
      </c>
      <c r="BA375" s="28" t="s">
        <v>1176</v>
      </c>
      <c r="BC375" s="34">
        <f t="shared" si="207"/>
        <v>0</v>
      </c>
      <c r="BD375" s="34">
        <f t="shared" si="208"/>
        <v>0</v>
      </c>
      <c r="BE375" s="34">
        <v>0</v>
      </c>
      <c r="BF375" s="34">
        <f>375</f>
        <v>375</v>
      </c>
      <c r="BH375" s="18">
        <f t="shared" si="209"/>
        <v>0</v>
      </c>
      <c r="BI375" s="18">
        <f t="shared" si="210"/>
        <v>0</v>
      </c>
      <c r="BJ375" s="18">
        <f t="shared" si="211"/>
        <v>0</v>
      </c>
    </row>
    <row r="376" spans="1:62" x14ac:dyDescent="0.2">
      <c r="A376" s="5" t="s">
        <v>303</v>
      </c>
      <c r="B376" s="5" t="s">
        <v>635</v>
      </c>
      <c r="C376" s="135" t="s">
        <v>1020</v>
      </c>
      <c r="D376" s="136"/>
      <c r="E376" s="136"/>
      <c r="F376" s="5" t="s">
        <v>1101</v>
      </c>
      <c r="G376" s="18">
        <v>80</v>
      </c>
      <c r="H376" s="79">
        <v>0</v>
      </c>
      <c r="I376" s="18">
        <f t="shared" si="188"/>
        <v>0</v>
      </c>
      <c r="J376" s="18">
        <f t="shared" si="189"/>
        <v>0</v>
      </c>
      <c r="K376" s="18">
        <f t="shared" si="190"/>
        <v>0</v>
      </c>
      <c r="L376" s="29" t="s">
        <v>1127</v>
      </c>
      <c r="Z376" s="34">
        <f t="shared" si="191"/>
        <v>0</v>
      </c>
      <c r="AB376" s="34">
        <f t="shared" si="192"/>
        <v>0</v>
      </c>
      <c r="AC376" s="34">
        <f t="shared" si="193"/>
        <v>0</v>
      </c>
      <c r="AD376" s="34">
        <f t="shared" si="194"/>
        <v>0</v>
      </c>
      <c r="AE376" s="34">
        <f t="shared" si="195"/>
        <v>0</v>
      </c>
      <c r="AF376" s="34">
        <f t="shared" si="196"/>
        <v>0</v>
      </c>
      <c r="AG376" s="34">
        <f t="shared" si="197"/>
        <v>0</v>
      </c>
      <c r="AH376" s="34">
        <f t="shared" si="198"/>
        <v>0</v>
      </c>
      <c r="AI376" s="28" t="s">
        <v>1137</v>
      </c>
      <c r="AJ376" s="18">
        <f t="shared" si="199"/>
        <v>0</v>
      </c>
      <c r="AK376" s="18">
        <f t="shared" si="200"/>
        <v>0</v>
      </c>
      <c r="AL376" s="18">
        <f t="shared" si="201"/>
        <v>0</v>
      </c>
      <c r="AN376" s="34">
        <v>21</v>
      </c>
      <c r="AO376" s="34">
        <f t="shared" si="212"/>
        <v>0</v>
      </c>
      <c r="AP376" s="34">
        <f t="shared" si="213"/>
        <v>0</v>
      </c>
      <c r="AQ376" s="29" t="s">
        <v>7</v>
      </c>
      <c r="AV376" s="34">
        <f t="shared" si="204"/>
        <v>0</v>
      </c>
      <c r="AW376" s="34">
        <f t="shared" si="205"/>
        <v>0</v>
      </c>
      <c r="AX376" s="34">
        <f t="shared" si="206"/>
        <v>0</v>
      </c>
      <c r="AY376" s="35" t="s">
        <v>1162</v>
      </c>
      <c r="AZ376" s="35" t="s">
        <v>1169</v>
      </c>
      <c r="BA376" s="28" t="s">
        <v>1176</v>
      </c>
      <c r="BC376" s="34">
        <f t="shared" si="207"/>
        <v>0</v>
      </c>
      <c r="BD376" s="34">
        <f t="shared" si="208"/>
        <v>0</v>
      </c>
      <c r="BE376" s="34">
        <v>0</v>
      </c>
      <c r="BF376" s="34">
        <f>376</f>
        <v>376</v>
      </c>
      <c r="BH376" s="18">
        <f t="shared" si="209"/>
        <v>0</v>
      </c>
      <c r="BI376" s="18">
        <f t="shared" si="210"/>
        <v>0</v>
      </c>
      <c r="BJ376" s="18">
        <f t="shared" si="211"/>
        <v>0</v>
      </c>
    </row>
    <row r="377" spans="1:62" x14ac:dyDescent="0.2">
      <c r="A377" s="5" t="s">
        <v>304</v>
      </c>
      <c r="B377" s="5" t="s">
        <v>636</v>
      </c>
      <c r="C377" s="135" t="s">
        <v>1021</v>
      </c>
      <c r="D377" s="136"/>
      <c r="E377" s="136"/>
      <c r="F377" s="5" t="s">
        <v>1101</v>
      </c>
      <c r="G377" s="18">
        <v>190</v>
      </c>
      <c r="H377" s="79">
        <v>0</v>
      </c>
      <c r="I377" s="18">
        <f t="shared" si="188"/>
        <v>0</v>
      </c>
      <c r="J377" s="18">
        <f t="shared" si="189"/>
        <v>0</v>
      </c>
      <c r="K377" s="18">
        <f t="shared" si="190"/>
        <v>0</v>
      </c>
      <c r="L377" s="29" t="s">
        <v>1127</v>
      </c>
      <c r="Z377" s="34">
        <f t="shared" si="191"/>
        <v>0</v>
      </c>
      <c r="AB377" s="34">
        <f t="shared" si="192"/>
        <v>0</v>
      </c>
      <c r="AC377" s="34">
        <f t="shared" si="193"/>
        <v>0</v>
      </c>
      <c r="AD377" s="34">
        <f t="shared" si="194"/>
        <v>0</v>
      </c>
      <c r="AE377" s="34">
        <f t="shared" si="195"/>
        <v>0</v>
      </c>
      <c r="AF377" s="34">
        <f t="shared" si="196"/>
        <v>0</v>
      </c>
      <c r="AG377" s="34">
        <f t="shared" si="197"/>
        <v>0</v>
      </c>
      <c r="AH377" s="34">
        <f t="shared" si="198"/>
        <v>0</v>
      </c>
      <c r="AI377" s="28" t="s">
        <v>1137</v>
      </c>
      <c r="AJ377" s="18">
        <f t="shared" si="199"/>
        <v>0</v>
      </c>
      <c r="AK377" s="18">
        <f t="shared" si="200"/>
        <v>0</v>
      </c>
      <c r="AL377" s="18">
        <f t="shared" si="201"/>
        <v>0</v>
      </c>
      <c r="AN377" s="34">
        <v>21</v>
      </c>
      <c r="AO377" s="34">
        <f t="shared" si="212"/>
        <v>0</v>
      </c>
      <c r="AP377" s="34">
        <f t="shared" si="213"/>
        <v>0</v>
      </c>
      <c r="AQ377" s="29" t="s">
        <v>7</v>
      </c>
      <c r="AV377" s="34">
        <f t="shared" si="204"/>
        <v>0</v>
      </c>
      <c r="AW377" s="34">
        <f t="shared" si="205"/>
        <v>0</v>
      </c>
      <c r="AX377" s="34">
        <f t="shared" si="206"/>
        <v>0</v>
      </c>
      <c r="AY377" s="35" t="s">
        <v>1162</v>
      </c>
      <c r="AZ377" s="35" t="s">
        <v>1169</v>
      </c>
      <c r="BA377" s="28" t="s">
        <v>1176</v>
      </c>
      <c r="BC377" s="34">
        <f t="shared" si="207"/>
        <v>0</v>
      </c>
      <c r="BD377" s="34">
        <f t="shared" si="208"/>
        <v>0</v>
      </c>
      <c r="BE377" s="34">
        <v>0</v>
      </c>
      <c r="BF377" s="34">
        <f>377</f>
        <v>377</v>
      </c>
      <c r="BH377" s="18">
        <f t="shared" si="209"/>
        <v>0</v>
      </c>
      <c r="BI377" s="18">
        <f t="shared" si="210"/>
        <v>0</v>
      </c>
      <c r="BJ377" s="18">
        <f t="shared" si="211"/>
        <v>0</v>
      </c>
    </row>
    <row r="378" spans="1:62" x14ac:dyDescent="0.2">
      <c r="A378" s="5" t="s">
        <v>305</v>
      </c>
      <c r="B378" s="5" t="s">
        <v>637</v>
      </c>
      <c r="C378" s="135" t="s">
        <v>1022</v>
      </c>
      <c r="D378" s="136"/>
      <c r="E378" s="136"/>
      <c r="F378" s="5" t="s">
        <v>1101</v>
      </c>
      <c r="G378" s="18">
        <v>150</v>
      </c>
      <c r="H378" s="79">
        <v>0</v>
      </c>
      <c r="I378" s="18">
        <f t="shared" si="188"/>
        <v>0</v>
      </c>
      <c r="J378" s="18">
        <f t="shared" si="189"/>
        <v>0</v>
      </c>
      <c r="K378" s="18">
        <f t="shared" si="190"/>
        <v>0</v>
      </c>
      <c r="L378" s="29" t="s">
        <v>1127</v>
      </c>
      <c r="Z378" s="34">
        <f t="shared" si="191"/>
        <v>0</v>
      </c>
      <c r="AB378" s="34">
        <f t="shared" si="192"/>
        <v>0</v>
      </c>
      <c r="AC378" s="34">
        <f t="shared" si="193"/>
        <v>0</v>
      </c>
      <c r="AD378" s="34">
        <f t="shared" si="194"/>
        <v>0</v>
      </c>
      <c r="AE378" s="34">
        <f t="shared" si="195"/>
        <v>0</v>
      </c>
      <c r="AF378" s="34">
        <f t="shared" si="196"/>
        <v>0</v>
      </c>
      <c r="AG378" s="34">
        <f t="shared" si="197"/>
        <v>0</v>
      </c>
      <c r="AH378" s="34">
        <f t="shared" si="198"/>
        <v>0</v>
      </c>
      <c r="AI378" s="28" t="s">
        <v>1137</v>
      </c>
      <c r="AJ378" s="18">
        <f t="shared" si="199"/>
        <v>0</v>
      </c>
      <c r="AK378" s="18">
        <f t="shared" si="200"/>
        <v>0</v>
      </c>
      <c r="AL378" s="18">
        <f t="shared" si="201"/>
        <v>0</v>
      </c>
      <c r="AN378" s="34">
        <v>21</v>
      </c>
      <c r="AO378" s="34">
        <f t="shared" si="212"/>
        <v>0</v>
      </c>
      <c r="AP378" s="34">
        <f t="shared" si="213"/>
        <v>0</v>
      </c>
      <c r="AQ378" s="29" t="s">
        <v>7</v>
      </c>
      <c r="AV378" s="34">
        <f t="shared" si="204"/>
        <v>0</v>
      </c>
      <c r="AW378" s="34">
        <f t="shared" si="205"/>
        <v>0</v>
      </c>
      <c r="AX378" s="34">
        <f t="shared" si="206"/>
        <v>0</v>
      </c>
      <c r="AY378" s="35" t="s">
        <v>1162</v>
      </c>
      <c r="AZ378" s="35" t="s">
        <v>1169</v>
      </c>
      <c r="BA378" s="28" t="s">
        <v>1176</v>
      </c>
      <c r="BC378" s="34">
        <f t="shared" si="207"/>
        <v>0</v>
      </c>
      <c r="BD378" s="34">
        <f t="shared" si="208"/>
        <v>0</v>
      </c>
      <c r="BE378" s="34">
        <v>0</v>
      </c>
      <c r="BF378" s="34">
        <f>378</f>
        <v>378</v>
      </c>
      <c r="BH378" s="18">
        <f t="shared" si="209"/>
        <v>0</v>
      </c>
      <c r="BI378" s="18">
        <f t="shared" si="210"/>
        <v>0</v>
      </c>
      <c r="BJ378" s="18">
        <f t="shared" si="211"/>
        <v>0</v>
      </c>
    </row>
    <row r="379" spans="1:62" x14ac:dyDescent="0.2">
      <c r="A379" s="5" t="s">
        <v>306</v>
      </c>
      <c r="B379" s="5" t="s">
        <v>638</v>
      </c>
      <c r="C379" s="135" t="s">
        <v>1023</v>
      </c>
      <c r="D379" s="136"/>
      <c r="E379" s="136"/>
      <c r="F379" s="5" t="s">
        <v>1101</v>
      </c>
      <c r="G379" s="18">
        <v>40</v>
      </c>
      <c r="H379" s="79">
        <v>0</v>
      </c>
      <c r="I379" s="18">
        <f t="shared" si="188"/>
        <v>0</v>
      </c>
      <c r="J379" s="18">
        <f t="shared" si="189"/>
        <v>0</v>
      </c>
      <c r="K379" s="18">
        <f t="shared" si="190"/>
        <v>0</v>
      </c>
      <c r="L379" s="29" t="s">
        <v>1127</v>
      </c>
      <c r="Z379" s="34">
        <f t="shared" si="191"/>
        <v>0</v>
      </c>
      <c r="AB379" s="34">
        <f t="shared" si="192"/>
        <v>0</v>
      </c>
      <c r="AC379" s="34">
        <f t="shared" si="193"/>
        <v>0</v>
      </c>
      <c r="AD379" s="34">
        <f t="shared" si="194"/>
        <v>0</v>
      </c>
      <c r="AE379" s="34">
        <f t="shared" si="195"/>
        <v>0</v>
      </c>
      <c r="AF379" s="34">
        <f t="shared" si="196"/>
        <v>0</v>
      </c>
      <c r="AG379" s="34">
        <f t="shared" si="197"/>
        <v>0</v>
      </c>
      <c r="AH379" s="34">
        <f t="shared" si="198"/>
        <v>0</v>
      </c>
      <c r="AI379" s="28" t="s">
        <v>1137</v>
      </c>
      <c r="AJ379" s="18">
        <f t="shared" si="199"/>
        <v>0</v>
      </c>
      <c r="AK379" s="18">
        <f t="shared" si="200"/>
        <v>0</v>
      </c>
      <c r="AL379" s="18">
        <f t="shared" si="201"/>
        <v>0</v>
      </c>
      <c r="AN379" s="34">
        <v>21</v>
      </c>
      <c r="AO379" s="34">
        <f t="shared" si="212"/>
        <v>0</v>
      </c>
      <c r="AP379" s="34">
        <f t="shared" si="213"/>
        <v>0</v>
      </c>
      <c r="AQ379" s="29" t="s">
        <v>7</v>
      </c>
      <c r="AV379" s="34">
        <f t="shared" si="204"/>
        <v>0</v>
      </c>
      <c r="AW379" s="34">
        <f t="shared" si="205"/>
        <v>0</v>
      </c>
      <c r="AX379" s="34">
        <f t="shared" si="206"/>
        <v>0</v>
      </c>
      <c r="AY379" s="35" t="s">
        <v>1162</v>
      </c>
      <c r="AZ379" s="35" t="s">
        <v>1169</v>
      </c>
      <c r="BA379" s="28" t="s">
        <v>1176</v>
      </c>
      <c r="BC379" s="34">
        <f t="shared" si="207"/>
        <v>0</v>
      </c>
      <c r="BD379" s="34">
        <f t="shared" si="208"/>
        <v>0</v>
      </c>
      <c r="BE379" s="34">
        <v>0</v>
      </c>
      <c r="BF379" s="34">
        <f>379</f>
        <v>379</v>
      </c>
      <c r="BH379" s="18">
        <f t="shared" si="209"/>
        <v>0</v>
      </c>
      <c r="BI379" s="18">
        <f t="shared" si="210"/>
        <v>0</v>
      </c>
      <c r="BJ379" s="18">
        <f t="shared" si="211"/>
        <v>0</v>
      </c>
    </row>
    <row r="380" spans="1:62" x14ac:dyDescent="0.2">
      <c r="A380" s="5" t="s">
        <v>307</v>
      </c>
      <c r="B380" s="5" t="s">
        <v>639</v>
      </c>
      <c r="C380" s="135" t="s">
        <v>1024</v>
      </c>
      <c r="D380" s="136"/>
      <c r="E380" s="136"/>
      <c r="F380" s="5" t="s">
        <v>1099</v>
      </c>
      <c r="G380" s="18">
        <v>112</v>
      </c>
      <c r="H380" s="79">
        <v>0</v>
      </c>
      <c r="I380" s="18">
        <f t="shared" ref="I380:I406" si="214">G380*AO380</f>
        <v>0</v>
      </c>
      <c r="J380" s="18">
        <f t="shared" ref="J380:J406" si="215">G380*AP380</f>
        <v>0</v>
      </c>
      <c r="K380" s="18">
        <f t="shared" ref="K380:K406" si="216">G380*H380</f>
        <v>0</v>
      </c>
      <c r="L380" s="29" t="s">
        <v>1127</v>
      </c>
      <c r="Z380" s="34">
        <f t="shared" ref="Z380:Z406" si="217">IF(AQ380="5",BJ380,0)</f>
        <v>0</v>
      </c>
      <c r="AB380" s="34">
        <f t="shared" ref="AB380:AB406" si="218">IF(AQ380="1",BH380,0)</f>
        <v>0</v>
      </c>
      <c r="AC380" s="34">
        <f t="shared" ref="AC380:AC406" si="219">IF(AQ380="1",BI380,0)</f>
        <v>0</v>
      </c>
      <c r="AD380" s="34">
        <f t="shared" ref="AD380:AD406" si="220">IF(AQ380="7",BH380,0)</f>
        <v>0</v>
      </c>
      <c r="AE380" s="34">
        <f t="shared" ref="AE380:AE406" si="221">IF(AQ380="7",BI380,0)</f>
        <v>0</v>
      </c>
      <c r="AF380" s="34">
        <f t="shared" ref="AF380:AF406" si="222">IF(AQ380="2",BH380,0)</f>
        <v>0</v>
      </c>
      <c r="AG380" s="34">
        <f t="shared" ref="AG380:AG406" si="223">IF(AQ380="2",BI380,0)</f>
        <v>0</v>
      </c>
      <c r="AH380" s="34">
        <f t="shared" ref="AH380:AH406" si="224">IF(AQ380="0",BJ380,0)</f>
        <v>0</v>
      </c>
      <c r="AI380" s="28" t="s">
        <v>1137</v>
      </c>
      <c r="AJ380" s="18">
        <f t="shared" ref="AJ380:AJ406" si="225">IF(AN380=0,K380,0)</f>
        <v>0</v>
      </c>
      <c r="AK380" s="18">
        <f t="shared" ref="AK380:AK406" si="226">IF(AN380=15,K380,0)</f>
        <v>0</v>
      </c>
      <c r="AL380" s="18">
        <f t="shared" ref="AL380:AL406" si="227">IF(AN380=21,K380,0)</f>
        <v>0</v>
      </c>
      <c r="AN380" s="34">
        <v>21</v>
      </c>
      <c r="AO380" s="34">
        <f t="shared" si="212"/>
        <v>0</v>
      </c>
      <c r="AP380" s="34">
        <f t="shared" si="213"/>
        <v>0</v>
      </c>
      <c r="AQ380" s="29" t="s">
        <v>7</v>
      </c>
      <c r="AV380" s="34">
        <f t="shared" ref="AV380:AV406" si="228">AW380+AX380</f>
        <v>0</v>
      </c>
      <c r="AW380" s="34">
        <f t="shared" ref="AW380:AW406" si="229">G380*AO380</f>
        <v>0</v>
      </c>
      <c r="AX380" s="34">
        <f t="shared" ref="AX380:AX406" si="230">G380*AP380</f>
        <v>0</v>
      </c>
      <c r="AY380" s="35" t="s">
        <v>1162</v>
      </c>
      <c r="AZ380" s="35" t="s">
        <v>1169</v>
      </c>
      <c r="BA380" s="28" t="s">
        <v>1176</v>
      </c>
      <c r="BC380" s="34">
        <f t="shared" ref="BC380:BC406" si="231">AW380+AX380</f>
        <v>0</v>
      </c>
      <c r="BD380" s="34">
        <f t="shared" ref="BD380:BD406" si="232">H380/(100-BE380)*100</f>
        <v>0</v>
      </c>
      <c r="BE380" s="34">
        <v>0</v>
      </c>
      <c r="BF380" s="34">
        <f>380</f>
        <v>380</v>
      </c>
      <c r="BH380" s="18">
        <f t="shared" ref="BH380:BH406" si="233">G380*AO380</f>
        <v>0</v>
      </c>
      <c r="BI380" s="18">
        <f t="shared" ref="BI380:BI406" si="234">G380*AP380</f>
        <v>0</v>
      </c>
      <c r="BJ380" s="18">
        <f t="shared" ref="BJ380:BJ406" si="235">G380*H380</f>
        <v>0</v>
      </c>
    </row>
    <row r="381" spans="1:62" x14ac:dyDescent="0.2">
      <c r="A381" s="5" t="s">
        <v>308</v>
      </c>
      <c r="B381" s="5" t="s">
        <v>640</v>
      </c>
      <c r="C381" s="135" t="s">
        <v>1025</v>
      </c>
      <c r="D381" s="136"/>
      <c r="E381" s="136"/>
      <c r="F381" s="5" t="s">
        <v>1103</v>
      </c>
      <c r="G381" s="18">
        <v>32</v>
      </c>
      <c r="H381" s="79">
        <v>0</v>
      </c>
      <c r="I381" s="18">
        <f t="shared" si="214"/>
        <v>0</v>
      </c>
      <c r="J381" s="18">
        <f t="shared" si="215"/>
        <v>0</v>
      </c>
      <c r="K381" s="18">
        <f t="shared" si="216"/>
        <v>0</v>
      </c>
      <c r="L381" s="29" t="s">
        <v>1127</v>
      </c>
      <c r="Z381" s="34">
        <f t="shared" si="217"/>
        <v>0</v>
      </c>
      <c r="AB381" s="34">
        <f t="shared" si="218"/>
        <v>0</v>
      </c>
      <c r="AC381" s="34">
        <f t="shared" si="219"/>
        <v>0</v>
      </c>
      <c r="AD381" s="34">
        <f t="shared" si="220"/>
        <v>0</v>
      </c>
      <c r="AE381" s="34">
        <f t="shared" si="221"/>
        <v>0</v>
      </c>
      <c r="AF381" s="34">
        <f t="shared" si="222"/>
        <v>0</v>
      </c>
      <c r="AG381" s="34">
        <f t="shared" si="223"/>
        <v>0</v>
      </c>
      <c r="AH381" s="34">
        <f t="shared" si="224"/>
        <v>0</v>
      </c>
      <c r="AI381" s="28" t="s">
        <v>1137</v>
      </c>
      <c r="AJ381" s="18">
        <f t="shared" si="225"/>
        <v>0</v>
      </c>
      <c r="AK381" s="18">
        <f t="shared" si="226"/>
        <v>0</v>
      </c>
      <c r="AL381" s="18">
        <f t="shared" si="227"/>
        <v>0</v>
      </c>
      <c r="AN381" s="34">
        <v>21</v>
      </c>
      <c r="AO381" s="34">
        <f t="shared" si="212"/>
        <v>0</v>
      </c>
      <c r="AP381" s="34">
        <f t="shared" si="213"/>
        <v>0</v>
      </c>
      <c r="AQ381" s="29" t="s">
        <v>7</v>
      </c>
      <c r="AV381" s="34">
        <f t="shared" si="228"/>
        <v>0</v>
      </c>
      <c r="AW381" s="34">
        <f t="shared" si="229"/>
        <v>0</v>
      </c>
      <c r="AX381" s="34">
        <f t="shared" si="230"/>
        <v>0</v>
      </c>
      <c r="AY381" s="35" t="s">
        <v>1162</v>
      </c>
      <c r="AZ381" s="35" t="s">
        <v>1169</v>
      </c>
      <c r="BA381" s="28" t="s">
        <v>1176</v>
      </c>
      <c r="BC381" s="34">
        <f t="shared" si="231"/>
        <v>0</v>
      </c>
      <c r="BD381" s="34">
        <f t="shared" si="232"/>
        <v>0</v>
      </c>
      <c r="BE381" s="34">
        <v>0</v>
      </c>
      <c r="BF381" s="34">
        <f>381</f>
        <v>381</v>
      </c>
      <c r="BH381" s="18">
        <f t="shared" si="233"/>
        <v>0</v>
      </c>
      <c r="BI381" s="18">
        <f t="shared" si="234"/>
        <v>0</v>
      </c>
      <c r="BJ381" s="18">
        <f t="shared" si="235"/>
        <v>0</v>
      </c>
    </row>
    <row r="382" spans="1:62" x14ac:dyDescent="0.2">
      <c r="A382" s="5" t="s">
        <v>309</v>
      </c>
      <c r="B382" s="5" t="s">
        <v>641</v>
      </c>
      <c r="C382" s="135" t="s">
        <v>1026</v>
      </c>
      <c r="D382" s="136"/>
      <c r="E382" s="136"/>
      <c r="F382" s="5" t="s">
        <v>1103</v>
      </c>
      <c r="G382" s="18">
        <v>2</v>
      </c>
      <c r="H382" s="79">
        <v>0</v>
      </c>
      <c r="I382" s="18">
        <f t="shared" si="214"/>
        <v>0</v>
      </c>
      <c r="J382" s="18">
        <f t="shared" si="215"/>
        <v>0</v>
      </c>
      <c r="K382" s="18">
        <f t="shared" si="216"/>
        <v>0</v>
      </c>
      <c r="L382" s="29" t="s">
        <v>1127</v>
      </c>
      <c r="Z382" s="34">
        <f t="shared" si="217"/>
        <v>0</v>
      </c>
      <c r="AB382" s="34">
        <f t="shared" si="218"/>
        <v>0</v>
      </c>
      <c r="AC382" s="34">
        <f t="shared" si="219"/>
        <v>0</v>
      </c>
      <c r="AD382" s="34">
        <f t="shared" si="220"/>
        <v>0</v>
      </c>
      <c r="AE382" s="34">
        <f t="shared" si="221"/>
        <v>0</v>
      </c>
      <c r="AF382" s="34">
        <f t="shared" si="222"/>
        <v>0</v>
      </c>
      <c r="AG382" s="34">
        <f t="shared" si="223"/>
        <v>0</v>
      </c>
      <c r="AH382" s="34">
        <f t="shared" si="224"/>
        <v>0</v>
      </c>
      <c r="AI382" s="28" t="s">
        <v>1137</v>
      </c>
      <c r="AJ382" s="18">
        <f t="shared" si="225"/>
        <v>0</v>
      </c>
      <c r="AK382" s="18">
        <f t="shared" si="226"/>
        <v>0</v>
      </c>
      <c r="AL382" s="18">
        <f t="shared" si="227"/>
        <v>0</v>
      </c>
      <c r="AN382" s="34">
        <v>21</v>
      </c>
      <c r="AO382" s="34">
        <f t="shared" si="212"/>
        <v>0</v>
      </c>
      <c r="AP382" s="34">
        <f t="shared" si="213"/>
        <v>0</v>
      </c>
      <c r="AQ382" s="29" t="s">
        <v>7</v>
      </c>
      <c r="AV382" s="34">
        <f t="shared" si="228"/>
        <v>0</v>
      </c>
      <c r="AW382" s="34">
        <f t="shared" si="229"/>
        <v>0</v>
      </c>
      <c r="AX382" s="34">
        <f t="shared" si="230"/>
        <v>0</v>
      </c>
      <c r="AY382" s="35" t="s">
        <v>1162</v>
      </c>
      <c r="AZ382" s="35" t="s">
        <v>1169</v>
      </c>
      <c r="BA382" s="28" t="s">
        <v>1176</v>
      </c>
      <c r="BC382" s="34">
        <f t="shared" si="231"/>
        <v>0</v>
      </c>
      <c r="BD382" s="34">
        <f t="shared" si="232"/>
        <v>0</v>
      </c>
      <c r="BE382" s="34">
        <v>0</v>
      </c>
      <c r="BF382" s="34">
        <f>382</f>
        <v>382</v>
      </c>
      <c r="BH382" s="18">
        <f t="shared" si="233"/>
        <v>0</v>
      </c>
      <c r="BI382" s="18">
        <f t="shared" si="234"/>
        <v>0</v>
      </c>
      <c r="BJ382" s="18">
        <f t="shared" si="235"/>
        <v>0</v>
      </c>
    </row>
    <row r="383" spans="1:62" x14ac:dyDescent="0.2">
      <c r="A383" s="5" t="s">
        <v>310</v>
      </c>
      <c r="B383" s="5" t="s">
        <v>642</v>
      </c>
      <c r="C383" s="135" t="s">
        <v>1027</v>
      </c>
      <c r="D383" s="136"/>
      <c r="E383" s="136"/>
      <c r="F383" s="5" t="s">
        <v>1103</v>
      </c>
      <c r="G383" s="18">
        <v>28</v>
      </c>
      <c r="H383" s="79">
        <v>0</v>
      </c>
      <c r="I383" s="18">
        <f t="shared" si="214"/>
        <v>0</v>
      </c>
      <c r="J383" s="18">
        <f t="shared" si="215"/>
        <v>0</v>
      </c>
      <c r="K383" s="18">
        <f t="shared" si="216"/>
        <v>0</v>
      </c>
      <c r="L383" s="29" t="s">
        <v>1127</v>
      </c>
      <c r="Z383" s="34">
        <f t="shared" si="217"/>
        <v>0</v>
      </c>
      <c r="AB383" s="34">
        <f t="shared" si="218"/>
        <v>0</v>
      </c>
      <c r="AC383" s="34">
        <f t="shared" si="219"/>
        <v>0</v>
      </c>
      <c r="AD383" s="34">
        <f t="shared" si="220"/>
        <v>0</v>
      </c>
      <c r="AE383" s="34">
        <f t="shared" si="221"/>
        <v>0</v>
      </c>
      <c r="AF383" s="34">
        <f t="shared" si="222"/>
        <v>0</v>
      </c>
      <c r="AG383" s="34">
        <f t="shared" si="223"/>
        <v>0</v>
      </c>
      <c r="AH383" s="34">
        <f t="shared" si="224"/>
        <v>0</v>
      </c>
      <c r="AI383" s="28" t="s">
        <v>1137</v>
      </c>
      <c r="AJ383" s="18">
        <f t="shared" si="225"/>
        <v>0</v>
      </c>
      <c r="AK383" s="18">
        <f t="shared" si="226"/>
        <v>0</v>
      </c>
      <c r="AL383" s="18">
        <f t="shared" si="227"/>
        <v>0</v>
      </c>
      <c r="AN383" s="34">
        <v>21</v>
      </c>
      <c r="AO383" s="34">
        <f t="shared" si="212"/>
        <v>0</v>
      </c>
      <c r="AP383" s="34">
        <f t="shared" si="213"/>
        <v>0</v>
      </c>
      <c r="AQ383" s="29" t="s">
        <v>7</v>
      </c>
      <c r="AV383" s="34">
        <f t="shared" si="228"/>
        <v>0</v>
      </c>
      <c r="AW383" s="34">
        <f t="shared" si="229"/>
        <v>0</v>
      </c>
      <c r="AX383" s="34">
        <f t="shared" si="230"/>
        <v>0</v>
      </c>
      <c r="AY383" s="35" t="s">
        <v>1162</v>
      </c>
      <c r="AZ383" s="35" t="s">
        <v>1169</v>
      </c>
      <c r="BA383" s="28" t="s">
        <v>1176</v>
      </c>
      <c r="BC383" s="34">
        <f t="shared" si="231"/>
        <v>0</v>
      </c>
      <c r="BD383" s="34">
        <f t="shared" si="232"/>
        <v>0</v>
      </c>
      <c r="BE383" s="34">
        <v>0</v>
      </c>
      <c r="BF383" s="34">
        <f>383</f>
        <v>383</v>
      </c>
      <c r="BH383" s="18">
        <f t="shared" si="233"/>
        <v>0</v>
      </c>
      <c r="BI383" s="18">
        <f t="shared" si="234"/>
        <v>0</v>
      </c>
      <c r="BJ383" s="18">
        <f t="shared" si="235"/>
        <v>0</v>
      </c>
    </row>
    <row r="384" spans="1:62" x14ac:dyDescent="0.2">
      <c r="A384" s="5" t="s">
        <v>311</v>
      </c>
      <c r="B384" s="5" t="s">
        <v>643</v>
      </c>
      <c r="C384" s="135" t="s">
        <v>1028</v>
      </c>
      <c r="D384" s="136"/>
      <c r="E384" s="136"/>
      <c r="F384" s="5" t="s">
        <v>1109</v>
      </c>
      <c r="G384" s="18">
        <v>10</v>
      </c>
      <c r="H384" s="79">
        <v>0</v>
      </c>
      <c r="I384" s="18">
        <f t="shared" si="214"/>
        <v>0</v>
      </c>
      <c r="J384" s="18">
        <f t="shared" si="215"/>
        <v>0</v>
      </c>
      <c r="K384" s="18">
        <f t="shared" si="216"/>
        <v>0</v>
      </c>
      <c r="L384" s="29" t="s">
        <v>1127</v>
      </c>
      <c r="Z384" s="34">
        <f t="shared" si="217"/>
        <v>0</v>
      </c>
      <c r="AB384" s="34">
        <f t="shared" si="218"/>
        <v>0</v>
      </c>
      <c r="AC384" s="34">
        <f t="shared" si="219"/>
        <v>0</v>
      </c>
      <c r="AD384" s="34">
        <f t="shared" si="220"/>
        <v>0</v>
      </c>
      <c r="AE384" s="34">
        <f t="shared" si="221"/>
        <v>0</v>
      </c>
      <c r="AF384" s="34">
        <f t="shared" si="222"/>
        <v>0</v>
      </c>
      <c r="AG384" s="34">
        <f t="shared" si="223"/>
        <v>0</v>
      </c>
      <c r="AH384" s="34">
        <f t="shared" si="224"/>
        <v>0</v>
      </c>
      <c r="AI384" s="28" t="s">
        <v>1137</v>
      </c>
      <c r="AJ384" s="18">
        <f t="shared" si="225"/>
        <v>0</v>
      </c>
      <c r="AK384" s="18">
        <f t="shared" si="226"/>
        <v>0</v>
      </c>
      <c r="AL384" s="18">
        <f t="shared" si="227"/>
        <v>0</v>
      </c>
      <c r="AN384" s="34">
        <v>21</v>
      </c>
      <c r="AO384" s="34">
        <f t="shared" si="212"/>
        <v>0</v>
      </c>
      <c r="AP384" s="34">
        <f t="shared" si="213"/>
        <v>0</v>
      </c>
      <c r="AQ384" s="29" t="s">
        <v>7</v>
      </c>
      <c r="AV384" s="34">
        <f t="shared" si="228"/>
        <v>0</v>
      </c>
      <c r="AW384" s="34">
        <f t="shared" si="229"/>
        <v>0</v>
      </c>
      <c r="AX384" s="34">
        <f t="shared" si="230"/>
        <v>0</v>
      </c>
      <c r="AY384" s="35" t="s">
        <v>1162</v>
      </c>
      <c r="AZ384" s="35" t="s">
        <v>1169</v>
      </c>
      <c r="BA384" s="28" t="s">
        <v>1176</v>
      </c>
      <c r="BC384" s="34">
        <f t="shared" si="231"/>
        <v>0</v>
      </c>
      <c r="BD384" s="34">
        <f t="shared" si="232"/>
        <v>0</v>
      </c>
      <c r="BE384" s="34">
        <v>0</v>
      </c>
      <c r="BF384" s="34">
        <f>384</f>
        <v>384</v>
      </c>
      <c r="BH384" s="18">
        <f t="shared" si="233"/>
        <v>0</v>
      </c>
      <c r="BI384" s="18">
        <f t="shared" si="234"/>
        <v>0</v>
      </c>
      <c r="BJ384" s="18">
        <f t="shared" si="235"/>
        <v>0</v>
      </c>
    </row>
    <row r="385" spans="1:62" x14ac:dyDescent="0.2">
      <c r="A385" s="5" t="s">
        <v>312</v>
      </c>
      <c r="B385" s="5" t="s">
        <v>644</v>
      </c>
      <c r="C385" s="135" t="s">
        <v>1029</v>
      </c>
      <c r="D385" s="136"/>
      <c r="E385" s="136"/>
      <c r="F385" s="5" t="s">
        <v>1099</v>
      </c>
      <c r="G385" s="18">
        <v>4</v>
      </c>
      <c r="H385" s="79">
        <v>0</v>
      </c>
      <c r="I385" s="18">
        <f t="shared" si="214"/>
        <v>0</v>
      </c>
      <c r="J385" s="18">
        <f t="shared" si="215"/>
        <v>0</v>
      </c>
      <c r="K385" s="18">
        <f t="shared" si="216"/>
        <v>0</v>
      </c>
      <c r="L385" s="29" t="s">
        <v>1127</v>
      </c>
      <c r="Z385" s="34">
        <f t="shared" si="217"/>
        <v>0</v>
      </c>
      <c r="AB385" s="34">
        <f t="shared" si="218"/>
        <v>0</v>
      </c>
      <c r="AC385" s="34">
        <f t="shared" si="219"/>
        <v>0</v>
      </c>
      <c r="AD385" s="34">
        <f t="shared" si="220"/>
        <v>0</v>
      </c>
      <c r="AE385" s="34">
        <f t="shared" si="221"/>
        <v>0</v>
      </c>
      <c r="AF385" s="34">
        <f t="shared" si="222"/>
        <v>0</v>
      </c>
      <c r="AG385" s="34">
        <f t="shared" si="223"/>
        <v>0</v>
      </c>
      <c r="AH385" s="34">
        <f t="shared" si="224"/>
        <v>0</v>
      </c>
      <c r="AI385" s="28" t="s">
        <v>1137</v>
      </c>
      <c r="AJ385" s="18">
        <f t="shared" si="225"/>
        <v>0</v>
      </c>
      <c r="AK385" s="18">
        <f t="shared" si="226"/>
        <v>0</v>
      </c>
      <c r="AL385" s="18">
        <f t="shared" si="227"/>
        <v>0</v>
      </c>
      <c r="AN385" s="34">
        <v>21</v>
      </c>
      <c r="AO385" s="34">
        <f t="shared" si="212"/>
        <v>0</v>
      </c>
      <c r="AP385" s="34">
        <f t="shared" si="213"/>
        <v>0</v>
      </c>
      <c r="AQ385" s="29" t="s">
        <v>7</v>
      </c>
      <c r="AV385" s="34">
        <f t="shared" si="228"/>
        <v>0</v>
      </c>
      <c r="AW385" s="34">
        <f t="shared" si="229"/>
        <v>0</v>
      </c>
      <c r="AX385" s="34">
        <f t="shared" si="230"/>
        <v>0</v>
      </c>
      <c r="AY385" s="35" t="s">
        <v>1162</v>
      </c>
      <c r="AZ385" s="35" t="s">
        <v>1169</v>
      </c>
      <c r="BA385" s="28" t="s">
        <v>1176</v>
      </c>
      <c r="BC385" s="34">
        <f t="shared" si="231"/>
        <v>0</v>
      </c>
      <c r="BD385" s="34">
        <f t="shared" si="232"/>
        <v>0</v>
      </c>
      <c r="BE385" s="34">
        <v>0</v>
      </c>
      <c r="BF385" s="34">
        <f>385</f>
        <v>385</v>
      </c>
      <c r="BH385" s="18">
        <f t="shared" si="233"/>
        <v>0</v>
      </c>
      <c r="BI385" s="18">
        <f t="shared" si="234"/>
        <v>0</v>
      </c>
      <c r="BJ385" s="18">
        <f t="shared" si="235"/>
        <v>0</v>
      </c>
    </row>
    <row r="386" spans="1:62" x14ac:dyDescent="0.2">
      <c r="A386" s="5" t="s">
        <v>313</v>
      </c>
      <c r="B386" s="5" t="s">
        <v>645</v>
      </c>
      <c r="C386" s="135" t="s">
        <v>1030</v>
      </c>
      <c r="D386" s="136"/>
      <c r="E386" s="136"/>
      <c r="F386" s="5" t="s">
        <v>1099</v>
      </c>
      <c r="G386" s="18">
        <v>2</v>
      </c>
      <c r="H386" s="79">
        <v>0</v>
      </c>
      <c r="I386" s="18">
        <f t="shared" si="214"/>
        <v>0</v>
      </c>
      <c r="J386" s="18">
        <f t="shared" si="215"/>
        <v>0</v>
      </c>
      <c r="K386" s="18">
        <f t="shared" si="216"/>
        <v>0</v>
      </c>
      <c r="L386" s="29" t="s">
        <v>1127</v>
      </c>
      <c r="Z386" s="34">
        <f t="shared" si="217"/>
        <v>0</v>
      </c>
      <c r="AB386" s="34">
        <f t="shared" si="218"/>
        <v>0</v>
      </c>
      <c r="AC386" s="34">
        <f t="shared" si="219"/>
        <v>0</v>
      </c>
      <c r="AD386" s="34">
        <f t="shared" si="220"/>
        <v>0</v>
      </c>
      <c r="AE386" s="34">
        <f t="shared" si="221"/>
        <v>0</v>
      </c>
      <c r="AF386" s="34">
        <f t="shared" si="222"/>
        <v>0</v>
      </c>
      <c r="AG386" s="34">
        <f t="shared" si="223"/>
        <v>0</v>
      </c>
      <c r="AH386" s="34">
        <f t="shared" si="224"/>
        <v>0</v>
      </c>
      <c r="AI386" s="28" t="s">
        <v>1137</v>
      </c>
      <c r="AJ386" s="18">
        <f t="shared" si="225"/>
        <v>0</v>
      </c>
      <c r="AK386" s="18">
        <f t="shared" si="226"/>
        <v>0</v>
      </c>
      <c r="AL386" s="18">
        <f t="shared" si="227"/>
        <v>0</v>
      </c>
      <c r="AN386" s="34">
        <v>21</v>
      </c>
      <c r="AO386" s="34">
        <f t="shared" si="212"/>
        <v>0</v>
      </c>
      <c r="AP386" s="34">
        <f t="shared" si="213"/>
        <v>0</v>
      </c>
      <c r="AQ386" s="29" t="s">
        <v>7</v>
      </c>
      <c r="AV386" s="34">
        <f t="shared" si="228"/>
        <v>0</v>
      </c>
      <c r="AW386" s="34">
        <f t="shared" si="229"/>
        <v>0</v>
      </c>
      <c r="AX386" s="34">
        <f t="shared" si="230"/>
        <v>0</v>
      </c>
      <c r="AY386" s="35" t="s">
        <v>1162</v>
      </c>
      <c r="AZ386" s="35" t="s">
        <v>1169</v>
      </c>
      <c r="BA386" s="28" t="s">
        <v>1176</v>
      </c>
      <c r="BC386" s="34">
        <f t="shared" si="231"/>
        <v>0</v>
      </c>
      <c r="BD386" s="34">
        <f t="shared" si="232"/>
        <v>0</v>
      </c>
      <c r="BE386" s="34">
        <v>0</v>
      </c>
      <c r="BF386" s="34">
        <f>386</f>
        <v>386</v>
      </c>
      <c r="BH386" s="18">
        <f t="shared" si="233"/>
        <v>0</v>
      </c>
      <c r="BI386" s="18">
        <f t="shared" si="234"/>
        <v>0</v>
      </c>
      <c r="BJ386" s="18">
        <f t="shared" si="235"/>
        <v>0</v>
      </c>
    </row>
    <row r="387" spans="1:62" x14ac:dyDescent="0.2">
      <c r="A387" s="5" t="s">
        <v>314</v>
      </c>
      <c r="B387" s="5" t="s">
        <v>646</v>
      </c>
      <c r="C387" s="135" t="s">
        <v>1031</v>
      </c>
      <c r="D387" s="136"/>
      <c r="E387" s="136"/>
      <c r="F387" s="5" t="s">
        <v>1110</v>
      </c>
      <c r="G387" s="18">
        <v>2</v>
      </c>
      <c r="H387" s="79">
        <v>0</v>
      </c>
      <c r="I387" s="18">
        <f t="shared" si="214"/>
        <v>0</v>
      </c>
      <c r="J387" s="18">
        <f t="shared" si="215"/>
        <v>0</v>
      </c>
      <c r="K387" s="18">
        <f t="shared" si="216"/>
        <v>0</v>
      </c>
      <c r="L387" s="29" t="s">
        <v>1127</v>
      </c>
      <c r="Z387" s="34">
        <f t="shared" si="217"/>
        <v>0</v>
      </c>
      <c r="AB387" s="34">
        <f t="shared" si="218"/>
        <v>0</v>
      </c>
      <c r="AC387" s="34">
        <f t="shared" si="219"/>
        <v>0</v>
      </c>
      <c r="AD387" s="34">
        <f t="shared" si="220"/>
        <v>0</v>
      </c>
      <c r="AE387" s="34">
        <f t="shared" si="221"/>
        <v>0</v>
      </c>
      <c r="AF387" s="34">
        <f t="shared" si="222"/>
        <v>0</v>
      </c>
      <c r="AG387" s="34">
        <f t="shared" si="223"/>
        <v>0</v>
      </c>
      <c r="AH387" s="34">
        <f t="shared" si="224"/>
        <v>0</v>
      </c>
      <c r="AI387" s="28" t="s">
        <v>1137</v>
      </c>
      <c r="AJ387" s="18">
        <f t="shared" si="225"/>
        <v>0</v>
      </c>
      <c r="AK387" s="18">
        <f t="shared" si="226"/>
        <v>0</v>
      </c>
      <c r="AL387" s="18">
        <f t="shared" si="227"/>
        <v>0</v>
      </c>
      <c r="AN387" s="34">
        <v>21</v>
      </c>
      <c r="AO387" s="34">
        <f t="shared" si="212"/>
        <v>0</v>
      </c>
      <c r="AP387" s="34">
        <f t="shared" si="213"/>
        <v>0</v>
      </c>
      <c r="AQ387" s="29" t="s">
        <v>7</v>
      </c>
      <c r="AV387" s="34">
        <f t="shared" si="228"/>
        <v>0</v>
      </c>
      <c r="AW387" s="34">
        <f t="shared" si="229"/>
        <v>0</v>
      </c>
      <c r="AX387" s="34">
        <f t="shared" si="230"/>
        <v>0</v>
      </c>
      <c r="AY387" s="35" t="s">
        <v>1162</v>
      </c>
      <c r="AZ387" s="35" t="s">
        <v>1169</v>
      </c>
      <c r="BA387" s="28" t="s">
        <v>1176</v>
      </c>
      <c r="BC387" s="34">
        <f t="shared" si="231"/>
        <v>0</v>
      </c>
      <c r="BD387" s="34">
        <f t="shared" si="232"/>
        <v>0</v>
      </c>
      <c r="BE387" s="34">
        <v>0</v>
      </c>
      <c r="BF387" s="34">
        <f>387</f>
        <v>387</v>
      </c>
      <c r="BH387" s="18">
        <f t="shared" si="233"/>
        <v>0</v>
      </c>
      <c r="BI387" s="18">
        <f t="shared" si="234"/>
        <v>0</v>
      </c>
      <c r="BJ387" s="18">
        <f t="shared" si="235"/>
        <v>0</v>
      </c>
    </row>
    <row r="388" spans="1:62" x14ac:dyDescent="0.2">
      <c r="A388" s="5" t="s">
        <v>315</v>
      </c>
      <c r="B388" s="5" t="s">
        <v>647</v>
      </c>
      <c r="C388" s="135" t="s">
        <v>1032</v>
      </c>
      <c r="D388" s="136"/>
      <c r="E388" s="136"/>
      <c r="F388" s="5" t="s">
        <v>1099</v>
      </c>
      <c r="G388" s="18">
        <v>10</v>
      </c>
      <c r="H388" s="79">
        <v>0</v>
      </c>
      <c r="I388" s="18">
        <f t="shared" si="214"/>
        <v>0</v>
      </c>
      <c r="J388" s="18">
        <f t="shared" si="215"/>
        <v>0</v>
      </c>
      <c r="K388" s="18">
        <f t="shared" si="216"/>
        <v>0</v>
      </c>
      <c r="L388" s="29" t="s">
        <v>1127</v>
      </c>
      <c r="Z388" s="34">
        <f t="shared" si="217"/>
        <v>0</v>
      </c>
      <c r="AB388" s="34">
        <f t="shared" si="218"/>
        <v>0</v>
      </c>
      <c r="AC388" s="34">
        <f t="shared" si="219"/>
        <v>0</v>
      </c>
      <c r="AD388" s="34">
        <f t="shared" si="220"/>
        <v>0</v>
      </c>
      <c r="AE388" s="34">
        <f t="shared" si="221"/>
        <v>0</v>
      </c>
      <c r="AF388" s="34">
        <f t="shared" si="222"/>
        <v>0</v>
      </c>
      <c r="AG388" s="34">
        <f t="shared" si="223"/>
        <v>0</v>
      </c>
      <c r="AH388" s="34">
        <f t="shared" si="224"/>
        <v>0</v>
      </c>
      <c r="AI388" s="28" t="s">
        <v>1137</v>
      </c>
      <c r="AJ388" s="18">
        <f t="shared" si="225"/>
        <v>0</v>
      </c>
      <c r="AK388" s="18">
        <f t="shared" si="226"/>
        <v>0</v>
      </c>
      <c r="AL388" s="18">
        <f t="shared" si="227"/>
        <v>0</v>
      </c>
      <c r="AN388" s="34">
        <v>21</v>
      </c>
      <c r="AO388" s="34">
        <f t="shared" si="212"/>
        <v>0</v>
      </c>
      <c r="AP388" s="34">
        <f t="shared" si="213"/>
        <v>0</v>
      </c>
      <c r="AQ388" s="29" t="s">
        <v>7</v>
      </c>
      <c r="AV388" s="34">
        <f t="shared" si="228"/>
        <v>0</v>
      </c>
      <c r="AW388" s="34">
        <f t="shared" si="229"/>
        <v>0</v>
      </c>
      <c r="AX388" s="34">
        <f t="shared" si="230"/>
        <v>0</v>
      </c>
      <c r="AY388" s="35" t="s">
        <v>1162</v>
      </c>
      <c r="AZ388" s="35" t="s">
        <v>1169</v>
      </c>
      <c r="BA388" s="28" t="s">
        <v>1176</v>
      </c>
      <c r="BC388" s="34">
        <f t="shared" si="231"/>
        <v>0</v>
      </c>
      <c r="BD388" s="34">
        <f t="shared" si="232"/>
        <v>0</v>
      </c>
      <c r="BE388" s="34">
        <v>0</v>
      </c>
      <c r="BF388" s="34">
        <f>388</f>
        <v>388</v>
      </c>
      <c r="BH388" s="18">
        <f t="shared" si="233"/>
        <v>0</v>
      </c>
      <c r="BI388" s="18">
        <f t="shared" si="234"/>
        <v>0</v>
      </c>
      <c r="BJ388" s="18">
        <f t="shared" si="235"/>
        <v>0</v>
      </c>
    </row>
    <row r="389" spans="1:62" x14ac:dyDescent="0.2">
      <c r="A389" s="5" t="s">
        <v>316</v>
      </c>
      <c r="B389" s="5" t="s">
        <v>648</v>
      </c>
      <c r="C389" s="135" t="s">
        <v>1033</v>
      </c>
      <c r="D389" s="136"/>
      <c r="E389" s="136"/>
      <c r="F389" s="5" t="s">
        <v>1099</v>
      </c>
      <c r="G389" s="18">
        <v>10</v>
      </c>
      <c r="H389" s="79">
        <v>0</v>
      </c>
      <c r="I389" s="18">
        <f t="shared" si="214"/>
        <v>0</v>
      </c>
      <c r="J389" s="18">
        <f t="shared" si="215"/>
        <v>0</v>
      </c>
      <c r="K389" s="18">
        <f t="shared" si="216"/>
        <v>0</v>
      </c>
      <c r="L389" s="29" t="s">
        <v>1127</v>
      </c>
      <c r="Z389" s="34">
        <f t="shared" si="217"/>
        <v>0</v>
      </c>
      <c r="AB389" s="34">
        <f t="shared" si="218"/>
        <v>0</v>
      </c>
      <c r="AC389" s="34">
        <f t="shared" si="219"/>
        <v>0</v>
      </c>
      <c r="AD389" s="34">
        <f t="shared" si="220"/>
        <v>0</v>
      </c>
      <c r="AE389" s="34">
        <f t="shared" si="221"/>
        <v>0</v>
      </c>
      <c r="AF389" s="34">
        <f t="shared" si="222"/>
        <v>0</v>
      </c>
      <c r="AG389" s="34">
        <f t="shared" si="223"/>
        <v>0</v>
      </c>
      <c r="AH389" s="34">
        <f t="shared" si="224"/>
        <v>0</v>
      </c>
      <c r="AI389" s="28" t="s">
        <v>1137</v>
      </c>
      <c r="AJ389" s="18">
        <f t="shared" si="225"/>
        <v>0</v>
      </c>
      <c r="AK389" s="18">
        <f t="shared" si="226"/>
        <v>0</v>
      </c>
      <c r="AL389" s="18">
        <f t="shared" si="227"/>
        <v>0</v>
      </c>
      <c r="AN389" s="34">
        <v>21</v>
      </c>
      <c r="AO389" s="34">
        <f t="shared" si="212"/>
        <v>0</v>
      </c>
      <c r="AP389" s="34">
        <f t="shared" si="213"/>
        <v>0</v>
      </c>
      <c r="AQ389" s="29" t="s">
        <v>7</v>
      </c>
      <c r="AV389" s="34">
        <f t="shared" si="228"/>
        <v>0</v>
      </c>
      <c r="AW389" s="34">
        <f t="shared" si="229"/>
        <v>0</v>
      </c>
      <c r="AX389" s="34">
        <f t="shared" si="230"/>
        <v>0</v>
      </c>
      <c r="AY389" s="35" t="s">
        <v>1162</v>
      </c>
      <c r="AZ389" s="35" t="s">
        <v>1169</v>
      </c>
      <c r="BA389" s="28" t="s">
        <v>1176</v>
      </c>
      <c r="BC389" s="34">
        <f t="shared" si="231"/>
        <v>0</v>
      </c>
      <c r="BD389" s="34">
        <f t="shared" si="232"/>
        <v>0</v>
      </c>
      <c r="BE389" s="34">
        <v>0</v>
      </c>
      <c r="BF389" s="34">
        <f>389</f>
        <v>389</v>
      </c>
      <c r="BH389" s="18">
        <f t="shared" si="233"/>
        <v>0</v>
      </c>
      <c r="BI389" s="18">
        <f t="shared" si="234"/>
        <v>0</v>
      </c>
      <c r="BJ389" s="18">
        <f t="shared" si="235"/>
        <v>0</v>
      </c>
    </row>
    <row r="390" spans="1:62" x14ac:dyDescent="0.2">
      <c r="A390" s="5" t="s">
        <v>317</v>
      </c>
      <c r="B390" s="5" t="s">
        <v>649</v>
      </c>
      <c r="C390" s="135" t="s">
        <v>1034</v>
      </c>
      <c r="D390" s="136"/>
      <c r="E390" s="136"/>
      <c r="F390" s="5" t="s">
        <v>1099</v>
      </c>
      <c r="G390" s="18">
        <v>4</v>
      </c>
      <c r="H390" s="79">
        <v>0</v>
      </c>
      <c r="I390" s="18">
        <f t="shared" si="214"/>
        <v>0</v>
      </c>
      <c r="J390" s="18">
        <f t="shared" si="215"/>
        <v>0</v>
      </c>
      <c r="K390" s="18">
        <f t="shared" si="216"/>
        <v>0</v>
      </c>
      <c r="L390" s="29" t="s">
        <v>1127</v>
      </c>
      <c r="Z390" s="34">
        <f t="shared" si="217"/>
        <v>0</v>
      </c>
      <c r="AB390" s="34">
        <f t="shared" si="218"/>
        <v>0</v>
      </c>
      <c r="AC390" s="34">
        <f t="shared" si="219"/>
        <v>0</v>
      </c>
      <c r="AD390" s="34">
        <f t="shared" si="220"/>
        <v>0</v>
      </c>
      <c r="AE390" s="34">
        <f t="shared" si="221"/>
        <v>0</v>
      </c>
      <c r="AF390" s="34">
        <f t="shared" si="222"/>
        <v>0</v>
      </c>
      <c r="AG390" s="34">
        <f t="shared" si="223"/>
        <v>0</v>
      </c>
      <c r="AH390" s="34">
        <f t="shared" si="224"/>
        <v>0</v>
      </c>
      <c r="AI390" s="28" t="s">
        <v>1137</v>
      </c>
      <c r="AJ390" s="18">
        <f t="shared" si="225"/>
        <v>0</v>
      </c>
      <c r="AK390" s="18">
        <f t="shared" si="226"/>
        <v>0</v>
      </c>
      <c r="AL390" s="18">
        <f t="shared" si="227"/>
        <v>0</v>
      </c>
      <c r="AN390" s="34">
        <v>21</v>
      </c>
      <c r="AO390" s="34">
        <f t="shared" si="212"/>
        <v>0</v>
      </c>
      <c r="AP390" s="34">
        <f t="shared" si="213"/>
        <v>0</v>
      </c>
      <c r="AQ390" s="29" t="s">
        <v>7</v>
      </c>
      <c r="AV390" s="34">
        <f t="shared" si="228"/>
        <v>0</v>
      </c>
      <c r="AW390" s="34">
        <f t="shared" si="229"/>
        <v>0</v>
      </c>
      <c r="AX390" s="34">
        <f t="shared" si="230"/>
        <v>0</v>
      </c>
      <c r="AY390" s="35" t="s">
        <v>1162</v>
      </c>
      <c r="AZ390" s="35" t="s">
        <v>1169</v>
      </c>
      <c r="BA390" s="28" t="s">
        <v>1176</v>
      </c>
      <c r="BC390" s="34">
        <f t="shared" si="231"/>
        <v>0</v>
      </c>
      <c r="BD390" s="34">
        <f t="shared" si="232"/>
        <v>0</v>
      </c>
      <c r="BE390" s="34">
        <v>0</v>
      </c>
      <c r="BF390" s="34">
        <f>390</f>
        <v>390</v>
      </c>
      <c r="BH390" s="18">
        <f t="shared" si="233"/>
        <v>0</v>
      </c>
      <c r="BI390" s="18">
        <f t="shared" si="234"/>
        <v>0</v>
      </c>
      <c r="BJ390" s="18">
        <f t="shared" si="235"/>
        <v>0</v>
      </c>
    </row>
    <row r="391" spans="1:62" x14ac:dyDescent="0.2">
      <c r="A391" s="5" t="s">
        <v>318</v>
      </c>
      <c r="B391" s="5" t="s">
        <v>650</v>
      </c>
      <c r="C391" s="135" t="s">
        <v>1035</v>
      </c>
      <c r="D391" s="136"/>
      <c r="E391" s="136"/>
      <c r="F391" s="5" t="s">
        <v>1099</v>
      </c>
      <c r="G391" s="18">
        <v>4</v>
      </c>
      <c r="H391" s="79">
        <v>0</v>
      </c>
      <c r="I391" s="18">
        <f t="shared" si="214"/>
        <v>0</v>
      </c>
      <c r="J391" s="18">
        <f t="shared" si="215"/>
        <v>0</v>
      </c>
      <c r="K391" s="18">
        <f t="shared" si="216"/>
        <v>0</v>
      </c>
      <c r="L391" s="29" t="s">
        <v>1127</v>
      </c>
      <c r="Z391" s="34">
        <f t="shared" si="217"/>
        <v>0</v>
      </c>
      <c r="AB391" s="34">
        <f t="shared" si="218"/>
        <v>0</v>
      </c>
      <c r="AC391" s="34">
        <f t="shared" si="219"/>
        <v>0</v>
      </c>
      <c r="AD391" s="34">
        <f t="shared" si="220"/>
        <v>0</v>
      </c>
      <c r="AE391" s="34">
        <f t="shared" si="221"/>
        <v>0</v>
      </c>
      <c r="AF391" s="34">
        <f t="shared" si="222"/>
        <v>0</v>
      </c>
      <c r="AG391" s="34">
        <f t="shared" si="223"/>
        <v>0</v>
      </c>
      <c r="AH391" s="34">
        <f t="shared" si="224"/>
        <v>0</v>
      </c>
      <c r="AI391" s="28" t="s">
        <v>1137</v>
      </c>
      <c r="AJ391" s="18">
        <f t="shared" si="225"/>
        <v>0</v>
      </c>
      <c r="AK391" s="18">
        <f t="shared" si="226"/>
        <v>0</v>
      </c>
      <c r="AL391" s="18">
        <f t="shared" si="227"/>
        <v>0</v>
      </c>
      <c r="AN391" s="34">
        <v>21</v>
      </c>
      <c r="AO391" s="34">
        <f t="shared" si="212"/>
        <v>0</v>
      </c>
      <c r="AP391" s="34">
        <f t="shared" si="213"/>
        <v>0</v>
      </c>
      <c r="AQ391" s="29" t="s">
        <v>7</v>
      </c>
      <c r="AV391" s="34">
        <f t="shared" si="228"/>
        <v>0</v>
      </c>
      <c r="AW391" s="34">
        <f t="shared" si="229"/>
        <v>0</v>
      </c>
      <c r="AX391" s="34">
        <f t="shared" si="230"/>
        <v>0</v>
      </c>
      <c r="AY391" s="35" t="s">
        <v>1162</v>
      </c>
      <c r="AZ391" s="35" t="s">
        <v>1169</v>
      </c>
      <c r="BA391" s="28" t="s">
        <v>1176</v>
      </c>
      <c r="BC391" s="34">
        <f t="shared" si="231"/>
        <v>0</v>
      </c>
      <c r="BD391" s="34">
        <f t="shared" si="232"/>
        <v>0</v>
      </c>
      <c r="BE391" s="34">
        <v>0</v>
      </c>
      <c r="BF391" s="34">
        <f>391</f>
        <v>391</v>
      </c>
      <c r="BH391" s="18">
        <f t="shared" si="233"/>
        <v>0</v>
      </c>
      <c r="BI391" s="18">
        <f t="shared" si="234"/>
        <v>0</v>
      </c>
      <c r="BJ391" s="18">
        <f t="shared" si="235"/>
        <v>0</v>
      </c>
    </row>
    <row r="392" spans="1:62" x14ac:dyDescent="0.2">
      <c r="A392" s="5" t="s">
        <v>319</v>
      </c>
      <c r="B392" s="5" t="s">
        <v>651</v>
      </c>
      <c r="C392" s="135" t="s">
        <v>1036</v>
      </c>
      <c r="D392" s="136"/>
      <c r="E392" s="136"/>
      <c r="F392" s="5" t="s">
        <v>1099</v>
      </c>
      <c r="G392" s="18">
        <v>4</v>
      </c>
      <c r="H392" s="79">
        <v>0</v>
      </c>
      <c r="I392" s="18">
        <f t="shared" si="214"/>
        <v>0</v>
      </c>
      <c r="J392" s="18">
        <f t="shared" si="215"/>
        <v>0</v>
      </c>
      <c r="K392" s="18">
        <f t="shared" si="216"/>
        <v>0</v>
      </c>
      <c r="L392" s="29" t="s">
        <v>1127</v>
      </c>
      <c r="Z392" s="34">
        <f t="shared" si="217"/>
        <v>0</v>
      </c>
      <c r="AB392" s="34">
        <f t="shared" si="218"/>
        <v>0</v>
      </c>
      <c r="AC392" s="34">
        <f t="shared" si="219"/>
        <v>0</v>
      </c>
      <c r="AD392" s="34">
        <f t="shared" si="220"/>
        <v>0</v>
      </c>
      <c r="AE392" s="34">
        <f t="shared" si="221"/>
        <v>0</v>
      </c>
      <c r="AF392" s="34">
        <f t="shared" si="222"/>
        <v>0</v>
      </c>
      <c r="AG392" s="34">
        <f t="shared" si="223"/>
        <v>0</v>
      </c>
      <c r="AH392" s="34">
        <f t="shared" si="224"/>
        <v>0</v>
      </c>
      <c r="AI392" s="28" t="s">
        <v>1137</v>
      </c>
      <c r="AJ392" s="18">
        <f t="shared" si="225"/>
        <v>0</v>
      </c>
      <c r="AK392" s="18">
        <f t="shared" si="226"/>
        <v>0</v>
      </c>
      <c r="AL392" s="18">
        <f t="shared" si="227"/>
        <v>0</v>
      </c>
      <c r="AN392" s="34">
        <v>21</v>
      </c>
      <c r="AO392" s="34">
        <f t="shared" si="212"/>
        <v>0</v>
      </c>
      <c r="AP392" s="34">
        <f t="shared" si="213"/>
        <v>0</v>
      </c>
      <c r="AQ392" s="29" t="s">
        <v>7</v>
      </c>
      <c r="AV392" s="34">
        <f t="shared" si="228"/>
        <v>0</v>
      </c>
      <c r="AW392" s="34">
        <f t="shared" si="229"/>
        <v>0</v>
      </c>
      <c r="AX392" s="34">
        <f t="shared" si="230"/>
        <v>0</v>
      </c>
      <c r="AY392" s="35" t="s">
        <v>1162</v>
      </c>
      <c r="AZ392" s="35" t="s">
        <v>1169</v>
      </c>
      <c r="BA392" s="28" t="s">
        <v>1176</v>
      </c>
      <c r="BC392" s="34">
        <f t="shared" si="231"/>
        <v>0</v>
      </c>
      <c r="BD392" s="34">
        <f t="shared" si="232"/>
        <v>0</v>
      </c>
      <c r="BE392" s="34">
        <v>0</v>
      </c>
      <c r="BF392" s="34">
        <f>392</f>
        <v>392</v>
      </c>
      <c r="BH392" s="18">
        <f t="shared" si="233"/>
        <v>0</v>
      </c>
      <c r="BI392" s="18">
        <f t="shared" si="234"/>
        <v>0</v>
      </c>
      <c r="BJ392" s="18">
        <f t="shared" si="235"/>
        <v>0</v>
      </c>
    </row>
    <row r="393" spans="1:62" x14ac:dyDescent="0.2">
      <c r="A393" s="5" t="s">
        <v>320</v>
      </c>
      <c r="B393" s="5" t="s">
        <v>652</v>
      </c>
      <c r="C393" s="135" t="s">
        <v>1036</v>
      </c>
      <c r="D393" s="136"/>
      <c r="E393" s="136"/>
      <c r="F393" s="5" t="s">
        <v>1099</v>
      </c>
      <c r="G393" s="18">
        <v>4</v>
      </c>
      <c r="H393" s="79">
        <v>0</v>
      </c>
      <c r="I393" s="18">
        <f t="shared" si="214"/>
        <v>0</v>
      </c>
      <c r="J393" s="18">
        <f t="shared" si="215"/>
        <v>0</v>
      </c>
      <c r="K393" s="18">
        <f t="shared" si="216"/>
        <v>0</v>
      </c>
      <c r="L393" s="29" t="s">
        <v>1127</v>
      </c>
      <c r="Z393" s="34">
        <f t="shared" si="217"/>
        <v>0</v>
      </c>
      <c r="AB393" s="34">
        <f t="shared" si="218"/>
        <v>0</v>
      </c>
      <c r="AC393" s="34">
        <f t="shared" si="219"/>
        <v>0</v>
      </c>
      <c r="AD393" s="34">
        <f t="shared" si="220"/>
        <v>0</v>
      </c>
      <c r="AE393" s="34">
        <f t="shared" si="221"/>
        <v>0</v>
      </c>
      <c r="AF393" s="34">
        <f t="shared" si="222"/>
        <v>0</v>
      </c>
      <c r="AG393" s="34">
        <f t="shared" si="223"/>
        <v>0</v>
      </c>
      <c r="AH393" s="34">
        <f t="shared" si="224"/>
        <v>0</v>
      </c>
      <c r="AI393" s="28" t="s">
        <v>1137</v>
      </c>
      <c r="AJ393" s="18">
        <f t="shared" si="225"/>
        <v>0</v>
      </c>
      <c r="AK393" s="18">
        <f t="shared" si="226"/>
        <v>0</v>
      </c>
      <c r="AL393" s="18">
        <f t="shared" si="227"/>
        <v>0</v>
      </c>
      <c r="AN393" s="34">
        <v>21</v>
      </c>
      <c r="AO393" s="34">
        <f t="shared" si="212"/>
        <v>0</v>
      </c>
      <c r="AP393" s="34">
        <f t="shared" si="213"/>
        <v>0</v>
      </c>
      <c r="AQ393" s="29" t="s">
        <v>7</v>
      </c>
      <c r="AV393" s="34">
        <f t="shared" si="228"/>
        <v>0</v>
      </c>
      <c r="AW393" s="34">
        <f t="shared" si="229"/>
        <v>0</v>
      </c>
      <c r="AX393" s="34">
        <f t="shared" si="230"/>
        <v>0</v>
      </c>
      <c r="AY393" s="35" t="s">
        <v>1162</v>
      </c>
      <c r="AZ393" s="35" t="s">
        <v>1169</v>
      </c>
      <c r="BA393" s="28" t="s">
        <v>1176</v>
      </c>
      <c r="BC393" s="34">
        <f t="shared" si="231"/>
        <v>0</v>
      </c>
      <c r="BD393" s="34">
        <f t="shared" si="232"/>
        <v>0</v>
      </c>
      <c r="BE393" s="34">
        <v>0</v>
      </c>
      <c r="BF393" s="34">
        <f>393</f>
        <v>393</v>
      </c>
      <c r="BH393" s="18">
        <f t="shared" si="233"/>
        <v>0</v>
      </c>
      <c r="BI393" s="18">
        <f t="shared" si="234"/>
        <v>0</v>
      </c>
      <c r="BJ393" s="18">
        <f t="shared" si="235"/>
        <v>0</v>
      </c>
    </row>
    <row r="394" spans="1:62" x14ac:dyDescent="0.2">
      <c r="A394" s="5" t="s">
        <v>321</v>
      </c>
      <c r="B394" s="5" t="s">
        <v>653</v>
      </c>
      <c r="C394" s="135" t="s">
        <v>1037</v>
      </c>
      <c r="D394" s="136"/>
      <c r="E394" s="136"/>
      <c r="F394" s="5" t="s">
        <v>1099</v>
      </c>
      <c r="G394" s="18">
        <v>12</v>
      </c>
      <c r="H394" s="79">
        <v>0</v>
      </c>
      <c r="I394" s="18">
        <f t="shared" si="214"/>
        <v>0</v>
      </c>
      <c r="J394" s="18">
        <f t="shared" si="215"/>
        <v>0</v>
      </c>
      <c r="K394" s="18">
        <f t="shared" si="216"/>
        <v>0</v>
      </c>
      <c r="L394" s="29" t="s">
        <v>1127</v>
      </c>
      <c r="Z394" s="34">
        <f t="shared" si="217"/>
        <v>0</v>
      </c>
      <c r="AB394" s="34">
        <f t="shared" si="218"/>
        <v>0</v>
      </c>
      <c r="AC394" s="34">
        <f t="shared" si="219"/>
        <v>0</v>
      </c>
      <c r="AD394" s="34">
        <f t="shared" si="220"/>
        <v>0</v>
      </c>
      <c r="AE394" s="34">
        <f t="shared" si="221"/>
        <v>0</v>
      </c>
      <c r="AF394" s="34">
        <f t="shared" si="222"/>
        <v>0</v>
      </c>
      <c r="AG394" s="34">
        <f t="shared" si="223"/>
        <v>0</v>
      </c>
      <c r="AH394" s="34">
        <f t="shared" si="224"/>
        <v>0</v>
      </c>
      <c r="AI394" s="28" t="s">
        <v>1137</v>
      </c>
      <c r="AJ394" s="18">
        <f t="shared" si="225"/>
        <v>0</v>
      </c>
      <c r="AK394" s="18">
        <f t="shared" si="226"/>
        <v>0</v>
      </c>
      <c r="AL394" s="18">
        <f t="shared" si="227"/>
        <v>0</v>
      </c>
      <c r="AN394" s="34">
        <v>21</v>
      </c>
      <c r="AO394" s="34">
        <f t="shared" si="212"/>
        <v>0</v>
      </c>
      <c r="AP394" s="34">
        <f t="shared" si="213"/>
        <v>0</v>
      </c>
      <c r="AQ394" s="29" t="s">
        <v>7</v>
      </c>
      <c r="AV394" s="34">
        <f t="shared" si="228"/>
        <v>0</v>
      </c>
      <c r="AW394" s="34">
        <f t="shared" si="229"/>
        <v>0</v>
      </c>
      <c r="AX394" s="34">
        <f t="shared" si="230"/>
        <v>0</v>
      </c>
      <c r="AY394" s="35" t="s">
        <v>1162</v>
      </c>
      <c r="AZ394" s="35" t="s">
        <v>1169</v>
      </c>
      <c r="BA394" s="28" t="s">
        <v>1176</v>
      </c>
      <c r="BC394" s="34">
        <f t="shared" si="231"/>
        <v>0</v>
      </c>
      <c r="BD394" s="34">
        <f t="shared" si="232"/>
        <v>0</v>
      </c>
      <c r="BE394" s="34">
        <v>0</v>
      </c>
      <c r="BF394" s="34">
        <f>394</f>
        <v>394</v>
      </c>
      <c r="BH394" s="18">
        <f t="shared" si="233"/>
        <v>0</v>
      </c>
      <c r="BI394" s="18">
        <f t="shared" si="234"/>
        <v>0</v>
      </c>
      <c r="BJ394" s="18">
        <f t="shared" si="235"/>
        <v>0</v>
      </c>
    </row>
    <row r="395" spans="1:62" x14ac:dyDescent="0.2">
      <c r="A395" s="5" t="s">
        <v>322</v>
      </c>
      <c r="B395" s="5" t="s">
        <v>654</v>
      </c>
      <c r="C395" s="135" t="s">
        <v>1038</v>
      </c>
      <c r="D395" s="136"/>
      <c r="E395" s="136"/>
      <c r="F395" s="5" t="s">
        <v>1103</v>
      </c>
      <c r="G395" s="18">
        <v>8</v>
      </c>
      <c r="H395" s="79">
        <v>0</v>
      </c>
      <c r="I395" s="18">
        <f t="shared" si="214"/>
        <v>0</v>
      </c>
      <c r="J395" s="18">
        <f t="shared" si="215"/>
        <v>0</v>
      </c>
      <c r="K395" s="18">
        <f t="shared" si="216"/>
        <v>0</v>
      </c>
      <c r="L395" s="29" t="s">
        <v>1127</v>
      </c>
      <c r="Z395" s="34">
        <f t="shared" si="217"/>
        <v>0</v>
      </c>
      <c r="AB395" s="34">
        <f t="shared" si="218"/>
        <v>0</v>
      </c>
      <c r="AC395" s="34">
        <f t="shared" si="219"/>
        <v>0</v>
      </c>
      <c r="AD395" s="34">
        <f t="shared" si="220"/>
        <v>0</v>
      </c>
      <c r="AE395" s="34">
        <f t="shared" si="221"/>
        <v>0</v>
      </c>
      <c r="AF395" s="34">
        <f t="shared" si="222"/>
        <v>0</v>
      </c>
      <c r="AG395" s="34">
        <f t="shared" si="223"/>
        <v>0</v>
      </c>
      <c r="AH395" s="34">
        <f t="shared" si="224"/>
        <v>0</v>
      </c>
      <c r="AI395" s="28" t="s">
        <v>1137</v>
      </c>
      <c r="AJ395" s="18">
        <f t="shared" si="225"/>
        <v>0</v>
      </c>
      <c r="AK395" s="18">
        <f t="shared" si="226"/>
        <v>0</v>
      </c>
      <c r="AL395" s="18">
        <f t="shared" si="227"/>
        <v>0</v>
      </c>
      <c r="AN395" s="34">
        <v>21</v>
      </c>
      <c r="AO395" s="34">
        <f t="shared" si="212"/>
        <v>0</v>
      </c>
      <c r="AP395" s="34">
        <f t="shared" si="213"/>
        <v>0</v>
      </c>
      <c r="AQ395" s="29" t="s">
        <v>7</v>
      </c>
      <c r="AV395" s="34">
        <f t="shared" si="228"/>
        <v>0</v>
      </c>
      <c r="AW395" s="34">
        <f t="shared" si="229"/>
        <v>0</v>
      </c>
      <c r="AX395" s="34">
        <f t="shared" si="230"/>
        <v>0</v>
      </c>
      <c r="AY395" s="35" t="s">
        <v>1162</v>
      </c>
      <c r="AZ395" s="35" t="s">
        <v>1169</v>
      </c>
      <c r="BA395" s="28" t="s">
        <v>1176</v>
      </c>
      <c r="BC395" s="34">
        <f t="shared" si="231"/>
        <v>0</v>
      </c>
      <c r="BD395" s="34">
        <f t="shared" si="232"/>
        <v>0</v>
      </c>
      <c r="BE395" s="34">
        <v>0</v>
      </c>
      <c r="BF395" s="34">
        <f>395</f>
        <v>395</v>
      </c>
      <c r="BH395" s="18">
        <f t="shared" si="233"/>
        <v>0</v>
      </c>
      <c r="BI395" s="18">
        <f t="shared" si="234"/>
        <v>0</v>
      </c>
      <c r="BJ395" s="18">
        <f t="shared" si="235"/>
        <v>0</v>
      </c>
    </row>
    <row r="396" spans="1:62" x14ac:dyDescent="0.2">
      <c r="A396" s="5" t="s">
        <v>323</v>
      </c>
      <c r="B396" s="5" t="s">
        <v>655</v>
      </c>
      <c r="C396" s="135" t="s">
        <v>1039</v>
      </c>
      <c r="D396" s="136"/>
      <c r="E396" s="136"/>
      <c r="F396" s="5" t="s">
        <v>1103</v>
      </c>
      <c r="G396" s="18">
        <v>4</v>
      </c>
      <c r="H396" s="79">
        <v>0</v>
      </c>
      <c r="I396" s="18">
        <f t="shared" si="214"/>
        <v>0</v>
      </c>
      <c r="J396" s="18">
        <f t="shared" si="215"/>
        <v>0</v>
      </c>
      <c r="K396" s="18">
        <f t="shared" si="216"/>
        <v>0</v>
      </c>
      <c r="L396" s="29" t="s">
        <v>1127</v>
      </c>
      <c r="Z396" s="34">
        <f t="shared" si="217"/>
        <v>0</v>
      </c>
      <c r="AB396" s="34">
        <f t="shared" si="218"/>
        <v>0</v>
      </c>
      <c r="AC396" s="34">
        <f t="shared" si="219"/>
        <v>0</v>
      </c>
      <c r="AD396" s="34">
        <f t="shared" si="220"/>
        <v>0</v>
      </c>
      <c r="AE396" s="34">
        <f t="shared" si="221"/>
        <v>0</v>
      </c>
      <c r="AF396" s="34">
        <f t="shared" si="222"/>
        <v>0</v>
      </c>
      <c r="AG396" s="34">
        <f t="shared" si="223"/>
        <v>0</v>
      </c>
      <c r="AH396" s="34">
        <f t="shared" si="224"/>
        <v>0</v>
      </c>
      <c r="AI396" s="28" t="s">
        <v>1137</v>
      </c>
      <c r="AJ396" s="18">
        <f t="shared" si="225"/>
        <v>0</v>
      </c>
      <c r="AK396" s="18">
        <f t="shared" si="226"/>
        <v>0</v>
      </c>
      <c r="AL396" s="18">
        <f t="shared" si="227"/>
        <v>0</v>
      </c>
      <c r="AN396" s="34">
        <v>21</v>
      </c>
      <c r="AO396" s="34">
        <f t="shared" si="212"/>
        <v>0</v>
      </c>
      <c r="AP396" s="34">
        <f t="shared" si="213"/>
        <v>0</v>
      </c>
      <c r="AQ396" s="29" t="s">
        <v>7</v>
      </c>
      <c r="AV396" s="34">
        <f t="shared" si="228"/>
        <v>0</v>
      </c>
      <c r="AW396" s="34">
        <f t="shared" si="229"/>
        <v>0</v>
      </c>
      <c r="AX396" s="34">
        <f t="shared" si="230"/>
        <v>0</v>
      </c>
      <c r="AY396" s="35" t="s">
        <v>1162</v>
      </c>
      <c r="AZ396" s="35" t="s">
        <v>1169</v>
      </c>
      <c r="BA396" s="28" t="s">
        <v>1176</v>
      </c>
      <c r="BC396" s="34">
        <f t="shared" si="231"/>
        <v>0</v>
      </c>
      <c r="BD396" s="34">
        <f t="shared" si="232"/>
        <v>0</v>
      </c>
      <c r="BE396" s="34">
        <v>0</v>
      </c>
      <c r="BF396" s="34">
        <f>396</f>
        <v>396</v>
      </c>
      <c r="BH396" s="18">
        <f t="shared" si="233"/>
        <v>0</v>
      </c>
      <c r="BI396" s="18">
        <f t="shared" si="234"/>
        <v>0</v>
      </c>
      <c r="BJ396" s="18">
        <f t="shared" si="235"/>
        <v>0</v>
      </c>
    </row>
    <row r="397" spans="1:62" x14ac:dyDescent="0.2">
      <c r="A397" s="5" t="s">
        <v>324</v>
      </c>
      <c r="B397" s="5" t="s">
        <v>651</v>
      </c>
      <c r="C397" s="135" t="s">
        <v>1040</v>
      </c>
      <c r="D397" s="136"/>
      <c r="E397" s="136"/>
      <c r="F397" s="5" t="s">
        <v>1099</v>
      </c>
      <c r="G397" s="18">
        <v>2</v>
      </c>
      <c r="H397" s="79">
        <v>0</v>
      </c>
      <c r="I397" s="18">
        <f t="shared" si="214"/>
        <v>0</v>
      </c>
      <c r="J397" s="18">
        <f t="shared" si="215"/>
        <v>0</v>
      </c>
      <c r="K397" s="18">
        <f t="shared" si="216"/>
        <v>0</v>
      </c>
      <c r="L397" s="29" t="s">
        <v>1127</v>
      </c>
      <c r="Z397" s="34">
        <f t="shared" si="217"/>
        <v>0</v>
      </c>
      <c r="AB397" s="34">
        <f t="shared" si="218"/>
        <v>0</v>
      </c>
      <c r="AC397" s="34">
        <f t="shared" si="219"/>
        <v>0</v>
      </c>
      <c r="AD397" s="34">
        <f t="shared" si="220"/>
        <v>0</v>
      </c>
      <c r="AE397" s="34">
        <f t="shared" si="221"/>
        <v>0</v>
      </c>
      <c r="AF397" s="34">
        <f t="shared" si="222"/>
        <v>0</v>
      </c>
      <c r="AG397" s="34">
        <f t="shared" si="223"/>
        <v>0</v>
      </c>
      <c r="AH397" s="34">
        <f t="shared" si="224"/>
        <v>0</v>
      </c>
      <c r="AI397" s="28" t="s">
        <v>1137</v>
      </c>
      <c r="AJ397" s="18">
        <f t="shared" si="225"/>
        <v>0</v>
      </c>
      <c r="AK397" s="18">
        <f t="shared" si="226"/>
        <v>0</v>
      </c>
      <c r="AL397" s="18">
        <f t="shared" si="227"/>
        <v>0</v>
      </c>
      <c r="AN397" s="34">
        <v>21</v>
      </c>
      <c r="AO397" s="34">
        <f t="shared" si="212"/>
        <v>0</v>
      </c>
      <c r="AP397" s="34">
        <f t="shared" si="213"/>
        <v>0</v>
      </c>
      <c r="AQ397" s="29" t="s">
        <v>7</v>
      </c>
      <c r="AV397" s="34">
        <f t="shared" si="228"/>
        <v>0</v>
      </c>
      <c r="AW397" s="34">
        <f t="shared" si="229"/>
        <v>0</v>
      </c>
      <c r="AX397" s="34">
        <f t="shared" si="230"/>
        <v>0</v>
      </c>
      <c r="AY397" s="35" t="s">
        <v>1162</v>
      </c>
      <c r="AZ397" s="35" t="s">
        <v>1169</v>
      </c>
      <c r="BA397" s="28" t="s">
        <v>1176</v>
      </c>
      <c r="BC397" s="34">
        <f t="shared" si="231"/>
        <v>0</v>
      </c>
      <c r="BD397" s="34">
        <f t="shared" si="232"/>
        <v>0</v>
      </c>
      <c r="BE397" s="34">
        <v>0</v>
      </c>
      <c r="BF397" s="34">
        <f>397</f>
        <v>397</v>
      </c>
      <c r="BH397" s="18">
        <f t="shared" si="233"/>
        <v>0</v>
      </c>
      <c r="BI397" s="18">
        <f t="shared" si="234"/>
        <v>0</v>
      </c>
      <c r="BJ397" s="18">
        <f t="shared" si="235"/>
        <v>0</v>
      </c>
    </row>
    <row r="398" spans="1:62" x14ac:dyDescent="0.2">
      <c r="A398" s="5" t="s">
        <v>325</v>
      </c>
      <c r="B398" s="5" t="s">
        <v>656</v>
      </c>
      <c r="C398" s="135" t="s">
        <v>1040</v>
      </c>
      <c r="D398" s="136"/>
      <c r="E398" s="136"/>
      <c r="F398" s="5" t="s">
        <v>1099</v>
      </c>
      <c r="G398" s="18">
        <v>2</v>
      </c>
      <c r="H398" s="79">
        <v>0</v>
      </c>
      <c r="I398" s="18">
        <f t="shared" si="214"/>
        <v>0</v>
      </c>
      <c r="J398" s="18">
        <f t="shared" si="215"/>
        <v>0</v>
      </c>
      <c r="K398" s="18">
        <f t="shared" si="216"/>
        <v>0</v>
      </c>
      <c r="L398" s="29" t="s">
        <v>1127</v>
      </c>
      <c r="Z398" s="34">
        <f t="shared" si="217"/>
        <v>0</v>
      </c>
      <c r="AB398" s="34">
        <f t="shared" si="218"/>
        <v>0</v>
      </c>
      <c r="AC398" s="34">
        <f t="shared" si="219"/>
        <v>0</v>
      </c>
      <c r="AD398" s="34">
        <f t="shared" si="220"/>
        <v>0</v>
      </c>
      <c r="AE398" s="34">
        <f t="shared" si="221"/>
        <v>0</v>
      </c>
      <c r="AF398" s="34">
        <f t="shared" si="222"/>
        <v>0</v>
      </c>
      <c r="AG398" s="34">
        <f t="shared" si="223"/>
        <v>0</v>
      </c>
      <c r="AH398" s="34">
        <f t="shared" si="224"/>
        <v>0</v>
      </c>
      <c r="AI398" s="28" t="s">
        <v>1137</v>
      </c>
      <c r="AJ398" s="18">
        <f t="shared" si="225"/>
        <v>0</v>
      </c>
      <c r="AK398" s="18">
        <f t="shared" si="226"/>
        <v>0</v>
      </c>
      <c r="AL398" s="18">
        <f t="shared" si="227"/>
        <v>0</v>
      </c>
      <c r="AN398" s="34">
        <v>21</v>
      </c>
      <c r="AO398" s="34">
        <f t="shared" si="212"/>
        <v>0</v>
      </c>
      <c r="AP398" s="34">
        <f t="shared" si="213"/>
        <v>0</v>
      </c>
      <c r="AQ398" s="29" t="s">
        <v>7</v>
      </c>
      <c r="AV398" s="34">
        <f t="shared" si="228"/>
        <v>0</v>
      </c>
      <c r="AW398" s="34">
        <f t="shared" si="229"/>
        <v>0</v>
      </c>
      <c r="AX398" s="34">
        <f t="shared" si="230"/>
        <v>0</v>
      </c>
      <c r="AY398" s="35" t="s">
        <v>1162</v>
      </c>
      <c r="AZ398" s="35" t="s">
        <v>1169</v>
      </c>
      <c r="BA398" s="28" t="s">
        <v>1176</v>
      </c>
      <c r="BC398" s="34">
        <f t="shared" si="231"/>
        <v>0</v>
      </c>
      <c r="BD398" s="34">
        <f t="shared" si="232"/>
        <v>0</v>
      </c>
      <c r="BE398" s="34">
        <v>0</v>
      </c>
      <c r="BF398" s="34">
        <f>398</f>
        <v>398</v>
      </c>
      <c r="BH398" s="18">
        <f t="shared" si="233"/>
        <v>0</v>
      </c>
      <c r="BI398" s="18">
        <f t="shared" si="234"/>
        <v>0</v>
      </c>
      <c r="BJ398" s="18">
        <f t="shared" si="235"/>
        <v>0</v>
      </c>
    </row>
    <row r="399" spans="1:62" x14ac:dyDescent="0.2">
      <c r="A399" s="5" t="s">
        <v>326</v>
      </c>
      <c r="B399" s="5" t="s">
        <v>657</v>
      </c>
      <c r="C399" s="135" t="s">
        <v>1041</v>
      </c>
      <c r="D399" s="136"/>
      <c r="E399" s="136"/>
      <c r="F399" s="5" t="s">
        <v>1099</v>
      </c>
      <c r="G399" s="18">
        <v>2</v>
      </c>
      <c r="H399" s="79">
        <v>0</v>
      </c>
      <c r="I399" s="18">
        <f t="shared" si="214"/>
        <v>0</v>
      </c>
      <c r="J399" s="18">
        <f t="shared" si="215"/>
        <v>0</v>
      </c>
      <c r="K399" s="18">
        <f t="shared" si="216"/>
        <v>0</v>
      </c>
      <c r="L399" s="29" t="s">
        <v>1127</v>
      </c>
      <c r="Z399" s="34">
        <f t="shared" si="217"/>
        <v>0</v>
      </c>
      <c r="AB399" s="34">
        <f t="shared" si="218"/>
        <v>0</v>
      </c>
      <c r="AC399" s="34">
        <f t="shared" si="219"/>
        <v>0</v>
      </c>
      <c r="AD399" s="34">
        <f t="shared" si="220"/>
        <v>0</v>
      </c>
      <c r="AE399" s="34">
        <f t="shared" si="221"/>
        <v>0</v>
      </c>
      <c r="AF399" s="34">
        <f t="shared" si="222"/>
        <v>0</v>
      </c>
      <c r="AG399" s="34">
        <f t="shared" si="223"/>
        <v>0</v>
      </c>
      <c r="AH399" s="34">
        <f t="shared" si="224"/>
        <v>0</v>
      </c>
      <c r="AI399" s="28" t="s">
        <v>1137</v>
      </c>
      <c r="AJ399" s="18">
        <f t="shared" si="225"/>
        <v>0</v>
      </c>
      <c r="AK399" s="18">
        <f t="shared" si="226"/>
        <v>0</v>
      </c>
      <c r="AL399" s="18">
        <f t="shared" si="227"/>
        <v>0</v>
      </c>
      <c r="AN399" s="34">
        <v>21</v>
      </c>
      <c r="AO399" s="34">
        <f t="shared" si="212"/>
        <v>0</v>
      </c>
      <c r="AP399" s="34">
        <f t="shared" si="213"/>
        <v>0</v>
      </c>
      <c r="AQ399" s="29" t="s">
        <v>7</v>
      </c>
      <c r="AV399" s="34">
        <f t="shared" si="228"/>
        <v>0</v>
      </c>
      <c r="AW399" s="34">
        <f t="shared" si="229"/>
        <v>0</v>
      </c>
      <c r="AX399" s="34">
        <f t="shared" si="230"/>
        <v>0</v>
      </c>
      <c r="AY399" s="35" t="s">
        <v>1162</v>
      </c>
      <c r="AZ399" s="35" t="s">
        <v>1169</v>
      </c>
      <c r="BA399" s="28" t="s">
        <v>1176</v>
      </c>
      <c r="BC399" s="34">
        <f t="shared" si="231"/>
        <v>0</v>
      </c>
      <c r="BD399" s="34">
        <f t="shared" si="232"/>
        <v>0</v>
      </c>
      <c r="BE399" s="34">
        <v>0</v>
      </c>
      <c r="BF399" s="34">
        <f>399</f>
        <v>399</v>
      </c>
      <c r="BH399" s="18">
        <f t="shared" si="233"/>
        <v>0</v>
      </c>
      <c r="BI399" s="18">
        <f t="shared" si="234"/>
        <v>0</v>
      </c>
      <c r="BJ399" s="18">
        <f t="shared" si="235"/>
        <v>0</v>
      </c>
    </row>
    <row r="400" spans="1:62" x14ac:dyDescent="0.2">
      <c r="A400" s="5" t="s">
        <v>327</v>
      </c>
      <c r="B400" s="5" t="s">
        <v>658</v>
      </c>
      <c r="C400" s="135" t="s">
        <v>1042</v>
      </c>
      <c r="D400" s="136"/>
      <c r="E400" s="136"/>
      <c r="F400" s="5" t="s">
        <v>1099</v>
      </c>
      <c r="G400" s="18">
        <v>32</v>
      </c>
      <c r="H400" s="79">
        <v>0</v>
      </c>
      <c r="I400" s="18">
        <f t="shared" si="214"/>
        <v>0</v>
      </c>
      <c r="J400" s="18">
        <f t="shared" si="215"/>
        <v>0</v>
      </c>
      <c r="K400" s="18">
        <f t="shared" si="216"/>
        <v>0</v>
      </c>
      <c r="L400" s="29" t="s">
        <v>1127</v>
      </c>
      <c r="Z400" s="34">
        <f t="shared" si="217"/>
        <v>0</v>
      </c>
      <c r="AB400" s="34">
        <f t="shared" si="218"/>
        <v>0</v>
      </c>
      <c r="AC400" s="34">
        <f t="shared" si="219"/>
        <v>0</v>
      </c>
      <c r="AD400" s="34">
        <f t="shared" si="220"/>
        <v>0</v>
      </c>
      <c r="AE400" s="34">
        <f t="shared" si="221"/>
        <v>0</v>
      </c>
      <c r="AF400" s="34">
        <f t="shared" si="222"/>
        <v>0</v>
      </c>
      <c r="AG400" s="34">
        <f t="shared" si="223"/>
        <v>0</v>
      </c>
      <c r="AH400" s="34">
        <f t="shared" si="224"/>
        <v>0</v>
      </c>
      <c r="AI400" s="28" t="s">
        <v>1137</v>
      </c>
      <c r="AJ400" s="18">
        <f t="shared" si="225"/>
        <v>0</v>
      </c>
      <c r="AK400" s="18">
        <f t="shared" si="226"/>
        <v>0</v>
      </c>
      <c r="AL400" s="18">
        <f t="shared" si="227"/>
        <v>0</v>
      </c>
      <c r="AN400" s="34">
        <v>21</v>
      </c>
      <c r="AO400" s="34">
        <f t="shared" si="212"/>
        <v>0</v>
      </c>
      <c r="AP400" s="34">
        <f t="shared" si="213"/>
        <v>0</v>
      </c>
      <c r="AQ400" s="29" t="s">
        <v>7</v>
      </c>
      <c r="AV400" s="34">
        <f t="shared" si="228"/>
        <v>0</v>
      </c>
      <c r="AW400" s="34">
        <f t="shared" si="229"/>
        <v>0</v>
      </c>
      <c r="AX400" s="34">
        <f t="shared" si="230"/>
        <v>0</v>
      </c>
      <c r="AY400" s="35" t="s">
        <v>1162</v>
      </c>
      <c r="AZ400" s="35" t="s">
        <v>1169</v>
      </c>
      <c r="BA400" s="28" t="s">
        <v>1176</v>
      </c>
      <c r="BC400" s="34">
        <f t="shared" si="231"/>
        <v>0</v>
      </c>
      <c r="BD400" s="34">
        <f t="shared" si="232"/>
        <v>0</v>
      </c>
      <c r="BE400" s="34">
        <v>0</v>
      </c>
      <c r="BF400" s="34">
        <f>400</f>
        <v>400</v>
      </c>
      <c r="BH400" s="18">
        <f t="shared" si="233"/>
        <v>0</v>
      </c>
      <c r="BI400" s="18">
        <f t="shared" si="234"/>
        <v>0</v>
      </c>
      <c r="BJ400" s="18">
        <f t="shared" si="235"/>
        <v>0</v>
      </c>
    </row>
    <row r="401" spans="1:62" x14ac:dyDescent="0.2">
      <c r="A401" s="5" t="s">
        <v>328</v>
      </c>
      <c r="B401" s="5" t="s">
        <v>659</v>
      </c>
      <c r="C401" s="135" t="s">
        <v>1043</v>
      </c>
      <c r="D401" s="136"/>
      <c r="E401" s="136"/>
      <c r="F401" s="5" t="s">
        <v>1099</v>
      </c>
      <c r="G401" s="18">
        <v>12</v>
      </c>
      <c r="H401" s="79">
        <v>0</v>
      </c>
      <c r="I401" s="18">
        <f t="shared" si="214"/>
        <v>0</v>
      </c>
      <c r="J401" s="18">
        <f t="shared" si="215"/>
        <v>0</v>
      </c>
      <c r="K401" s="18">
        <f t="shared" si="216"/>
        <v>0</v>
      </c>
      <c r="L401" s="29" t="s">
        <v>1127</v>
      </c>
      <c r="Z401" s="34">
        <f t="shared" si="217"/>
        <v>0</v>
      </c>
      <c r="AB401" s="34">
        <f t="shared" si="218"/>
        <v>0</v>
      </c>
      <c r="AC401" s="34">
        <f t="shared" si="219"/>
        <v>0</v>
      </c>
      <c r="AD401" s="34">
        <f t="shared" si="220"/>
        <v>0</v>
      </c>
      <c r="AE401" s="34">
        <f t="shared" si="221"/>
        <v>0</v>
      </c>
      <c r="AF401" s="34">
        <f t="shared" si="222"/>
        <v>0</v>
      </c>
      <c r="AG401" s="34">
        <f t="shared" si="223"/>
        <v>0</v>
      </c>
      <c r="AH401" s="34">
        <f t="shared" si="224"/>
        <v>0</v>
      </c>
      <c r="AI401" s="28" t="s">
        <v>1137</v>
      </c>
      <c r="AJ401" s="18">
        <f t="shared" si="225"/>
        <v>0</v>
      </c>
      <c r="AK401" s="18">
        <f t="shared" si="226"/>
        <v>0</v>
      </c>
      <c r="AL401" s="18">
        <f t="shared" si="227"/>
        <v>0</v>
      </c>
      <c r="AN401" s="34">
        <v>21</v>
      </c>
      <c r="AO401" s="34">
        <f t="shared" si="212"/>
        <v>0</v>
      </c>
      <c r="AP401" s="34">
        <f t="shared" si="213"/>
        <v>0</v>
      </c>
      <c r="AQ401" s="29" t="s">
        <v>7</v>
      </c>
      <c r="AV401" s="34">
        <f t="shared" si="228"/>
        <v>0</v>
      </c>
      <c r="AW401" s="34">
        <f t="shared" si="229"/>
        <v>0</v>
      </c>
      <c r="AX401" s="34">
        <f t="shared" si="230"/>
        <v>0</v>
      </c>
      <c r="AY401" s="35" t="s">
        <v>1162</v>
      </c>
      <c r="AZ401" s="35" t="s">
        <v>1169</v>
      </c>
      <c r="BA401" s="28" t="s">
        <v>1176</v>
      </c>
      <c r="BC401" s="34">
        <f t="shared" si="231"/>
        <v>0</v>
      </c>
      <c r="BD401" s="34">
        <f t="shared" si="232"/>
        <v>0</v>
      </c>
      <c r="BE401" s="34">
        <v>0</v>
      </c>
      <c r="BF401" s="34">
        <f>401</f>
        <v>401</v>
      </c>
      <c r="BH401" s="18">
        <f t="shared" si="233"/>
        <v>0</v>
      </c>
      <c r="BI401" s="18">
        <f t="shared" si="234"/>
        <v>0</v>
      </c>
      <c r="BJ401" s="18">
        <f t="shared" si="235"/>
        <v>0</v>
      </c>
    </row>
    <row r="402" spans="1:62" x14ac:dyDescent="0.2">
      <c r="A402" s="5" t="s">
        <v>329</v>
      </c>
      <c r="B402" s="5" t="s">
        <v>660</v>
      </c>
      <c r="C402" s="135" t="s">
        <v>1044</v>
      </c>
      <c r="D402" s="136"/>
      <c r="E402" s="136"/>
      <c r="F402" s="5" t="s">
        <v>1099</v>
      </c>
      <c r="G402" s="18">
        <v>12</v>
      </c>
      <c r="H402" s="79">
        <v>0</v>
      </c>
      <c r="I402" s="18">
        <f t="shared" si="214"/>
        <v>0</v>
      </c>
      <c r="J402" s="18">
        <f t="shared" si="215"/>
        <v>0</v>
      </c>
      <c r="K402" s="18">
        <f t="shared" si="216"/>
        <v>0</v>
      </c>
      <c r="L402" s="29" t="s">
        <v>1127</v>
      </c>
      <c r="Z402" s="34">
        <f t="shared" si="217"/>
        <v>0</v>
      </c>
      <c r="AB402" s="34">
        <f t="shared" si="218"/>
        <v>0</v>
      </c>
      <c r="AC402" s="34">
        <f t="shared" si="219"/>
        <v>0</v>
      </c>
      <c r="AD402" s="34">
        <f t="shared" si="220"/>
        <v>0</v>
      </c>
      <c r="AE402" s="34">
        <f t="shared" si="221"/>
        <v>0</v>
      </c>
      <c r="AF402" s="34">
        <f t="shared" si="222"/>
        <v>0</v>
      </c>
      <c r="AG402" s="34">
        <f t="shared" si="223"/>
        <v>0</v>
      </c>
      <c r="AH402" s="34">
        <f t="shared" si="224"/>
        <v>0</v>
      </c>
      <c r="AI402" s="28" t="s">
        <v>1137</v>
      </c>
      <c r="AJ402" s="18">
        <f t="shared" si="225"/>
        <v>0</v>
      </c>
      <c r="AK402" s="18">
        <f t="shared" si="226"/>
        <v>0</v>
      </c>
      <c r="AL402" s="18">
        <f t="shared" si="227"/>
        <v>0</v>
      </c>
      <c r="AN402" s="34">
        <v>21</v>
      </c>
      <c r="AO402" s="34">
        <f t="shared" si="212"/>
        <v>0</v>
      </c>
      <c r="AP402" s="34">
        <f t="shared" si="213"/>
        <v>0</v>
      </c>
      <c r="AQ402" s="29" t="s">
        <v>7</v>
      </c>
      <c r="AV402" s="34">
        <f t="shared" si="228"/>
        <v>0</v>
      </c>
      <c r="AW402" s="34">
        <f t="shared" si="229"/>
        <v>0</v>
      </c>
      <c r="AX402" s="34">
        <f t="shared" si="230"/>
        <v>0</v>
      </c>
      <c r="AY402" s="35" t="s">
        <v>1162</v>
      </c>
      <c r="AZ402" s="35" t="s">
        <v>1169</v>
      </c>
      <c r="BA402" s="28" t="s">
        <v>1176</v>
      </c>
      <c r="BC402" s="34">
        <f t="shared" si="231"/>
        <v>0</v>
      </c>
      <c r="BD402" s="34">
        <f t="shared" si="232"/>
        <v>0</v>
      </c>
      <c r="BE402" s="34">
        <v>0</v>
      </c>
      <c r="BF402" s="34">
        <f>402</f>
        <v>402</v>
      </c>
      <c r="BH402" s="18">
        <f t="shared" si="233"/>
        <v>0</v>
      </c>
      <c r="BI402" s="18">
        <f t="shared" si="234"/>
        <v>0</v>
      </c>
      <c r="BJ402" s="18">
        <f t="shared" si="235"/>
        <v>0</v>
      </c>
    </row>
    <row r="403" spans="1:62" x14ac:dyDescent="0.2">
      <c r="A403" s="5" t="s">
        <v>330</v>
      </c>
      <c r="B403" s="5" t="s">
        <v>661</v>
      </c>
      <c r="C403" s="135" t="s">
        <v>1045</v>
      </c>
      <c r="D403" s="136"/>
      <c r="E403" s="136"/>
      <c r="F403" s="5" t="s">
        <v>1099</v>
      </c>
      <c r="G403" s="18">
        <v>8</v>
      </c>
      <c r="H403" s="79">
        <v>0</v>
      </c>
      <c r="I403" s="18">
        <f t="shared" si="214"/>
        <v>0</v>
      </c>
      <c r="J403" s="18">
        <f t="shared" si="215"/>
        <v>0</v>
      </c>
      <c r="K403" s="18">
        <f t="shared" si="216"/>
        <v>0</v>
      </c>
      <c r="L403" s="29" t="s">
        <v>1127</v>
      </c>
      <c r="Z403" s="34">
        <f t="shared" si="217"/>
        <v>0</v>
      </c>
      <c r="AB403" s="34">
        <f t="shared" si="218"/>
        <v>0</v>
      </c>
      <c r="AC403" s="34">
        <f t="shared" si="219"/>
        <v>0</v>
      </c>
      <c r="AD403" s="34">
        <f t="shared" si="220"/>
        <v>0</v>
      </c>
      <c r="AE403" s="34">
        <f t="shared" si="221"/>
        <v>0</v>
      </c>
      <c r="AF403" s="34">
        <f t="shared" si="222"/>
        <v>0</v>
      </c>
      <c r="AG403" s="34">
        <f t="shared" si="223"/>
        <v>0</v>
      </c>
      <c r="AH403" s="34">
        <f t="shared" si="224"/>
        <v>0</v>
      </c>
      <c r="AI403" s="28" t="s">
        <v>1137</v>
      </c>
      <c r="AJ403" s="18">
        <f t="shared" si="225"/>
        <v>0</v>
      </c>
      <c r="AK403" s="18">
        <f t="shared" si="226"/>
        <v>0</v>
      </c>
      <c r="AL403" s="18">
        <f t="shared" si="227"/>
        <v>0</v>
      </c>
      <c r="AN403" s="34">
        <v>21</v>
      </c>
      <c r="AO403" s="34">
        <f t="shared" si="212"/>
        <v>0</v>
      </c>
      <c r="AP403" s="34">
        <f t="shared" si="213"/>
        <v>0</v>
      </c>
      <c r="AQ403" s="29" t="s">
        <v>7</v>
      </c>
      <c r="AV403" s="34">
        <f t="shared" si="228"/>
        <v>0</v>
      </c>
      <c r="AW403" s="34">
        <f t="shared" si="229"/>
        <v>0</v>
      </c>
      <c r="AX403" s="34">
        <f t="shared" si="230"/>
        <v>0</v>
      </c>
      <c r="AY403" s="35" t="s">
        <v>1162</v>
      </c>
      <c r="AZ403" s="35" t="s">
        <v>1169</v>
      </c>
      <c r="BA403" s="28" t="s">
        <v>1176</v>
      </c>
      <c r="BC403" s="34">
        <f t="shared" si="231"/>
        <v>0</v>
      </c>
      <c r="BD403" s="34">
        <f t="shared" si="232"/>
        <v>0</v>
      </c>
      <c r="BE403" s="34">
        <v>0</v>
      </c>
      <c r="BF403" s="34">
        <f>403</f>
        <v>403</v>
      </c>
      <c r="BH403" s="18">
        <f t="shared" si="233"/>
        <v>0</v>
      </c>
      <c r="BI403" s="18">
        <f t="shared" si="234"/>
        <v>0</v>
      </c>
      <c r="BJ403" s="18">
        <f t="shared" si="235"/>
        <v>0</v>
      </c>
    </row>
    <row r="404" spans="1:62" x14ac:dyDescent="0.2">
      <c r="A404" s="5" t="s">
        <v>331</v>
      </c>
      <c r="B404" s="5" t="s">
        <v>662</v>
      </c>
      <c r="C404" s="135" t="s">
        <v>1046</v>
      </c>
      <c r="D404" s="136"/>
      <c r="E404" s="136"/>
      <c r="F404" s="5" t="s">
        <v>1099</v>
      </c>
      <c r="G404" s="18">
        <v>8</v>
      </c>
      <c r="H404" s="79">
        <v>0</v>
      </c>
      <c r="I404" s="18">
        <f t="shared" si="214"/>
        <v>0</v>
      </c>
      <c r="J404" s="18">
        <f t="shared" si="215"/>
        <v>0</v>
      </c>
      <c r="K404" s="18">
        <f t="shared" si="216"/>
        <v>0</v>
      </c>
      <c r="L404" s="29" t="s">
        <v>1127</v>
      </c>
      <c r="Z404" s="34">
        <f t="shared" si="217"/>
        <v>0</v>
      </c>
      <c r="AB404" s="34">
        <f t="shared" si="218"/>
        <v>0</v>
      </c>
      <c r="AC404" s="34">
        <f t="shared" si="219"/>
        <v>0</v>
      </c>
      <c r="AD404" s="34">
        <f t="shared" si="220"/>
        <v>0</v>
      </c>
      <c r="AE404" s="34">
        <f t="shared" si="221"/>
        <v>0</v>
      </c>
      <c r="AF404" s="34">
        <f t="shared" si="222"/>
        <v>0</v>
      </c>
      <c r="AG404" s="34">
        <f t="shared" si="223"/>
        <v>0</v>
      </c>
      <c r="AH404" s="34">
        <f t="shared" si="224"/>
        <v>0</v>
      </c>
      <c r="AI404" s="28" t="s">
        <v>1137</v>
      </c>
      <c r="AJ404" s="18">
        <f t="shared" si="225"/>
        <v>0</v>
      </c>
      <c r="AK404" s="18">
        <f t="shared" si="226"/>
        <v>0</v>
      </c>
      <c r="AL404" s="18">
        <f t="shared" si="227"/>
        <v>0</v>
      </c>
      <c r="AN404" s="34">
        <v>21</v>
      </c>
      <c r="AO404" s="34">
        <f t="shared" si="212"/>
        <v>0</v>
      </c>
      <c r="AP404" s="34">
        <f t="shared" si="213"/>
        <v>0</v>
      </c>
      <c r="AQ404" s="29" t="s">
        <v>7</v>
      </c>
      <c r="AV404" s="34">
        <f t="shared" si="228"/>
        <v>0</v>
      </c>
      <c r="AW404" s="34">
        <f t="shared" si="229"/>
        <v>0</v>
      </c>
      <c r="AX404" s="34">
        <f t="shared" si="230"/>
        <v>0</v>
      </c>
      <c r="AY404" s="35" t="s">
        <v>1162</v>
      </c>
      <c r="AZ404" s="35" t="s">
        <v>1169</v>
      </c>
      <c r="BA404" s="28" t="s">
        <v>1176</v>
      </c>
      <c r="BC404" s="34">
        <f t="shared" si="231"/>
        <v>0</v>
      </c>
      <c r="BD404" s="34">
        <f t="shared" si="232"/>
        <v>0</v>
      </c>
      <c r="BE404" s="34">
        <v>0</v>
      </c>
      <c r="BF404" s="34">
        <f>404</f>
        <v>404</v>
      </c>
      <c r="BH404" s="18">
        <f t="shared" si="233"/>
        <v>0</v>
      </c>
      <c r="BI404" s="18">
        <f t="shared" si="234"/>
        <v>0</v>
      </c>
      <c r="BJ404" s="18">
        <f t="shared" si="235"/>
        <v>0</v>
      </c>
    </row>
    <row r="405" spans="1:62" x14ac:dyDescent="0.2">
      <c r="A405" s="5" t="s">
        <v>332</v>
      </c>
      <c r="B405" s="5" t="s">
        <v>663</v>
      </c>
      <c r="C405" s="135" t="s">
        <v>1047</v>
      </c>
      <c r="D405" s="136"/>
      <c r="E405" s="136"/>
      <c r="F405" s="5" t="s">
        <v>1099</v>
      </c>
      <c r="G405" s="18">
        <v>8</v>
      </c>
      <c r="H405" s="79">
        <v>0</v>
      </c>
      <c r="I405" s="18">
        <f t="shared" si="214"/>
        <v>0</v>
      </c>
      <c r="J405" s="18">
        <f t="shared" si="215"/>
        <v>0</v>
      </c>
      <c r="K405" s="18">
        <f t="shared" si="216"/>
        <v>0</v>
      </c>
      <c r="L405" s="29" t="s">
        <v>1127</v>
      </c>
      <c r="Z405" s="34">
        <f t="shared" si="217"/>
        <v>0</v>
      </c>
      <c r="AB405" s="34">
        <f t="shared" si="218"/>
        <v>0</v>
      </c>
      <c r="AC405" s="34">
        <f t="shared" si="219"/>
        <v>0</v>
      </c>
      <c r="AD405" s="34">
        <f t="shared" si="220"/>
        <v>0</v>
      </c>
      <c r="AE405" s="34">
        <f t="shared" si="221"/>
        <v>0</v>
      </c>
      <c r="AF405" s="34">
        <f t="shared" si="222"/>
        <v>0</v>
      </c>
      <c r="AG405" s="34">
        <f t="shared" si="223"/>
        <v>0</v>
      </c>
      <c r="AH405" s="34">
        <f t="shared" si="224"/>
        <v>0</v>
      </c>
      <c r="AI405" s="28" t="s">
        <v>1137</v>
      </c>
      <c r="AJ405" s="18">
        <f t="shared" si="225"/>
        <v>0</v>
      </c>
      <c r="AK405" s="18">
        <f t="shared" si="226"/>
        <v>0</v>
      </c>
      <c r="AL405" s="18">
        <f t="shared" si="227"/>
        <v>0</v>
      </c>
      <c r="AN405" s="34">
        <v>21</v>
      </c>
      <c r="AO405" s="34">
        <f t="shared" si="212"/>
        <v>0</v>
      </c>
      <c r="AP405" s="34">
        <f t="shared" si="213"/>
        <v>0</v>
      </c>
      <c r="AQ405" s="29" t="s">
        <v>7</v>
      </c>
      <c r="AV405" s="34">
        <f t="shared" si="228"/>
        <v>0</v>
      </c>
      <c r="AW405" s="34">
        <f t="shared" si="229"/>
        <v>0</v>
      </c>
      <c r="AX405" s="34">
        <f t="shared" si="230"/>
        <v>0</v>
      </c>
      <c r="AY405" s="35" t="s">
        <v>1162</v>
      </c>
      <c r="AZ405" s="35" t="s">
        <v>1169</v>
      </c>
      <c r="BA405" s="28" t="s">
        <v>1176</v>
      </c>
      <c r="BC405" s="34">
        <f t="shared" si="231"/>
        <v>0</v>
      </c>
      <c r="BD405" s="34">
        <f t="shared" si="232"/>
        <v>0</v>
      </c>
      <c r="BE405" s="34">
        <v>0</v>
      </c>
      <c r="BF405" s="34">
        <f>405</f>
        <v>405</v>
      </c>
      <c r="BH405" s="18">
        <f t="shared" si="233"/>
        <v>0</v>
      </c>
      <c r="BI405" s="18">
        <f t="shared" si="234"/>
        <v>0</v>
      </c>
      <c r="BJ405" s="18">
        <f t="shared" si="235"/>
        <v>0</v>
      </c>
    </row>
    <row r="406" spans="1:62" x14ac:dyDescent="0.2">
      <c r="A406" s="5" t="s">
        <v>333</v>
      </c>
      <c r="B406" s="5" t="s">
        <v>664</v>
      </c>
      <c r="C406" s="135" t="s">
        <v>1048</v>
      </c>
      <c r="D406" s="136"/>
      <c r="E406" s="136"/>
      <c r="F406" s="5" t="s">
        <v>1111</v>
      </c>
      <c r="G406" s="18">
        <v>2</v>
      </c>
      <c r="H406" s="79">
        <v>0</v>
      </c>
      <c r="I406" s="18">
        <f t="shared" si="214"/>
        <v>0</v>
      </c>
      <c r="J406" s="18">
        <f t="shared" si="215"/>
        <v>0</v>
      </c>
      <c r="K406" s="18">
        <f t="shared" si="216"/>
        <v>0</v>
      </c>
      <c r="L406" s="29" t="s">
        <v>1127</v>
      </c>
      <c r="Z406" s="34">
        <f t="shared" si="217"/>
        <v>0</v>
      </c>
      <c r="AB406" s="34">
        <f t="shared" si="218"/>
        <v>0</v>
      </c>
      <c r="AC406" s="34">
        <f t="shared" si="219"/>
        <v>0</v>
      </c>
      <c r="AD406" s="34">
        <f t="shared" si="220"/>
        <v>0</v>
      </c>
      <c r="AE406" s="34">
        <f t="shared" si="221"/>
        <v>0</v>
      </c>
      <c r="AF406" s="34">
        <f t="shared" si="222"/>
        <v>0</v>
      </c>
      <c r="AG406" s="34">
        <f t="shared" si="223"/>
        <v>0</v>
      </c>
      <c r="AH406" s="34">
        <f t="shared" si="224"/>
        <v>0</v>
      </c>
      <c r="AI406" s="28" t="s">
        <v>1137</v>
      </c>
      <c r="AJ406" s="18">
        <f t="shared" si="225"/>
        <v>0</v>
      </c>
      <c r="AK406" s="18">
        <f t="shared" si="226"/>
        <v>0</v>
      </c>
      <c r="AL406" s="18">
        <f t="shared" si="227"/>
        <v>0</v>
      </c>
      <c r="AN406" s="34">
        <v>21</v>
      </c>
      <c r="AO406" s="34">
        <f t="shared" si="212"/>
        <v>0</v>
      </c>
      <c r="AP406" s="34">
        <f t="shared" si="213"/>
        <v>0</v>
      </c>
      <c r="AQ406" s="29" t="s">
        <v>7</v>
      </c>
      <c r="AV406" s="34">
        <f t="shared" si="228"/>
        <v>0</v>
      </c>
      <c r="AW406" s="34">
        <f t="shared" si="229"/>
        <v>0</v>
      </c>
      <c r="AX406" s="34">
        <f t="shared" si="230"/>
        <v>0</v>
      </c>
      <c r="AY406" s="35" t="s">
        <v>1162</v>
      </c>
      <c r="AZ406" s="35" t="s">
        <v>1169</v>
      </c>
      <c r="BA406" s="28" t="s">
        <v>1176</v>
      </c>
      <c r="BC406" s="34">
        <f t="shared" si="231"/>
        <v>0</v>
      </c>
      <c r="BD406" s="34">
        <f t="shared" si="232"/>
        <v>0</v>
      </c>
      <c r="BE406" s="34">
        <v>0</v>
      </c>
      <c r="BF406" s="34">
        <f>406</f>
        <v>406</v>
      </c>
      <c r="BH406" s="18">
        <f t="shared" si="233"/>
        <v>0</v>
      </c>
      <c r="BI406" s="18">
        <f t="shared" si="234"/>
        <v>0</v>
      </c>
      <c r="BJ406" s="18">
        <f t="shared" si="235"/>
        <v>0</v>
      </c>
    </row>
    <row r="407" spans="1:62" x14ac:dyDescent="0.2">
      <c r="C407" s="131" t="s">
        <v>1049</v>
      </c>
      <c r="D407" s="132"/>
      <c r="E407" s="132"/>
      <c r="H407" s="80"/>
    </row>
    <row r="408" spans="1:62" x14ac:dyDescent="0.2">
      <c r="A408" s="5" t="s">
        <v>334</v>
      </c>
      <c r="B408" s="5" t="s">
        <v>665</v>
      </c>
      <c r="C408" s="135" t="s">
        <v>1050</v>
      </c>
      <c r="D408" s="136"/>
      <c r="E408" s="136"/>
      <c r="F408" s="5" t="s">
        <v>1111</v>
      </c>
      <c r="G408" s="18">
        <v>2</v>
      </c>
      <c r="H408" s="79">
        <v>0</v>
      </c>
      <c r="I408" s="18">
        <f>G408*AO408</f>
        <v>0</v>
      </c>
      <c r="J408" s="18">
        <f>G408*AP408</f>
        <v>0</v>
      </c>
      <c r="K408" s="18">
        <f>G408*H408</f>
        <v>0</v>
      </c>
      <c r="L408" s="29" t="s">
        <v>1127</v>
      </c>
      <c r="Z408" s="34">
        <f>IF(AQ408="5",BJ408,0)</f>
        <v>0</v>
      </c>
      <c r="AB408" s="34">
        <f>IF(AQ408="1",BH408,0)</f>
        <v>0</v>
      </c>
      <c r="AC408" s="34">
        <f>IF(AQ408="1",BI408,0)</f>
        <v>0</v>
      </c>
      <c r="AD408" s="34">
        <f>IF(AQ408="7",BH408,0)</f>
        <v>0</v>
      </c>
      <c r="AE408" s="34">
        <f>IF(AQ408="7",BI408,0)</f>
        <v>0</v>
      </c>
      <c r="AF408" s="34">
        <f>IF(AQ408="2",BH408,0)</f>
        <v>0</v>
      </c>
      <c r="AG408" s="34">
        <f>IF(AQ408="2",BI408,0)</f>
        <v>0</v>
      </c>
      <c r="AH408" s="34">
        <f>IF(AQ408="0",BJ408,0)</f>
        <v>0</v>
      </c>
      <c r="AI408" s="28" t="s">
        <v>1137</v>
      </c>
      <c r="AJ408" s="18">
        <f>IF(AN408=0,K408,0)</f>
        <v>0</v>
      </c>
      <c r="AK408" s="18">
        <f>IF(AN408=15,K408,0)</f>
        <v>0</v>
      </c>
      <c r="AL408" s="18">
        <f>IF(AN408=21,K408,0)</f>
        <v>0</v>
      </c>
      <c r="AN408" s="34">
        <v>21</v>
      </c>
      <c r="AO408" s="34">
        <f>H408*0</f>
        <v>0</v>
      </c>
      <c r="AP408" s="34">
        <f>H408*(1-0)</f>
        <v>0</v>
      </c>
      <c r="AQ408" s="29" t="s">
        <v>7</v>
      </c>
      <c r="AV408" s="34">
        <f>AW408+AX408</f>
        <v>0</v>
      </c>
      <c r="AW408" s="34">
        <f>G408*AO408</f>
        <v>0</v>
      </c>
      <c r="AX408" s="34">
        <f>G408*AP408</f>
        <v>0</v>
      </c>
      <c r="AY408" s="35" t="s">
        <v>1162</v>
      </c>
      <c r="AZ408" s="35" t="s">
        <v>1169</v>
      </c>
      <c r="BA408" s="28" t="s">
        <v>1176</v>
      </c>
      <c r="BC408" s="34">
        <f>AW408+AX408</f>
        <v>0</v>
      </c>
      <c r="BD408" s="34">
        <f>H408/(100-BE408)*100</f>
        <v>0</v>
      </c>
      <c r="BE408" s="34">
        <v>0</v>
      </c>
      <c r="BF408" s="34">
        <f>408</f>
        <v>408</v>
      </c>
      <c r="BH408" s="18">
        <f>G408*AO408</f>
        <v>0</v>
      </c>
      <c r="BI408" s="18">
        <f>G408*AP408</f>
        <v>0</v>
      </c>
      <c r="BJ408" s="18">
        <f>G408*H408</f>
        <v>0</v>
      </c>
    </row>
    <row r="409" spans="1:62" x14ac:dyDescent="0.2">
      <c r="A409" s="5" t="s">
        <v>335</v>
      </c>
      <c r="B409" s="5" t="s">
        <v>666</v>
      </c>
      <c r="C409" s="135" t="s">
        <v>1051</v>
      </c>
      <c r="D409" s="136"/>
      <c r="E409" s="136"/>
      <c r="F409" s="5" t="s">
        <v>1104</v>
      </c>
      <c r="G409" s="18">
        <v>12</v>
      </c>
      <c r="H409" s="79">
        <v>0</v>
      </c>
      <c r="I409" s="18">
        <f>G409*AO409</f>
        <v>0</v>
      </c>
      <c r="J409" s="18">
        <f>G409*AP409</f>
        <v>0</v>
      </c>
      <c r="K409" s="18">
        <f>G409*H409</f>
        <v>0</v>
      </c>
      <c r="L409" s="29" t="s">
        <v>1127</v>
      </c>
      <c r="Z409" s="34">
        <f>IF(AQ409="5",BJ409,0)</f>
        <v>0</v>
      </c>
      <c r="AB409" s="34">
        <f>IF(AQ409="1",BH409,0)</f>
        <v>0</v>
      </c>
      <c r="AC409" s="34">
        <f>IF(AQ409="1",BI409,0)</f>
        <v>0</v>
      </c>
      <c r="AD409" s="34">
        <f>IF(AQ409="7",BH409,0)</f>
        <v>0</v>
      </c>
      <c r="AE409" s="34">
        <f>IF(AQ409="7",BI409,0)</f>
        <v>0</v>
      </c>
      <c r="AF409" s="34">
        <f>IF(AQ409="2",BH409,0)</f>
        <v>0</v>
      </c>
      <c r="AG409" s="34">
        <f>IF(AQ409="2",BI409,0)</f>
        <v>0</v>
      </c>
      <c r="AH409" s="34">
        <f>IF(AQ409="0",BJ409,0)</f>
        <v>0</v>
      </c>
      <c r="AI409" s="28" t="s">
        <v>1137</v>
      </c>
      <c r="AJ409" s="18">
        <f>IF(AN409=0,K409,0)</f>
        <v>0</v>
      </c>
      <c r="AK409" s="18">
        <f>IF(AN409=15,K409,0)</f>
        <v>0</v>
      </c>
      <c r="AL409" s="18">
        <f>IF(AN409=21,K409,0)</f>
        <v>0</v>
      </c>
      <c r="AN409" s="34">
        <v>21</v>
      </c>
      <c r="AO409" s="34">
        <f>H409*0</f>
        <v>0</v>
      </c>
      <c r="AP409" s="34">
        <f>H409*(1-0)</f>
        <v>0</v>
      </c>
      <c r="AQ409" s="29" t="s">
        <v>7</v>
      </c>
      <c r="AV409" s="34">
        <f>AW409+AX409</f>
        <v>0</v>
      </c>
      <c r="AW409" s="34">
        <f>G409*AO409</f>
        <v>0</v>
      </c>
      <c r="AX409" s="34">
        <f>G409*AP409</f>
        <v>0</v>
      </c>
      <c r="AY409" s="35" t="s">
        <v>1162</v>
      </c>
      <c r="AZ409" s="35" t="s">
        <v>1169</v>
      </c>
      <c r="BA409" s="28" t="s">
        <v>1176</v>
      </c>
      <c r="BC409" s="34">
        <f>AW409+AX409</f>
        <v>0</v>
      </c>
      <c r="BD409" s="34">
        <f>H409/(100-BE409)*100</f>
        <v>0</v>
      </c>
      <c r="BE409" s="34">
        <v>0</v>
      </c>
      <c r="BF409" s="34">
        <f>409</f>
        <v>409</v>
      </c>
      <c r="BH409" s="18">
        <f>G409*AO409</f>
        <v>0</v>
      </c>
      <c r="BI409" s="18">
        <f>G409*AP409</f>
        <v>0</v>
      </c>
      <c r="BJ409" s="18">
        <f>G409*H409</f>
        <v>0</v>
      </c>
    </row>
    <row r="410" spans="1:62" x14ac:dyDescent="0.2">
      <c r="A410" s="5" t="s">
        <v>336</v>
      </c>
      <c r="B410" s="5" t="s">
        <v>667</v>
      </c>
      <c r="C410" s="135" t="s">
        <v>1051</v>
      </c>
      <c r="D410" s="136"/>
      <c r="E410" s="136"/>
      <c r="F410" s="5" t="s">
        <v>1103</v>
      </c>
      <c r="G410" s="18">
        <v>2</v>
      </c>
      <c r="H410" s="79">
        <v>0</v>
      </c>
      <c r="I410" s="18">
        <f>G410*AO410</f>
        <v>0</v>
      </c>
      <c r="J410" s="18">
        <f>G410*AP410</f>
        <v>0</v>
      </c>
      <c r="K410" s="18">
        <f>G410*H410</f>
        <v>0</v>
      </c>
      <c r="L410" s="29" t="s">
        <v>1127</v>
      </c>
      <c r="Z410" s="34">
        <f>IF(AQ410="5",BJ410,0)</f>
        <v>0</v>
      </c>
      <c r="AB410" s="34">
        <f>IF(AQ410="1",BH410,0)</f>
        <v>0</v>
      </c>
      <c r="AC410" s="34">
        <f>IF(AQ410="1",BI410,0)</f>
        <v>0</v>
      </c>
      <c r="AD410" s="34">
        <f>IF(AQ410="7",BH410,0)</f>
        <v>0</v>
      </c>
      <c r="AE410" s="34">
        <f>IF(AQ410="7",BI410,0)</f>
        <v>0</v>
      </c>
      <c r="AF410" s="34">
        <f>IF(AQ410="2",BH410,0)</f>
        <v>0</v>
      </c>
      <c r="AG410" s="34">
        <f>IF(AQ410="2",BI410,0)</f>
        <v>0</v>
      </c>
      <c r="AH410" s="34">
        <f>IF(AQ410="0",BJ410,0)</f>
        <v>0</v>
      </c>
      <c r="AI410" s="28" t="s">
        <v>1137</v>
      </c>
      <c r="AJ410" s="18">
        <f>IF(AN410=0,K410,0)</f>
        <v>0</v>
      </c>
      <c r="AK410" s="18">
        <f>IF(AN410=15,K410,0)</f>
        <v>0</v>
      </c>
      <c r="AL410" s="18">
        <f>IF(AN410=21,K410,0)</f>
        <v>0</v>
      </c>
      <c r="AN410" s="34">
        <v>21</v>
      </c>
      <c r="AO410" s="34">
        <f>H410*0</f>
        <v>0</v>
      </c>
      <c r="AP410" s="34">
        <f>H410*(1-0)</f>
        <v>0</v>
      </c>
      <c r="AQ410" s="29" t="s">
        <v>7</v>
      </c>
      <c r="AV410" s="34">
        <f>AW410+AX410</f>
        <v>0</v>
      </c>
      <c r="AW410" s="34">
        <f>G410*AO410</f>
        <v>0</v>
      </c>
      <c r="AX410" s="34">
        <f>G410*AP410</f>
        <v>0</v>
      </c>
      <c r="AY410" s="35" t="s">
        <v>1162</v>
      </c>
      <c r="AZ410" s="35" t="s">
        <v>1169</v>
      </c>
      <c r="BA410" s="28" t="s">
        <v>1176</v>
      </c>
      <c r="BC410" s="34">
        <f>AW410+AX410</f>
        <v>0</v>
      </c>
      <c r="BD410" s="34">
        <f>H410/(100-BE410)*100</f>
        <v>0</v>
      </c>
      <c r="BE410" s="34">
        <v>0</v>
      </c>
      <c r="BF410" s="34">
        <f>410</f>
        <v>410</v>
      </c>
      <c r="BH410" s="18">
        <f>G410*AO410</f>
        <v>0</v>
      </c>
      <c r="BI410" s="18">
        <f>G410*AP410</f>
        <v>0</v>
      </c>
      <c r="BJ410" s="18">
        <f>G410*H410</f>
        <v>0</v>
      </c>
    </row>
    <row r="411" spans="1:62" x14ac:dyDescent="0.2">
      <c r="A411" s="5" t="s">
        <v>337</v>
      </c>
      <c r="B411" s="5" t="s">
        <v>668</v>
      </c>
      <c r="C411" s="135" t="s">
        <v>1052</v>
      </c>
      <c r="D411" s="136"/>
      <c r="E411" s="136"/>
      <c r="F411" s="5" t="s">
        <v>1111</v>
      </c>
      <c r="G411" s="18">
        <v>2</v>
      </c>
      <c r="H411" s="79">
        <v>0</v>
      </c>
      <c r="I411" s="18">
        <f>G411*AO411</f>
        <v>0</v>
      </c>
      <c r="J411" s="18">
        <f>G411*AP411</f>
        <v>0</v>
      </c>
      <c r="K411" s="18">
        <f>G411*H411</f>
        <v>0</v>
      </c>
      <c r="L411" s="29" t="s">
        <v>1127</v>
      </c>
      <c r="Z411" s="34">
        <f>IF(AQ411="5",BJ411,0)</f>
        <v>0</v>
      </c>
      <c r="AB411" s="34">
        <f>IF(AQ411="1",BH411,0)</f>
        <v>0</v>
      </c>
      <c r="AC411" s="34">
        <f>IF(AQ411="1",BI411,0)</f>
        <v>0</v>
      </c>
      <c r="AD411" s="34">
        <f>IF(AQ411="7",BH411,0)</f>
        <v>0</v>
      </c>
      <c r="AE411" s="34">
        <f>IF(AQ411="7",BI411,0)</f>
        <v>0</v>
      </c>
      <c r="AF411" s="34">
        <f>IF(AQ411="2",BH411,0)</f>
        <v>0</v>
      </c>
      <c r="AG411" s="34">
        <f>IF(AQ411="2",BI411,0)</f>
        <v>0</v>
      </c>
      <c r="AH411" s="34">
        <f>IF(AQ411="0",BJ411,0)</f>
        <v>0</v>
      </c>
      <c r="AI411" s="28" t="s">
        <v>1137</v>
      </c>
      <c r="AJ411" s="18">
        <f>IF(AN411=0,K411,0)</f>
        <v>0</v>
      </c>
      <c r="AK411" s="18">
        <f>IF(AN411=15,K411,0)</f>
        <v>0</v>
      </c>
      <c r="AL411" s="18">
        <f>IF(AN411=21,K411,0)</f>
        <v>0</v>
      </c>
      <c r="AN411" s="34">
        <v>21</v>
      </c>
      <c r="AO411" s="34">
        <f>H411*0</f>
        <v>0</v>
      </c>
      <c r="AP411" s="34">
        <f>H411*(1-0)</f>
        <v>0</v>
      </c>
      <c r="AQ411" s="29" t="s">
        <v>7</v>
      </c>
      <c r="AV411" s="34">
        <f>AW411+AX411</f>
        <v>0</v>
      </c>
      <c r="AW411" s="34">
        <f>G411*AO411</f>
        <v>0</v>
      </c>
      <c r="AX411" s="34">
        <f>G411*AP411</f>
        <v>0</v>
      </c>
      <c r="AY411" s="35" t="s">
        <v>1162</v>
      </c>
      <c r="AZ411" s="35" t="s">
        <v>1169</v>
      </c>
      <c r="BA411" s="28" t="s">
        <v>1176</v>
      </c>
      <c r="BC411" s="34">
        <f>AW411+AX411</f>
        <v>0</v>
      </c>
      <c r="BD411" s="34">
        <f>H411/(100-BE411)*100</f>
        <v>0</v>
      </c>
      <c r="BE411" s="34">
        <v>0</v>
      </c>
      <c r="BF411" s="34">
        <f>411</f>
        <v>411</v>
      </c>
      <c r="BH411" s="18">
        <f>G411*AO411</f>
        <v>0</v>
      </c>
      <c r="BI411" s="18">
        <f>G411*AP411</f>
        <v>0</v>
      </c>
      <c r="BJ411" s="18">
        <f>G411*H411</f>
        <v>0</v>
      </c>
    </row>
    <row r="412" spans="1:62" x14ac:dyDescent="0.2">
      <c r="C412" s="131" t="s">
        <v>1049</v>
      </c>
      <c r="D412" s="132"/>
      <c r="E412" s="132"/>
      <c r="H412" s="80"/>
    </row>
    <row r="413" spans="1:62" x14ac:dyDescent="0.2">
      <c r="A413" s="5" t="s">
        <v>338</v>
      </c>
      <c r="B413" s="5" t="s">
        <v>669</v>
      </c>
      <c r="C413" s="135" t="s">
        <v>1053</v>
      </c>
      <c r="D413" s="136"/>
      <c r="E413" s="136"/>
      <c r="F413" s="5" t="s">
        <v>1111</v>
      </c>
      <c r="G413" s="18">
        <v>2</v>
      </c>
      <c r="H413" s="79">
        <v>0</v>
      </c>
      <c r="I413" s="18">
        <f>G413*AO413</f>
        <v>0</v>
      </c>
      <c r="J413" s="18">
        <f>G413*AP413</f>
        <v>0</v>
      </c>
      <c r="K413" s="18">
        <f>G413*H413</f>
        <v>0</v>
      </c>
      <c r="L413" s="29" t="s">
        <v>1127</v>
      </c>
      <c r="Z413" s="34">
        <f>IF(AQ413="5",BJ413,0)</f>
        <v>0</v>
      </c>
      <c r="AB413" s="34">
        <f>IF(AQ413="1",BH413,0)</f>
        <v>0</v>
      </c>
      <c r="AC413" s="34">
        <f>IF(AQ413="1",BI413,0)</f>
        <v>0</v>
      </c>
      <c r="AD413" s="34">
        <f>IF(AQ413="7",BH413,0)</f>
        <v>0</v>
      </c>
      <c r="AE413" s="34">
        <f>IF(AQ413="7",BI413,0)</f>
        <v>0</v>
      </c>
      <c r="AF413" s="34">
        <f>IF(AQ413="2",BH413,0)</f>
        <v>0</v>
      </c>
      <c r="AG413" s="34">
        <f>IF(AQ413="2",BI413,0)</f>
        <v>0</v>
      </c>
      <c r="AH413" s="34">
        <f>IF(AQ413="0",BJ413,0)</f>
        <v>0</v>
      </c>
      <c r="AI413" s="28" t="s">
        <v>1137</v>
      </c>
      <c r="AJ413" s="18">
        <f>IF(AN413=0,K413,0)</f>
        <v>0</v>
      </c>
      <c r="AK413" s="18">
        <f>IF(AN413=15,K413,0)</f>
        <v>0</v>
      </c>
      <c r="AL413" s="18">
        <f>IF(AN413=21,K413,0)</f>
        <v>0</v>
      </c>
      <c r="AN413" s="34">
        <v>21</v>
      </c>
      <c r="AO413" s="34">
        <f>H413*0</f>
        <v>0</v>
      </c>
      <c r="AP413" s="34">
        <f>H413*(1-0)</f>
        <v>0</v>
      </c>
      <c r="AQ413" s="29" t="s">
        <v>7</v>
      </c>
      <c r="AV413" s="34">
        <f>AW413+AX413</f>
        <v>0</v>
      </c>
      <c r="AW413" s="34">
        <f>G413*AO413</f>
        <v>0</v>
      </c>
      <c r="AX413" s="34">
        <f>G413*AP413</f>
        <v>0</v>
      </c>
      <c r="AY413" s="35" t="s">
        <v>1162</v>
      </c>
      <c r="AZ413" s="35" t="s">
        <v>1169</v>
      </c>
      <c r="BA413" s="28" t="s">
        <v>1176</v>
      </c>
      <c r="BC413" s="34">
        <f>AW413+AX413</f>
        <v>0</v>
      </c>
      <c r="BD413" s="34">
        <f>H413/(100-BE413)*100</f>
        <v>0</v>
      </c>
      <c r="BE413" s="34">
        <v>0</v>
      </c>
      <c r="BF413" s="34">
        <f>413</f>
        <v>413</v>
      </c>
      <c r="BH413" s="18">
        <f>G413*AO413</f>
        <v>0</v>
      </c>
      <c r="BI413" s="18">
        <f>G413*AP413</f>
        <v>0</v>
      </c>
      <c r="BJ413" s="18">
        <f>G413*H413</f>
        <v>0</v>
      </c>
    </row>
    <row r="414" spans="1:62" x14ac:dyDescent="0.2">
      <c r="C414" s="131" t="s">
        <v>1049</v>
      </c>
      <c r="D414" s="132"/>
      <c r="E414" s="132"/>
      <c r="H414" s="80"/>
    </row>
    <row r="415" spans="1:62" x14ac:dyDescent="0.2">
      <c r="A415" s="5" t="s">
        <v>339</v>
      </c>
      <c r="B415" s="5" t="s">
        <v>670</v>
      </c>
      <c r="C415" s="135" t="s">
        <v>1054</v>
      </c>
      <c r="D415" s="136"/>
      <c r="E415" s="136"/>
      <c r="F415" s="5" t="s">
        <v>1111</v>
      </c>
      <c r="G415" s="18">
        <v>2</v>
      </c>
      <c r="H415" s="79">
        <v>0</v>
      </c>
      <c r="I415" s="18">
        <f>G415*AO415</f>
        <v>0</v>
      </c>
      <c r="J415" s="18">
        <f>G415*AP415</f>
        <v>0</v>
      </c>
      <c r="K415" s="18">
        <f>G415*H415</f>
        <v>0</v>
      </c>
      <c r="L415" s="29" t="s">
        <v>1127</v>
      </c>
      <c r="Z415" s="34">
        <f>IF(AQ415="5",BJ415,0)</f>
        <v>0</v>
      </c>
      <c r="AB415" s="34">
        <f>IF(AQ415="1",BH415,0)</f>
        <v>0</v>
      </c>
      <c r="AC415" s="34">
        <f>IF(AQ415="1",BI415,0)</f>
        <v>0</v>
      </c>
      <c r="AD415" s="34">
        <f>IF(AQ415="7",BH415,0)</f>
        <v>0</v>
      </c>
      <c r="AE415" s="34">
        <f>IF(AQ415="7",BI415,0)</f>
        <v>0</v>
      </c>
      <c r="AF415" s="34">
        <f>IF(AQ415="2",BH415,0)</f>
        <v>0</v>
      </c>
      <c r="AG415" s="34">
        <f>IF(AQ415="2",BI415,0)</f>
        <v>0</v>
      </c>
      <c r="AH415" s="34">
        <f>IF(AQ415="0",BJ415,0)</f>
        <v>0</v>
      </c>
      <c r="AI415" s="28" t="s">
        <v>1137</v>
      </c>
      <c r="AJ415" s="18">
        <f>IF(AN415=0,K415,0)</f>
        <v>0</v>
      </c>
      <c r="AK415" s="18">
        <f>IF(AN415=15,K415,0)</f>
        <v>0</v>
      </c>
      <c r="AL415" s="18">
        <f>IF(AN415=21,K415,0)</f>
        <v>0</v>
      </c>
      <c r="AN415" s="34">
        <v>21</v>
      </c>
      <c r="AO415" s="34">
        <f>H415*0</f>
        <v>0</v>
      </c>
      <c r="AP415" s="34">
        <f>H415*(1-0)</f>
        <v>0</v>
      </c>
      <c r="AQ415" s="29" t="s">
        <v>7</v>
      </c>
      <c r="AV415" s="34">
        <f>AW415+AX415</f>
        <v>0</v>
      </c>
      <c r="AW415" s="34">
        <f>G415*AO415</f>
        <v>0</v>
      </c>
      <c r="AX415" s="34">
        <f>G415*AP415</f>
        <v>0</v>
      </c>
      <c r="AY415" s="35" t="s">
        <v>1162</v>
      </c>
      <c r="AZ415" s="35" t="s">
        <v>1169</v>
      </c>
      <c r="BA415" s="28" t="s">
        <v>1176</v>
      </c>
      <c r="BC415" s="34">
        <f>AW415+AX415</f>
        <v>0</v>
      </c>
      <c r="BD415" s="34">
        <f>H415/(100-BE415)*100</f>
        <v>0</v>
      </c>
      <c r="BE415" s="34">
        <v>0</v>
      </c>
      <c r="BF415" s="34">
        <f>415</f>
        <v>415</v>
      </c>
      <c r="BH415" s="18">
        <f>G415*AO415</f>
        <v>0</v>
      </c>
      <c r="BI415" s="18">
        <f>G415*AP415</f>
        <v>0</v>
      </c>
      <c r="BJ415" s="18">
        <f>G415*H415</f>
        <v>0</v>
      </c>
    </row>
    <row r="416" spans="1:62" x14ac:dyDescent="0.2">
      <c r="A416" s="5" t="s">
        <v>340</v>
      </c>
      <c r="B416" s="5" t="s">
        <v>671</v>
      </c>
      <c r="C416" s="135" t="s">
        <v>1055</v>
      </c>
      <c r="D416" s="136"/>
      <c r="E416" s="136"/>
      <c r="F416" s="5" t="s">
        <v>1111</v>
      </c>
      <c r="G416" s="18">
        <v>2</v>
      </c>
      <c r="H416" s="79">
        <v>0</v>
      </c>
      <c r="I416" s="18">
        <f>G416*AO416</f>
        <v>0</v>
      </c>
      <c r="J416" s="18">
        <f>G416*AP416</f>
        <v>0</v>
      </c>
      <c r="K416" s="18">
        <f>G416*H416</f>
        <v>0</v>
      </c>
      <c r="L416" s="29" t="s">
        <v>1127</v>
      </c>
      <c r="Z416" s="34">
        <f>IF(AQ416="5",BJ416,0)</f>
        <v>0</v>
      </c>
      <c r="AB416" s="34">
        <f>IF(AQ416="1",BH416,0)</f>
        <v>0</v>
      </c>
      <c r="AC416" s="34">
        <f>IF(AQ416="1",BI416,0)</f>
        <v>0</v>
      </c>
      <c r="AD416" s="34">
        <f>IF(AQ416="7",BH416,0)</f>
        <v>0</v>
      </c>
      <c r="AE416" s="34">
        <f>IF(AQ416="7",BI416,0)</f>
        <v>0</v>
      </c>
      <c r="AF416" s="34">
        <f>IF(AQ416="2",BH416,0)</f>
        <v>0</v>
      </c>
      <c r="AG416" s="34">
        <f>IF(AQ416="2",BI416,0)</f>
        <v>0</v>
      </c>
      <c r="AH416" s="34">
        <f>IF(AQ416="0",BJ416,0)</f>
        <v>0</v>
      </c>
      <c r="AI416" s="28" t="s">
        <v>1137</v>
      </c>
      <c r="AJ416" s="18">
        <f>IF(AN416=0,K416,0)</f>
        <v>0</v>
      </c>
      <c r="AK416" s="18">
        <f>IF(AN416=15,K416,0)</f>
        <v>0</v>
      </c>
      <c r="AL416" s="18">
        <f>IF(AN416=21,K416,0)</f>
        <v>0</v>
      </c>
      <c r="AN416" s="34">
        <v>21</v>
      </c>
      <c r="AO416" s="34">
        <f>H416*0</f>
        <v>0</v>
      </c>
      <c r="AP416" s="34">
        <f>H416*(1-0)</f>
        <v>0</v>
      </c>
      <c r="AQ416" s="29" t="s">
        <v>7</v>
      </c>
      <c r="AV416" s="34">
        <f>AW416+AX416</f>
        <v>0</v>
      </c>
      <c r="AW416" s="34">
        <f>G416*AO416</f>
        <v>0</v>
      </c>
      <c r="AX416" s="34">
        <f>G416*AP416</f>
        <v>0</v>
      </c>
      <c r="AY416" s="35" t="s">
        <v>1162</v>
      </c>
      <c r="AZ416" s="35" t="s">
        <v>1169</v>
      </c>
      <c r="BA416" s="28" t="s">
        <v>1176</v>
      </c>
      <c r="BC416" s="34">
        <f>AW416+AX416</f>
        <v>0</v>
      </c>
      <c r="BD416" s="34">
        <f>H416/(100-BE416)*100</f>
        <v>0</v>
      </c>
      <c r="BE416" s="34">
        <v>0</v>
      </c>
      <c r="BF416" s="34">
        <f>416</f>
        <v>416</v>
      </c>
      <c r="BH416" s="18">
        <f>G416*AO416</f>
        <v>0</v>
      </c>
      <c r="BI416" s="18">
        <f>G416*AP416</f>
        <v>0</v>
      </c>
      <c r="BJ416" s="18">
        <f>G416*H416</f>
        <v>0</v>
      </c>
    </row>
    <row r="417" spans="1:62" x14ac:dyDescent="0.2">
      <c r="C417" s="131" t="s">
        <v>1049</v>
      </c>
      <c r="D417" s="132"/>
      <c r="E417" s="132"/>
      <c r="H417" s="80"/>
    </row>
    <row r="418" spans="1:62" x14ac:dyDescent="0.2">
      <c r="A418" s="5" t="s">
        <v>341</v>
      </c>
      <c r="B418" s="5" t="s">
        <v>672</v>
      </c>
      <c r="C418" s="135" t="s">
        <v>1056</v>
      </c>
      <c r="D418" s="136"/>
      <c r="E418" s="136"/>
      <c r="F418" s="5" t="s">
        <v>1104</v>
      </c>
      <c r="G418" s="18">
        <v>30</v>
      </c>
      <c r="H418" s="79">
        <v>0</v>
      </c>
      <c r="I418" s="18">
        <f>G418*AO418</f>
        <v>0</v>
      </c>
      <c r="J418" s="18">
        <f>G418*AP418</f>
        <v>0</v>
      </c>
      <c r="K418" s="18">
        <f>G418*H418</f>
        <v>0</v>
      </c>
      <c r="L418" s="29" t="s">
        <v>1127</v>
      </c>
      <c r="Z418" s="34">
        <f>IF(AQ418="5",BJ418,0)</f>
        <v>0</v>
      </c>
      <c r="AB418" s="34">
        <f>IF(AQ418="1",BH418,0)</f>
        <v>0</v>
      </c>
      <c r="AC418" s="34">
        <f>IF(AQ418="1",BI418,0)</f>
        <v>0</v>
      </c>
      <c r="AD418" s="34">
        <f>IF(AQ418="7",BH418,0)</f>
        <v>0</v>
      </c>
      <c r="AE418" s="34">
        <f>IF(AQ418="7",BI418,0)</f>
        <v>0</v>
      </c>
      <c r="AF418" s="34">
        <f>IF(AQ418="2",BH418,0)</f>
        <v>0</v>
      </c>
      <c r="AG418" s="34">
        <f>IF(AQ418="2",BI418,0)</f>
        <v>0</v>
      </c>
      <c r="AH418" s="34">
        <f>IF(AQ418="0",BJ418,0)</f>
        <v>0</v>
      </c>
      <c r="AI418" s="28" t="s">
        <v>1137</v>
      </c>
      <c r="AJ418" s="18">
        <f>IF(AN418=0,K418,0)</f>
        <v>0</v>
      </c>
      <c r="AK418" s="18">
        <f>IF(AN418=15,K418,0)</f>
        <v>0</v>
      </c>
      <c r="AL418" s="18">
        <f>IF(AN418=21,K418,0)</f>
        <v>0</v>
      </c>
      <c r="AN418" s="34">
        <v>21</v>
      </c>
      <c r="AO418" s="34">
        <f>H418*0</f>
        <v>0</v>
      </c>
      <c r="AP418" s="34">
        <f>H418*(1-0)</f>
        <v>0</v>
      </c>
      <c r="AQ418" s="29" t="s">
        <v>7</v>
      </c>
      <c r="AV418" s="34">
        <f>AW418+AX418</f>
        <v>0</v>
      </c>
      <c r="AW418" s="34">
        <f>G418*AO418</f>
        <v>0</v>
      </c>
      <c r="AX418" s="34">
        <f>G418*AP418</f>
        <v>0</v>
      </c>
      <c r="AY418" s="35" t="s">
        <v>1162</v>
      </c>
      <c r="AZ418" s="35" t="s">
        <v>1169</v>
      </c>
      <c r="BA418" s="28" t="s">
        <v>1176</v>
      </c>
      <c r="BC418" s="34">
        <f>AW418+AX418</f>
        <v>0</v>
      </c>
      <c r="BD418" s="34">
        <f>H418/(100-BE418)*100</f>
        <v>0</v>
      </c>
      <c r="BE418" s="34">
        <v>0</v>
      </c>
      <c r="BF418" s="34">
        <f>418</f>
        <v>418</v>
      </c>
      <c r="BH418" s="18">
        <f>G418*AO418</f>
        <v>0</v>
      </c>
      <c r="BI418" s="18">
        <f>G418*AP418</f>
        <v>0</v>
      </c>
      <c r="BJ418" s="18">
        <f>G418*H418</f>
        <v>0</v>
      </c>
    </row>
    <row r="419" spans="1:62" x14ac:dyDescent="0.2">
      <c r="A419" s="5" t="s">
        <v>342</v>
      </c>
      <c r="B419" s="5" t="s">
        <v>673</v>
      </c>
      <c r="C419" s="135" t="s">
        <v>1057</v>
      </c>
      <c r="D419" s="136"/>
      <c r="E419" s="136"/>
      <c r="F419" s="5" t="s">
        <v>1100</v>
      </c>
      <c r="G419" s="18">
        <v>15</v>
      </c>
      <c r="H419" s="79">
        <v>0</v>
      </c>
      <c r="I419" s="18">
        <f>G419*AO419</f>
        <v>0</v>
      </c>
      <c r="J419" s="18">
        <f>G419*AP419</f>
        <v>0</v>
      </c>
      <c r="K419" s="18">
        <f>G419*H419</f>
        <v>0</v>
      </c>
      <c r="L419" s="29" t="s">
        <v>1127</v>
      </c>
      <c r="Z419" s="34">
        <f>IF(AQ419="5",BJ419,0)</f>
        <v>0</v>
      </c>
      <c r="AB419" s="34">
        <f>IF(AQ419="1",BH419,0)</f>
        <v>0</v>
      </c>
      <c r="AC419" s="34">
        <f>IF(AQ419="1",BI419,0)</f>
        <v>0</v>
      </c>
      <c r="AD419" s="34">
        <f>IF(AQ419="7",BH419,0)</f>
        <v>0</v>
      </c>
      <c r="AE419" s="34">
        <f>IF(AQ419="7",BI419,0)</f>
        <v>0</v>
      </c>
      <c r="AF419" s="34">
        <f>IF(AQ419="2",BH419,0)</f>
        <v>0</v>
      </c>
      <c r="AG419" s="34">
        <f>IF(AQ419="2",BI419,0)</f>
        <v>0</v>
      </c>
      <c r="AH419" s="34">
        <f>IF(AQ419="0",BJ419,0)</f>
        <v>0</v>
      </c>
      <c r="AI419" s="28" t="s">
        <v>1137</v>
      </c>
      <c r="AJ419" s="18">
        <f>IF(AN419=0,K419,0)</f>
        <v>0</v>
      </c>
      <c r="AK419" s="18">
        <f>IF(AN419=15,K419,0)</f>
        <v>0</v>
      </c>
      <c r="AL419" s="18">
        <f>IF(AN419=21,K419,0)</f>
        <v>0</v>
      </c>
      <c r="AN419" s="34">
        <v>21</v>
      </c>
      <c r="AO419" s="34">
        <f>H419*0</f>
        <v>0</v>
      </c>
      <c r="AP419" s="34">
        <f>H419*(1-0)</f>
        <v>0</v>
      </c>
      <c r="AQ419" s="29" t="s">
        <v>7</v>
      </c>
      <c r="AV419" s="34">
        <f>AW419+AX419</f>
        <v>0</v>
      </c>
      <c r="AW419" s="34">
        <f>G419*AO419</f>
        <v>0</v>
      </c>
      <c r="AX419" s="34">
        <f>G419*AP419</f>
        <v>0</v>
      </c>
      <c r="AY419" s="35" t="s">
        <v>1162</v>
      </c>
      <c r="AZ419" s="35" t="s">
        <v>1169</v>
      </c>
      <c r="BA419" s="28" t="s">
        <v>1176</v>
      </c>
      <c r="BC419" s="34">
        <f>AW419+AX419</f>
        <v>0</v>
      </c>
      <c r="BD419" s="34">
        <f>H419/(100-BE419)*100</f>
        <v>0</v>
      </c>
      <c r="BE419" s="34">
        <v>0</v>
      </c>
      <c r="BF419" s="34">
        <f>419</f>
        <v>419</v>
      </c>
      <c r="BH419" s="18">
        <f>G419*AO419</f>
        <v>0</v>
      </c>
      <c r="BI419" s="18">
        <f>G419*AP419</f>
        <v>0</v>
      </c>
      <c r="BJ419" s="18">
        <f>G419*H419</f>
        <v>0</v>
      </c>
    </row>
    <row r="420" spans="1:62" x14ac:dyDescent="0.2">
      <c r="A420" s="5" t="s">
        <v>343</v>
      </c>
      <c r="B420" s="5" t="s">
        <v>674</v>
      </c>
      <c r="C420" s="135" t="s">
        <v>1058</v>
      </c>
      <c r="D420" s="136"/>
      <c r="E420" s="136"/>
      <c r="F420" s="5" t="s">
        <v>1111</v>
      </c>
      <c r="G420" s="18">
        <v>2</v>
      </c>
      <c r="H420" s="79">
        <v>0</v>
      </c>
      <c r="I420" s="18">
        <f>G420*AO420</f>
        <v>0</v>
      </c>
      <c r="J420" s="18">
        <f>G420*AP420</f>
        <v>0</v>
      </c>
      <c r="K420" s="18">
        <f>G420*H420</f>
        <v>0</v>
      </c>
      <c r="L420" s="29" t="s">
        <v>1127</v>
      </c>
      <c r="Z420" s="34">
        <f>IF(AQ420="5",BJ420,0)</f>
        <v>0</v>
      </c>
      <c r="AB420" s="34">
        <f>IF(AQ420="1",BH420,0)</f>
        <v>0</v>
      </c>
      <c r="AC420" s="34">
        <f>IF(AQ420="1",BI420,0)</f>
        <v>0</v>
      </c>
      <c r="AD420" s="34">
        <f>IF(AQ420="7",BH420,0)</f>
        <v>0</v>
      </c>
      <c r="AE420" s="34">
        <f>IF(AQ420="7",BI420,0)</f>
        <v>0</v>
      </c>
      <c r="AF420" s="34">
        <f>IF(AQ420="2",BH420,0)</f>
        <v>0</v>
      </c>
      <c r="AG420" s="34">
        <f>IF(AQ420="2",BI420,0)</f>
        <v>0</v>
      </c>
      <c r="AH420" s="34">
        <f>IF(AQ420="0",BJ420,0)</f>
        <v>0</v>
      </c>
      <c r="AI420" s="28" t="s">
        <v>1137</v>
      </c>
      <c r="AJ420" s="18">
        <f>IF(AN420=0,K420,0)</f>
        <v>0</v>
      </c>
      <c r="AK420" s="18">
        <f>IF(AN420=15,K420,0)</f>
        <v>0</v>
      </c>
      <c r="AL420" s="18">
        <f>IF(AN420=21,K420,0)</f>
        <v>0</v>
      </c>
      <c r="AN420" s="34">
        <v>21</v>
      </c>
      <c r="AO420" s="34">
        <f>H420*0</f>
        <v>0</v>
      </c>
      <c r="AP420" s="34">
        <f>H420*(1-0)</f>
        <v>0</v>
      </c>
      <c r="AQ420" s="29" t="s">
        <v>7</v>
      </c>
      <c r="AV420" s="34">
        <f>AW420+AX420</f>
        <v>0</v>
      </c>
      <c r="AW420" s="34">
        <f>G420*AO420</f>
        <v>0</v>
      </c>
      <c r="AX420" s="34">
        <f>G420*AP420</f>
        <v>0</v>
      </c>
      <c r="AY420" s="35" t="s">
        <v>1162</v>
      </c>
      <c r="AZ420" s="35" t="s">
        <v>1169</v>
      </c>
      <c r="BA420" s="28" t="s">
        <v>1176</v>
      </c>
      <c r="BC420" s="34">
        <f>AW420+AX420</f>
        <v>0</v>
      </c>
      <c r="BD420" s="34">
        <f>H420/(100-BE420)*100</f>
        <v>0</v>
      </c>
      <c r="BE420" s="34">
        <v>0</v>
      </c>
      <c r="BF420" s="34">
        <f>420</f>
        <v>420</v>
      </c>
      <c r="BH420" s="18">
        <f>G420*AO420</f>
        <v>0</v>
      </c>
      <c r="BI420" s="18">
        <f>G420*AP420</f>
        <v>0</v>
      </c>
      <c r="BJ420" s="18">
        <f>G420*H420</f>
        <v>0</v>
      </c>
    </row>
    <row r="421" spans="1:62" x14ac:dyDescent="0.2">
      <c r="A421" s="7"/>
      <c r="B421" s="15"/>
      <c r="C421" s="150" t="s">
        <v>1059</v>
      </c>
      <c r="D421" s="151"/>
      <c r="E421" s="151"/>
      <c r="F421" s="7" t="s">
        <v>6</v>
      </c>
      <c r="G421" s="7" t="s">
        <v>6</v>
      </c>
      <c r="H421" s="7" t="s">
        <v>6</v>
      </c>
      <c r="I421" s="38">
        <f>I422+I443</f>
        <v>0</v>
      </c>
      <c r="J421" s="38">
        <f>J422+J443</f>
        <v>0</v>
      </c>
      <c r="K421" s="38">
        <f>K422+K443</f>
        <v>0</v>
      </c>
      <c r="L421" s="31"/>
    </row>
    <row r="422" spans="1:62" x14ac:dyDescent="0.2">
      <c r="A422" s="4"/>
      <c r="B422" s="14" t="s">
        <v>675</v>
      </c>
      <c r="C422" s="133" t="s">
        <v>1060</v>
      </c>
      <c r="D422" s="134"/>
      <c r="E422" s="134"/>
      <c r="F422" s="4" t="s">
        <v>6</v>
      </c>
      <c r="G422" s="4" t="s">
        <v>6</v>
      </c>
      <c r="H422" s="4" t="s">
        <v>6</v>
      </c>
      <c r="I422" s="37">
        <f>SUM(I423:I441)</f>
        <v>0</v>
      </c>
      <c r="J422" s="37">
        <f>SUM(J423:J441)</f>
        <v>0</v>
      </c>
      <c r="K422" s="37">
        <f>SUM(K423:K441)</f>
        <v>0</v>
      </c>
      <c r="L422" s="28"/>
      <c r="AI422" s="28" t="s">
        <v>1138</v>
      </c>
      <c r="AS422" s="37">
        <f>SUM(AJ423:AJ441)</f>
        <v>0</v>
      </c>
      <c r="AT422" s="37">
        <f>SUM(AK423:AK441)</f>
        <v>0</v>
      </c>
      <c r="AU422" s="37">
        <f>SUM(AL423:AL441)</f>
        <v>0</v>
      </c>
    </row>
    <row r="423" spans="1:62" x14ac:dyDescent="0.2">
      <c r="A423" s="5" t="s">
        <v>344</v>
      </c>
      <c r="B423" s="5" t="s">
        <v>676</v>
      </c>
      <c r="C423" s="135" t="s">
        <v>1061</v>
      </c>
      <c r="D423" s="136"/>
      <c r="E423" s="136"/>
      <c r="F423" s="5" t="s">
        <v>1099</v>
      </c>
      <c r="G423" s="18">
        <v>1</v>
      </c>
      <c r="H423" s="79">
        <v>0</v>
      </c>
      <c r="I423" s="18">
        <f>G423*AO423</f>
        <v>0</v>
      </c>
      <c r="J423" s="18">
        <f>G423*AP423</f>
        <v>0</v>
      </c>
      <c r="K423" s="18">
        <f>G423*H423</f>
        <v>0</v>
      </c>
      <c r="L423" s="29" t="s">
        <v>1127</v>
      </c>
      <c r="Z423" s="34">
        <f>IF(AQ423="5",BJ423,0)</f>
        <v>0</v>
      </c>
      <c r="AB423" s="34">
        <f>IF(AQ423="1",BH423,0)</f>
        <v>0</v>
      </c>
      <c r="AC423" s="34">
        <f>IF(AQ423="1",BI423,0)</f>
        <v>0</v>
      </c>
      <c r="AD423" s="34">
        <f>IF(AQ423="7",BH423,0)</f>
        <v>0</v>
      </c>
      <c r="AE423" s="34">
        <f>IF(AQ423="7",BI423,0)</f>
        <v>0</v>
      </c>
      <c r="AF423" s="34">
        <f>IF(AQ423="2",BH423,0)</f>
        <v>0</v>
      </c>
      <c r="AG423" s="34">
        <f>IF(AQ423="2",BI423,0)</f>
        <v>0</v>
      </c>
      <c r="AH423" s="34">
        <f>IF(AQ423="0",BJ423,0)</f>
        <v>0</v>
      </c>
      <c r="AI423" s="28" t="s">
        <v>1138</v>
      </c>
      <c r="AJ423" s="18">
        <f>IF(AN423=0,K423,0)</f>
        <v>0</v>
      </c>
      <c r="AK423" s="18">
        <f>IF(AN423=15,K423,0)</f>
        <v>0</v>
      </c>
      <c r="AL423" s="18">
        <f>IF(AN423=21,K423,0)</f>
        <v>0</v>
      </c>
      <c r="AN423" s="34">
        <v>21</v>
      </c>
      <c r="AO423" s="34">
        <f>H423*0</f>
        <v>0</v>
      </c>
      <c r="AP423" s="34">
        <f>H423*(1-0)</f>
        <v>0</v>
      </c>
      <c r="AQ423" s="29" t="s">
        <v>7</v>
      </c>
      <c r="AV423" s="34">
        <f>AW423+AX423</f>
        <v>0</v>
      </c>
      <c r="AW423" s="34">
        <f>G423*AO423</f>
        <v>0</v>
      </c>
      <c r="AX423" s="34">
        <f>G423*AP423</f>
        <v>0</v>
      </c>
      <c r="AY423" s="35" t="s">
        <v>1163</v>
      </c>
      <c r="AZ423" s="35" t="s">
        <v>1175</v>
      </c>
      <c r="BA423" s="28" t="s">
        <v>1177</v>
      </c>
      <c r="BC423" s="34">
        <f>AW423+AX423</f>
        <v>0</v>
      </c>
      <c r="BD423" s="34">
        <f>H423/(100-BE423)*100</f>
        <v>0</v>
      </c>
      <c r="BE423" s="34">
        <v>0</v>
      </c>
      <c r="BF423" s="34">
        <f>423</f>
        <v>423</v>
      </c>
      <c r="BH423" s="18">
        <f>G423*AO423</f>
        <v>0</v>
      </c>
      <c r="BI423" s="18">
        <f>G423*AP423</f>
        <v>0</v>
      </c>
      <c r="BJ423" s="18">
        <f>G423*H423</f>
        <v>0</v>
      </c>
    </row>
    <row r="424" spans="1:62" x14ac:dyDescent="0.2">
      <c r="C424" s="131" t="s">
        <v>1062</v>
      </c>
      <c r="D424" s="132"/>
      <c r="E424" s="132"/>
      <c r="H424" s="80"/>
    </row>
    <row r="425" spans="1:62" x14ac:dyDescent="0.2">
      <c r="A425" s="5" t="s">
        <v>345</v>
      </c>
      <c r="B425" s="5" t="s">
        <v>677</v>
      </c>
      <c r="C425" s="135" t="s">
        <v>1063</v>
      </c>
      <c r="D425" s="136"/>
      <c r="E425" s="136"/>
      <c r="F425" s="5" t="s">
        <v>1099</v>
      </c>
      <c r="G425" s="18">
        <v>1</v>
      </c>
      <c r="H425" s="79">
        <v>0</v>
      </c>
      <c r="I425" s="18">
        <f>G425*AO425</f>
        <v>0</v>
      </c>
      <c r="J425" s="18">
        <f>G425*AP425</f>
        <v>0</v>
      </c>
      <c r="K425" s="18">
        <f>G425*H425</f>
        <v>0</v>
      </c>
      <c r="L425" s="29" t="s">
        <v>1127</v>
      </c>
      <c r="Z425" s="34">
        <f>IF(AQ425="5",BJ425,0)</f>
        <v>0</v>
      </c>
      <c r="AB425" s="34">
        <f>IF(AQ425="1",BH425,0)</f>
        <v>0</v>
      </c>
      <c r="AC425" s="34">
        <f>IF(AQ425="1",BI425,0)</f>
        <v>0</v>
      </c>
      <c r="AD425" s="34">
        <f>IF(AQ425="7",BH425,0)</f>
        <v>0</v>
      </c>
      <c r="AE425" s="34">
        <f>IF(AQ425="7",BI425,0)</f>
        <v>0</v>
      </c>
      <c r="AF425" s="34">
        <f>IF(AQ425="2",BH425,0)</f>
        <v>0</v>
      </c>
      <c r="AG425" s="34">
        <f>IF(AQ425="2",BI425,0)</f>
        <v>0</v>
      </c>
      <c r="AH425" s="34">
        <f>IF(AQ425="0",BJ425,0)</f>
        <v>0</v>
      </c>
      <c r="AI425" s="28" t="s">
        <v>1138</v>
      </c>
      <c r="AJ425" s="18">
        <f>IF(AN425=0,K425,0)</f>
        <v>0</v>
      </c>
      <c r="AK425" s="18">
        <f>IF(AN425=15,K425,0)</f>
        <v>0</v>
      </c>
      <c r="AL425" s="18">
        <f>IF(AN425=21,K425,0)</f>
        <v>0</v>
      </c>
      <c r="AN425" s="34">
        <v>21</v>
      </c>
      <c r="AO425" s="34">
        <f>H425*0</f>
        <v>0</v>
      </c>
      <c r="AP425" s="34">
        <f>H425*(1-0)</f>
        <v>0</v>
      </c>
      <c r="AQ425" s="29" t="s">
        <v>7</v>
      </c>
      <c r="AV425" s="34">
        <f>AW425+AX425</f>
        <v>0</v>
      </c>
      <c r="AW425" s="34">
        <f>G425*AO425</f>
        <v>0</v>
      </c>
      <c r="AX425" s="34">
        <f>G425*AP425</f>
        <v>0</v>
      </c>
      <c r="AY425" s="35" t="s">
        <v>1163</v>
      </c>
      <c r="AZ425" s="35" t="s">
        <v>1175</v>
      </c>
      <c r="BA425" s="28" t="s">
        <v>1177</v>
      </c>
      <c r="BC425" s="34">
        <f>AW425+AX425</f>
        <v>0</v>
      </c>
      <c r="BD425" s="34">
        <f>H425/(100-BE425)*100</f>
        <v>0</v>
      </c>
      <c r="BE425" s="34">
        <v>0</v>
      </c>
      <c r="BF425" s="34">
        <f>425</f>
        <v>425</v>
      </c>
      <c r="BH425" s="18">
        <f>G425*AO425</f>
        <v>0</v>
      </c>
      <c r="BI425" s="18">
        <f>G425*AP425</f>
        <v>0</v>
      </c>
      <c r="BJ425" s="18">
        <f>G425*H425</f>
        <v>0</v>
      </c>
    </row>
    <row r="426" spans="1:62" x14ac:dyDescent="0.2">
      <c r="C426" s="131" t="s">
        <v>1316</v>
      </c>
      <c r="D426" s="132"/>
      <c r="E426" s="132"/>
      <c r="H426" s="80"/>
    </row>
    <row r="427" spans="1:62" x14ac:dyDescent="0.2">
      <c r="A427" s="5" t="s">
        <v>346</v>
      </c>
      <c r="B427" s="5" t="s">
        <v>678</v>
      </c>
      <c r="C427" s="135" t="s">
        <v>1064</v>
      </c>
      <c r="D427" s="136"/>
      <c r="E427" s="136"/>
      <c r="F427" s="5" t="s">
        <v>1099</v>
      </c>
      <c r="G427" s="18">
        <v>1</v>
      </c>
      <c r="H427" s="79">
        <v>0</v>
      </c>
      <c r="I427" s="18">
        <f>G427*AO427</f>
        <v>0</v>
      </c>
      <c r="J427" s="18">
        <f>G427*AP427</f>
        <v>0</v>
      </c>
      <c r="K427" s="18">
        <f>G427*H427</f>
        <v>0</v>
      </c>
      <c r="L427" s="29" t="s">
        <v>1127</v>
      </c>
      <c r="Z427" s="34">
        <f>IF(AQ427="5",BJ427,0)</f>
        <v>0</v>
      </c>
      <c r="AB427" s="34">
        <f>IF(AQ427="1",BH427,0)</f>
        <v>0</v>
      </c>
      <c r="AC427" s="34">
        <f>IF(AQ427="1",BI427,0)</f>
        <v>0</v>
      </c>
      <c r="AD427" s="34">
        <f>IF(AQ427="7",BH427,0)</f>
        <v>0</v>
      </c>
      <c r="AE427" s="34">
        <f>IF(AQ427="7",BI427,0)</f>
        <v>0</v>
      </c>
      <c r="AF427" s="34">
        <f>IF(AQ427="2",BH427,0)</f>
        <v>0</v>
      </c>
      <c r="AG427" s="34">
        <f>IF(AQ427="2",BI427,0)</f>
        <v>0</v>
      </c>
      <c r="AH427" s="34">
        <f>IF(AQ427="0",BJ427,0)</f>
        <v>0</v>
      </c>
      <c r="AI427" s="28" t="s">
        <v>1138</v>
      </c>
      <c r="AJ427" s="18">
        <f>IF(AN427=0,K427,0)</f>
        <v>0</v>
      </c>
      <c r="AK427" s="18">
        <f>IF(AN427=15,K427,0)</f>
        <v>0</v>
      </c>
      <c r="AL427" s="18">
        <f>IF(AN427=21,K427,0)</f>
        <v>0</v>
      </c>
      <c r="AN427" s="34">
        <v>21</v>
      </c>
      <c r="AO427" s="34">
        <f>H427*0</f>
        <v>0</v>
      </c>
      <c r="AP427" s="34">
        <f>H427*(1-0)</f>
        <v>0</v>
      </c>
      <c r="AQ427" s="29" t="s">
        <v>7</v>
      </c>
      <c r="AV427" s="34">
        <f>AW427+AX427</f>
        <v>0</v>
      </c>
      <c r="AW427" s="34">
        <f>G427*AO427</f>
        <v>0</v>
      </c>
      <c r="AX427" s="34">
        <f>G427*AP427</f>
        <v>0</v>
      </c>
      <c r="AY427" s="35" t="s">
        <v>1163</v>
      </c>
      <c r="AZ427" s="35" t="s">
        <v>1175</v>
      </c>
      <c r="BA427" s="28" t="s">
        <v>1177</v>
      </c>
      <c r="BC427" s="34">
        <f>AW427+AX427</f>
        <v>0</v>
      </c>
      <c r="BD427" s="34">
        <f>H427/(100-BE427)*100</f>
        <v>0</v>
      </c>
      <c r="BE427" s="34">
        <v>0</v>
      </c>
      <c r="BF427" s="34">
        <f>427</f>
        <v>427</v>
      </c>
      <c r="BH427" s="18">
        <f>G427*AO427</f>
        <v>0</v>
      </c>
      <c r="BI427" s="18">
        <f>G427*AP427</f>
        <v>0</v>
      </c>
      <c r="BJ427" s="18">
        <f>G427*H427</f>
        <v>0</v>
      </c>
    </row>
    <row r="428" spans="1:62" x14ac:dyDescent="0.2">
      <c r="C428" s="131" t="s">
        <v>1065</v>
      </c>
      <c r="D428" s="132"/>
      <c r="E428" s="132"/>
      <c r="H428" s="80"/>
    </row>
    <row r="429" spans="1:62" x14ac:dyDescent="0.2">
      <c r="A429" s="5" t="s">
        <v>347</v>
      </c>
      <c r="B429" s="5" t="s">
        <v>679</v>
      </c>
      <c r="C429" s="135" t="s">
        <v>1066</v>
      </c>
      <c r="D429" s="136"/>
      <c r="E429" s="136"/>
      <c r="F429" s="5" t="s">
        <v>1099</v>
      </c>
      <c r="G429" s="18">
        <v>1</v>
      </c>
      <c r="H429" s="79">
        <v>0</v>
      </c>
      <c r="I429" s="18">
        <f>G429*AO429</f>
        <v>0</v>
      </c>
      <c r="J429" s="18">
        <f>G429*AP429</f>
        <v>0</v>
      </c>
      <c r="K429" s="18">
        <f>G429*H429</f>
        <v>0</v>
      </c>
      <c r="L429" s="29" t="s">
        <v>1127</v>
      </c>
      <c r="Z429" s="34">
        <f>IF(AQ429="5",BJ429,0)</f>
        <v>0</v>
      </c>
      <c r="AB429" s="34">
        <f>IF(AQ429="1",BH429,0)</f>
        <v>0</v>
      </c>
      <c r="AC429" s="34">
        <f>IF(AQ429="1",BI429,0)</f>
        <v>0</v>
      </c>
      <c r="AD429" s="34">
        <f>IF(AQ429="7",BH429,0)</f>
        <v>0</v>
      </c>
      <c r="AE429" s="34">
        <f>IF(AQ429="7",BI429,0)</f>
        <v>0</v>
      </c>
      <c r="AF429" s="34">
        <f>IF(AQ429="2",BH429,0)</f>
        <v>0</v>
      </c>
      <c r="AG429" s="34">
        <f>IF(AQ429="2",BI429,0)</f>
        <v>0</v>
      </c>
      <c r="AH429" s="34">
        <f>IF(AQ429="0",BJ429,0)</f>
        <v>0</v>
      </c>
      <c r="AI429" s="28" t="s">
        <v>1138</v>
      </c>
      <c r="AJ429" s="18">
        <f>IF(AN429=0,K429,0)</f>
        <v>0</v>
      </c>
      <c r="AK429" s="18">
        <f>IF(AN429=15,K429,0)</f>
        <v>0</v>
      </c>
      <c r="AL429" s="18">
        <f>IF(AN429=21,K429,0)</f>
        <v>0</v>
      </c>
      <c r="AN429" s="34">
        <v>21</v>
      </c>
      <c r="AO429" s="34">
        <f>H429*0</f>
        <v>0</v>
      </c>
      <c r="AP429" s="34">
        <f>H429*(1-0)</f>
        <v>0</v>
      </c>
      <c r="AQ429" s="29" t="s">
        <v>7</v>
      </c>
      <c r="AV429" s="34">
        <f>AW429+AX429</f>
        <v>0</v>
      </c>
      <c r="AW429" s="34">
        <f>G429*AO429</f>
        <v>0</v>
      </c>
      <c r="AX429" s="34">
        <f>G429*AP429</f>
        <v>0</v>
      </c>
      <c r="AY429" s="35" t="s">
        <v>1163</v>
      </c>
      <c r="AZ429" s="35" t="s">
        <v>1175</v>
      </c>
      <c r="BA429" s="28" t="s">
        <v>1177</v>
      </c>
      <c r="BC429" s="34">
        <f>AW429+AX429</f>
        <v>0</v>
      </c>
      <c r="BD429" s="34">
        <f>H429/(100-BE429)*100</f>
        <v>0</v>
      </c>
      <c r="BE429" s="34">
        <v>0</v>
      </c>
      <c r="BF429" s="34">
        <f>429</f>
        <v>429</v>
      </c>
      <c r="BH429" s="18">
        <f>G429*AO429</f>
        <v>0</v>
      </c>
      <c r="BI429" s="18">
        <f>G429*AP429</f>
        <v>0</v>
      </c>
      <c r="BJ429" s="18">
        <f>G429*H429</f>
        <v>0</v>
      </c>
    </row>
    <row r="430" spans="1:62" x14ac:dyDescent="0.2">
      <c r="C430" s="131" t="s">
        <v>1067</v>
      </c>
      <c r="D430" s="132"/>
      <c r="E430" s="132"/>
      <c r="H430" s="80"/>
    </row>
    <row r="431" spans="1:62" x14ac:dyDescent="0.2">
      <c r="A431" s="5" t="s">
        <v>348</v>
      </c>
      <c r="B431" s="5" t="s">
        <v>680</v>
      </c>
      <c r="C431" s="135" t="s">
        <v>1068</v>
      </c>
      <c r="D431" s="136"/>
      <c r="E431" s="136"/>
      <c r="F431" s="5" t="s">
        <v>1099</v>
      </c>
      <c r="G431" s="18">
        <v>1</v>
      </c>
      <c r="H431" s="79">
        <v>0</v>
      </c>
      <c r="I431" s="18">
        <f>G431*AO431</f>
        <v>0</v>
      </c>
      <c r="J431" s="18">
        <f>G431*AP431</f>
        <v>0</v>
      </c>
      <c r="K431" s="18">
        <f>G431*H431</f>
        <v>0</v>
      </c>
      <c r="L431" s="29" t="s">
        <v>1127</v>
      </c>
      <c r="Z431" s="34">
        <f>IF(AQ431="5",BJ431,0)</f>
        <v>0</v>
      </c>
      <c r="AB431" s="34">
        <f>IF(AQ431="1",BH431,0)</f>
        <v>0</v>
      </c>
      <c r="AC431" s="34">
        <f>IF(AQ431="1",BI431,0)</f>
        <v>0</v>
      </c>
      <c r="AD431" s="34">
        <f>IF(AQ431="7",BH431,0)</f>
        <v>0</v>
      </c>
      <c r="AE431" s="34">
        <f>IF(AQ431="7",BI431,0)</f>
        <v>0</v>
      </c>
      <c r="AF431" s="34">
        <f>IF(AQ431="2",BH431,0)</f>
        <v>0</v>
      </c>
      <c r="AG431" s="34">
        <f>IF(AQ431="2",BI431,0)</f>
        <v>0</v>
      </c>
      <c r="AH431" s="34">
        <f>IF(AQ431="0",BJ431,0)</f>
        <v>0</v>
      </c>
      <c r="AI431" s="28" t="s">
        <v>1138</v>
      </c>
      <c r="AJ431" s="18">
        <f>IF(AN431=0,K431,0)</f>
        <v>0</v>
      </c>
      <c r="AK431" s="18">
        <f>IF(AN431=15,K431,0)</f>
        <v>0</v>
      </c>
      <c r="AL431" s="18">
        <f>IF(AN431=21,K431,0)</f>
        <v>0</v>
      </c>
      <c r="AN431" s="34">
        <v>21</v>
      </c>
      <c r="AO431" s="34">
        <f>H431*0</f>
        <v>0</v>
      </c>
      <c r="AP431" s="34">
        <f>H431*(1-0)</f>
        <v>0</v>
      </c>
      <c r="AQ431" s="29" t="s">
        <v>7</v>
      </c>
      <c r="AV431" s="34">
        <f>AW431+AX431</f>
        <v>0</v>
      </c>
      <c r="AW431" s="34">
        <f>G431*AO431</f>
        <v>0</v>
      </c>
      <c r="AX431" s="34">
        <f>G431*AP431</f>
        <v>0</v>
      </c>
      <c r="AY431" s="35" t="s">
        <v>1163</v>
      </c>
      <c r="AZ431" s="35" t="s">
        <v>1175</v>
      </c>
      <c r="BA431" s="28" t="s">
        <v>1177</v>
      </c>
      <c r="BC431" s="34">
        <f>AW431+AX431</f>
        <v>0</v>
      </c>
      <c r="BD431" s="34">
        <f>H431/(100-BE431)*100</f>
        <v>0</v>
      </c>
      <c r="BE431" s="34">
        <v>0</v>
      </c>
      <c r="BF431" s="34">
        <f>431</f>
        <v>431</v>
      </c>
      <c r="BH431" s="18">
        <f>G431*AO431</f>
        <v>0</v>
      </c>
      <c r="BI431" s="18">
        <f>G431*AP431</f>
        <v>0</v>
      </c>
      <c r="BJ431" s="18">
        <f>G431*H431</f>
        <v>0</v>
      </c>
    </row>
    <row r="432" spans="1:62" x14ac:dyDescent="0.2">
      <c r="C432" s="131" t="s">
        <v>1069</v>
      </c>
      <c r="D432" s="132"/>
      <c r="E432" s="132"/>
      <c r="H432" s="80"/>
    </row>
    <row r="433" spans="1:62" x14ac:dyDescent="0.2">
      <c r="A433" s="5" t="s">
        <v>349</v>
      </c>
      <c r="B433" s="5" t="s">
        <v>681</v>
      </c>
      <c r="C433" s="135" t="s">
        <v>1070</v>
      </c>
      <c r="D433" s="136"/>
      <c r="E433" s="136"/>
      <c r="F433" s="5" t="s">
        <v>1099</v>
      </c>
      <c r="G433" s="18">
        <v>1</v>
      </c>
      <c r="H433" s="79">
        <v>0</v>
      </c>
      <c r="I433" s="18">
        <f>G433*AO433</f>
        <v>0</v>
      </c>
      <c r="J433" s="18">
        <f>G433*AP433</f>
        <v>0</v>
      </c>
      <c r="K433" s="18">
        <f>G433*H433</f>
        <v>0</v>
      </c>
      <c r="L433" s="29" t="s">
        <v>1127</v>
      </c>
      <c r="Z433" s="34">
        <f>IF(AQ433="5",BJ433,0)</f>
        <v>0</v>
      </c>
      <c r="AB433" s="34">
        <f>IF(AQ433="1",BH433,0)</f>
        <v>0</v>
      </c>
      <c r="AC433" s="34">
        <f>IF(AQ433="1",BI433,0)</f>
        <v>0</v>
      </c>
      <c r="AD433" s="34">
        <f>IF(AQ433="7",BH433,0)</f>
        <v>0</v>
      </c>
      <c r="AE433" s="34">
        <f>IF(AQ433="7",BI433,0)</f>
        <v>0</v>
      </c>
      <c r="AF433" s="34">
        <f>IF(AQ433="2",BH433,0)</f>
        <v>0</v>
      </c>
      <c r="AG433" s="34">
        <f>IF(AQ433="2",BI433,0)</f>
        <v>0</v>
      </c>
      <c r="AH433" s="34">
        <f>IF(AQ433="0",BJ433,0)</f>
        <v>0</v>
      </c>
      <c r="AI433" s="28" t="s">
        <v>1138</v>
      </c>
      <c r="AJ433" s="18">
        <f>IF(AN433=0,K433,0)</f>
        <v>0</v>
      </c>
      <c r="AK433" s="18">
        <f>IF(AN433=15,K433,0)</f>
        <v>0</v>
      </c>
      <c r="AL433" s="18">
        <f>IF(AN433=21,K433,0)</f>
        <v>0</v>
      </c>
      <c r="AN433" s="34">
        <v>21</v>
      </c>
      <c r="AO433" s="34">
        <f>H433*0</f>
        <v>0</v>
      </c>
      <c r="AP433" s="34">
        <f>H433*(1-0)</f>
        <v>0</v>
      </c>
      <c r="AQ433" s="29" t="s">
        <v>7</v>
      </c>
      <c r="AV433" s="34">
        <f>AW433+AX433</f>
        <v>0</v>
      </c>
      <c r="AW433" s="34">
        <f>G433*AO433</f>
        <v>0</v>
      </c>
      <c r="AX433" s="34">
        <f>G433*AP433</f>
        <v>0</v>
      </c>
      <c r="AY433" s="35" t="s">
        <v>1163</v>
      </c>
      <c r="AZ433" s="35" t="s">
        <v>1175</v>
      </c>
      <c r="BA433" s="28" t="s">
        <v>1177</v>
      </c>
      <c r="BC433" s="34">
        <f>AW433+AX433</f>
        <v>0</v>
      </c>
      <c r="BD433" s="34">
        <f>H433/(100-BE433)*100</f>
        <v>0</v>
      </c>
      <c r="BE433" s="34">
        <v>0</v>
      </c>
      <c r="BF433" s="34">
        <f>433</f>
        <v>433</v>
      </c>
      <c r="BH433" s="18">
        <f>G433*AO433</f>
        <v>0</v>
      </c>
      <c r="BI433" s="18">
        <f>G433*AP433</f>
        <v>0</v>
      </c>
      <c r="BJ433" s="18">
        <f>G433*H433</f>
        <v>0</v>
      </c>
    </row>
    <row r="434" spans="1:62" x14ac:dyDescent="0.2">
      <c r="C434" s="131" t="s">
        <v>1071</v>
      </c>
      <c r="D434" s="132"/>
      <c r="E434" s="132"/>
      <c r="H434" s="80"/>
    </row>
    <row r="435" spans="1:62" x14ac:dyDescent="0.2">
      <c r="A435" s="5" t="s">
        <v>350</v>
      </c>
      <c r="B435" s="5" t="s">
        <v>682</v>
      </c>
      <c r="C435" s="135" t="s">
        <v>1072</v>
      </c>
      <c r="D435" s="136"/>
      <c r="E435" s="136"/>
      <c r="F435" s="5" t="s">
        <v>1099</v>
      </c>
      <c r="G435" s="18">
        <v>1</v>
      </c>
      <c r="H435" s="79">
        <v>0</v>
      </c>
      <c r="I435" s="18">
        <f>G435*AO435</f>
        <v>0</v>
      </c>
      <c r="J435" s="18">
        <f>G435*AP435</f>
        <v>0</v>
      </c>
      <c r="K435" s="18">
        <f>G435*H435</f>
        <v>0</v>
      </c>
      <c r="L435" s="29" t="s">
        <v>1127</v>
      </c>
      <c r="Z435" s="34">
        <f>IF(AQ435="5",BJ435,0)</f>
        <v>0</v>
      </c>
      <c r="AB435" s="34">
        <f>IF(AQ435="1",BH435,0)</f>
        <v>0</v>
      </c>
      <c r="AC435" s="34">
        <f>IF(AQ435="1",BI435,0)</f>
        <v>0</v>
      </c>
      <c r="AD435" s="34">
        <f>IF(AQ435="7",BH435,0)</f>
        <v>0</v>
      </c>
      <c r="AE435" s="34">
        <f>IF(AQ435="7",BI435,0)</f>
        <v>0</v>
      </c>
      <c r="AF435" s="34">
        <f>IF(AQ435="2",BH435,0)</f>
        <v>0</v>
      </c>
      <c r="AG435" s="34">
        <f>IF(AQ435="2",BI435,0)</f>
        <v>0</v>
      </c>
      <c r="AH435" s="34">
        <f>IF(AQ435="0",BJ435,0)</f>
        <v>0</v>
      </c>
      <c r="AI435" s="28" t="s">
        <v>1138</v>
      </c>
      <c r="AJ435" s="18">
        <f>IF(AN435=0,K435,0)</f>
        <v>0</v>
      </c>
      <c r="AK435" s="18">
        <f>IF(AN435=15,K435,0)</f>
        <v>0</v>
      </c>
      <c r="AL435" s="18">
        <f>IF(AN435=21,K435,0)</f>
        <v>0</v>
      </c>
      <c r="AN435" s="34">
        <v>21</v>
      </c>
      <c r="AO435" s="34">
        <f>H435*0</f>
        <v>0</v>
      </c>
      <c r="AP435" s="34">
        <f>H435*(1-0)</f>
        <v>0</v>
      </c>
      <c r="AQ435" s="29" t="s">
        <v>7</v>
      </c>
      <c r="AV435" s="34">
        <f>AW435+AX435</f>
        <v>0</v>
      </c>
      <c r="AW435" s="34">
        <f>G435*AO435</f>
        <v>0</v>
      </c>
      <c r="AX435" s="34">
        <f>G435*AP435</f>
        <v>0</v>
      </c>
      <c r="AY435" s="35" t="s">
        <v>1163</v>
      </c>
      <c r="AZ435" s="35" t="s">
        <v>1175</v>
      </c>
      <c r="BA435" s="28" t="s">
        <v>1177</v>
      </c>
      <c r="BC435" s="34">
        <f>AW435+AX435</f>
        <v>0</v>
      </c>
      <c r="BD435" s="34">
        <f>H435/(100-BE435)*100</f>
        <v>0</v>
      </c>
      <c r="BE435" s="34">
        <v>0</v>
      </c>
      <c r="BF435" s="34">
        <f>435</f>
        <v>435</v>
      </c>
      <c r="BH435" s="18">
        <f>G435*AO435</f>
        <v>0</v>
      </c>
      <c r="BI435" s="18">
        <f>G435*AP435</f>
        <v>0</v>
      </c>
      <c r="BJ435" s="18">
        <f>G435*H435</f>
        <v>0</v>
      </c>
    </row>
    <row r="436" spans="1:62" x14ac:dyDescent="0.2">
      <c r="C436" s="131" t="s">
        <v>1073</v>
      </c>
      <c r="D436" s="132"/>
      <c r="E436" s="132"/>
      <c r="H436" s="80"/>
    </row>
    <row r="437" spans="1:62" x14ac:dyDescent="0.2">
      <c r="A437" s="5" t="s">
        <v>351</v>
      </c>
      <c r="B437" s="5" t="s">
        <v>683</v>
      </c>
      <c r="C437" s="135" t="s">
        <v>1074</v>
      </c>
      <c r="D437" s="136"/>
      <c r="E437" s="136"/>
      <c r="F437" s="5" t="s">
        <v>1099</v>
      </c>
      <c r="G437" s="18">
        <v>0</v>
      </c>
      <c r="H437" s="79">
        <v>0</v>
      </c>
      <c r="I437" s="18">
        <f>G437*AO437</f>
        <v>0</v>
      </c>
      <c r="J437" s="18">
        <f>G437*AP437</f>
        <v>0</v>
      </c>
      <c r="K437" s="18">
        <f>G437*H437</f>
        <v>0</v>
      </c>
      <c r="L437" s="29" t="s">
        <v>1127</v>
      </c>
      <c r="Z437" s="34">
        <f>IF(AQ437="5",BJ437,0)</f>
        <v>0</v>
      </c>
      <c r="AB437" s="34">
        <f>IF(AQ437="1",BH437,0)</f>
        <v>0</v>
      </c>
      <c r="AC437" s="34">
        <f>IF(AQ437="1",BI437,0)</f>
        <v>0</v>
      </c>
      <c r="AD437" s="34">
        <f>IF(AQ437="7",BH437,0)</f>
        <v>0</v>
      </c>
      <c r="AE437" s="34">
        <f>IF(AQ437="7",BI437,0)</f>
        <v>0</v>
      </c>
      <c r="AF437" s="34">
        <f>IF(AQ437="2",BH437,0)</f>
        <v>0</v>
      </c>
      <c r="AG437" s="34">
        <f>IF(AQ437="2",BI437,0)</f>
        <v>0</v>
      </c>
      <c r="AH437" s="34">
        <f>IF(AQ437="0",BJ437,0)</f>
        <v>0</v>
      </c>
      <c r="AI437" s="28" t="s">
        <v>1138</v>
      </c>
      <c r="AJ437" s="18">
        <f>IF(AN437=0,K437,0)</f>
        <v>0</v>
      </c>
      <c r="AK437" s="18">
        <f>IF(AN437=15,K437,0)</f>
        <v>0</v>
      </c>
      <c r="AL437" s="18">
        <f>IF(AN437=21,K437,0)</f>
        <v>0</v>
      </c>
      <c r="AN437" s="34">
        <v>21</v>
      </c>
      <c r="AO437" s="34">
        <f>H437*0</f>
        <v>0</v>
      </c>
      <c r="AP437" s="34">
        <f>H437*(1-0)</f>
        <v>0</v>
      </c>
      <c r="AQ437" s="29" t="s">
        <v>7</v>
      </c>
      <c r="AV437" s="34">
        <f>AW437+AX437</f>
        <v>0</v>
      </c>
      <c r="AW437" s="34">
        <f>G437*AO437</f>
        <v>0</v>
      </c>
      <c r="AX437" s="34">
        <f>G437*AP437</f>
        <v>0</v>
      </c>
      <c r="AY437" s="35" t="s">
        <v>1163</v>
      </c>
      <c r="AZ437" s="35" t="s">
        <v>1175</v>
      </c>
      <c r="BA437" s="28" t="s">
        <v>1177</v>
      </c>
      <c r="BC437" s="34">
        <f>AW437+AX437</f>
        <v>0</v>
      </c>
      <c r="BD437" s="34">
        <f>H437/(100-BE437)*100</f>
        <v>0</v>
      </c>
      <c r="BE437" s="34">
        <v>0</v>
      </c>
      <c r="BF437" s="34">
        <f>437</f>
        <v>437</v>
      </c>
      <c r="BH437" s="18">
        <f>G437*AO437</f>
        <v>0</v>
      </c>
      <c r="BI437" s="18">
        <f>G437*AP437</f>
        <v>0</v>
      </c>
      <c r="BJ437" s="18">
        <f>G437*H437</f>
        <v>0</v>
      </c>
    </row>
    <row r="438" spans="1:62" x14ac:dyDescent="0.2">
      <c r="C438" s="131"/>
      <c r="D438" s="132"/>
      <c r="E438" s="132"/>
      <c r="H438" s="80"/>
    </row>
    <row r="439" spans="1:62" x14ac:dyDescent="0.2">
      <c r="A439" s="5" t="s">
        <v>352</v>
      </c>
      <c r="B439" s="5" t="s">
        <v>684</v>
      </c>
      <c r="C439" s="135" t="s">
        <v>1075</v>
      </c>
      <c r="D439" s="136"/>
      <c r="E439" s="136"/>
      <c r="F439" s="5" t="s">
        <v>1099</v>
      </c>
      <c r="G439" s="18">
        <v>1</v>
      </c>
      <c r="H439" s="79">
        <v>0</v>
      </c>
      <c r="I439" s="18">
        <f>G439*AO439</f>
        <v>0</v>
      </c>
      <c r="J439" s="18">
        <f>G439*AP439</f>
        <v>0</v>
      </c>
      <c r="K439" s="18">
        <f>G439*H439</f>
        <v>0</v>
      </c>
      <c r="L439" s="29" t="s">
        <v>1127</v>
      </c>
      <c r="Z439" s="34">
        <f>IF(AQ439="5",BJ439,0)</f>
        <v>0</v>
      </c>
      <c r="AB439" s="34">
        <f>IF(AQ439="1",BH439,0)</f>
        <v>0</v>
      </c>
      <c r="AC439" s="34">
        <f>IF(AQ439="1",BI439,0)</f>
        <v>0</v>
      </c>
      <c r="AD439" s="34">
        <f>IF(AQ439="7",BH439,0)</f>
        <v>0</v>
      </c>
      <c r="AE439" s="34">
        <f>IF(AQ439="7",BI439,0)</f>
        <v>0</v>
      </c>
      <c r="AF439" s="34">
        <f>IF(AQ439="2",BH439,0)</f>
        <v>0</v>
      </c>
      <c r="AG439" s="34">
        <f>IF(AQ439="2",BI439,0)</f>
        <v>0</v>
      </c>
      <c r="AH439" s="34">
        <f>IF(AQ439="0",BJ439,0)</f>
        <v>0</v>
      </c>
      <c r="AI439" s="28" t="s">
        <v>1138</v>
      </c>
      <c r="AJ439" s="18">
        <f>IF(AN439=0,K439,0)</f>
        <v>0</v>
      </c>
      <c r="AK439" s="18">
        <f>IF(AN439=15,K439,0)</f>
        <v>0</v>
      </c>
      <c r="AL439" s="18">
        <f>IF(AN439=21,K439,0)</f>
        <v>0</v>
      </c>
      <c r="AN439" s="34">
        <v>21</v>
      </c>
      <c r="AO439" s="34">
        <f>H439*0</f>
        <v>0</v>
      </c>
      <c r="AP439" s="34">
        <f>H439*(1-0)</f>
        <v>0</v>
      </c>
      <c r="AQ439" s="29" t="s">
        <v>7</v>
      </c>
      <c r="AV439" s="34">
        <f>AW439+AX439</f>
        <v>0</v>
      </c>
      <c r="AW439" s="34">
        <f>G439*AO439</f>
        <v>0</v>
      </c>
      <c r="AX439" s="34">
        <f>G439*AP439</f>
        <v>0</v>
      </c>
      <c r="AY439" s="35" t="s">
        <v>1163</v>
      </c>
      <c r="AZ439" s="35" t="s">
        <v>1175</v>
      </c>
      <c r="BA439" s="28" t="s">
        <v>1177</v>
      </c>
      <c r="BC439" s="34">
        <f>AW439+AX439</f>
        <v>0</v>
      </c>
      <c r="BD439" s="34">
        <f>H439/(100-BE439)*100</f>
        <v>0</v>
      </c>
      <c r="BE439" s="34">
        <v>0</v>
      </c>
      <c r="BF439" s="34">
        <f>439</f>
        <v>439</v>
      </c>
      <c r="BH439" s="18">
        <f>G439*AO439</f>
        <v>0</v>
      </c>
      <c r="BI439" s="18">
        <f>G439*AP439</f>
        <v>0</v>
      </c>
      <c r="BJ439" s="18">
        <f>G439*H439</f>
        <v>0</v>
      </c>
    </row>
    <row r="440" spans="1:62" x14ac:dyDescent="0.2">
      <c r="C440" s="131" t="s">
        <v>1335</v>
      </c>
      <c r="D440" s="132"/>
      <c r="E440" s="132"/>
      <c r="H440" s="80"/>
    </row>
    <row r="441" spans="1:62" x14ac:dyDescent="0.2">
      <c r="A441" s="5" t="s">
        <v>353</v>
      </c>
      <c r="B441" s="5" t="s">
        <v>685</v>
      </c>
      <c r="C441" s="135" t="s">
        <v>1076</v>
      </c>
      <c r="D441" s="136"/>
      <c r="E441" s="136"/>
      <c r="F441" s="5" t="s">
        <v>1099</v>
      </c>
      <c r="G441" s="18">
        <v>1</v>
      </c>
      <c r="H441" s="79">
        <v>0</v>
      </c>
      <c r="I441" s="18">
        <f>G441*AO441</f>
        <v>0</v>
      </c>
      <c r="J441" s="18">
        <f>G441*AP441</f>
        <v>0</v>
      </c>
      <c r="K441" s="18">
        <f>G441*H441</f>
        <v>0</v>
      </c>
      <c r="L441" s="29" t="s">
        <v>1127</v>
      </c>
      <c r="Z441" s="34">
        <f>IF(AQ441="5",BJ441,0)</f>
        <v>0</v>
      </c>
      <c r="AB441" s="34">
        <f>IF(AQ441="1",BH441,0)</f>
        <v>0</v>
      </c>
      <c r="AC441" s="34">
        <f>IF(AQ441="1",BI441,0)</f>
        <v>0</v>
      </c>
      <c r="AD441" s="34">
        <f>IF(AQ441="7",BH441,0)</f>
        <v>0</v>
      </c>
      <c r="AE441" s="34">
        <f>IF(AQ441="7",BI441,0)</f>
        <v>0</v>
      </c>
      <c r="AF441" s="34">
        <f>IF(AQ441="2",BH441,0)</f>
        <v>0</v>
      </c>
      <c r="AG441" s="34">
        <f>IF(AQ441="2",BI441,0)</f>
        <v>0</v>
      </c>
      <c r="AH441" s="34">
        <f>IF(AQ441="0",BJ441,0)</f>
        <v>0</v>
      </c>
      <c r="AI441" s="28" t="s">
        <v>1138</v>
      </c>
      <c r="AJ441" s="18">
        <f>IF(AN441=0,K441,0)</f>
        <v>0</v>
      </c>
      <c r="AK441" s="18">
        <f>IF(AN441=15,K441,0)</f>
        <v>0</v>
      </c>
      <c r="AL441" s="18">
        <f>IF(AN441=21,K441,0)</f>
        <v>0</v>
      </c>
      <c r="AN441" s="34">
        <v>21</v>
      </c>
      <c r="AO441" s="34">
        <f>H441*0</f>
        <v>0</v>
      </c>
      <c r="AP441" s="34">
        <f>H441*(1-0)</f>
        <v>0</v>
      </c>
      <c r="AQ441" s="29" t="s">
        <v>7</v>
      </c>
      <c r="AV441" s="34">
        <f>AW441+AX441</f>
        <v>0</v>
      </c>
      <c r="AW441" s="34">
        <f>G441*AO441</f>
        <v>0</v>
      </c>
      <c r="AX441" s="34">
        <f>G441*AP441</f>
        <v>0</v>
      </c>
      <c r="AY441" s="35" t="s">
        <v>1163</v>
      </c>
      <c r="AZ441" s="35" t="s">
        <v>1175</v>
      </c>
      <c r="BA441" s="28" t="s">
        <v>1177</v>
      </c>
      <c r="BC441" s="34">
        <f>AW441+AX441</f>
        <v>0</v>
      </c>
      <c r="BD441" s="34">
        <f>H441/(100-BE441)*100</f>
        <v>0</v>
      </c>
      <c r="BE441" s="34">
        <v>0</v>
      </c>
      <c r="BF441" s="34">
        <f>441</f>
        <v>441</v>
      </c>
      <c r="BH441" s="18">
        <f>G441*AO441</f>
        <v>0</v>
      </c>
      <c r="BI441" s="18">
        <f>G441*AP441</f>
        <v>0</v>
      </c>
      <c r="BJ441" s="18">
        <f>G441*H441</f>
        <v>0</v>
      </c>
    </row>
    <row r="442" spans="1:62" x14ac:dyDescent="0.2">
      <c r="C442" s="131" t="s">
        <v>1317</v>
      </c>
      <c r="D442" s="132"/>
      <c r="E442" s="132"/>
      <c r="H442" s="80"/>
    </row>
    <row r="443" spans="1:62" x14ac:dyDescent="0.2">
      <c r="A443" s="4"/>
      <c r="B443" s="14" t="s">
        <v>686</v>
      </c>
      <c r="C443" s="133" t="s">
        <v>1077</v>
      </c>
      <c r="D443" s="134"/>
      <c r="E443" s="134"/>
      <c r="F443" s="4" t="s">
        <v>6</v>
      </c>
      <c r="G443" s="4" t="s">
        <v>6</v>
      </c>
      <c r="H443" s="4" t="s">
        <v>6</v>
      </c>
      <c r="I443" s="37">
        <f>SUM(I444:I461)</f>
        <v>0</v>
      </c>
      <c r="J443" s="37">
        <f>SUM(J444:J461)</f>
        <v>0</v>
      </c>
      <c r="K443" s="37">
        <f>SUM(K444:K461)</f>
        <v>0</v>
      </c>
      <c r="L443" s="28"/>
      <c r="AI443" s="28" t="s">
        <v>1138</v>
      </c>
      <c r="AS443" s="37">
        <f>SUM(AJ444:AJ461)</f>
        <v>0</v>
      </c>
      <c r="AT443" s="37">
        <f>SUM(AK444:AK461)</f>
        <v>0</v>
      </c>
      <c r="AU443" s="37">
        <f>SUM(AL444:AL461)</f>
        <v>0</v>
      </c>
    </row>
    <row r="444" spans="1:62" x14ac:dyDescent="0.2">
      <c r="A444" s="5" t="s">
        <v>354</v>
      </c>
      <c r="B444" s="5" t="s">
        <v>687</v>
      </c>
      <c r="C444" s="135" t="s">
        <v>1078</v>
      </c>
      <c r="D444" s="136"/>
      <c r="E444" s="136"/>
      <c r="F444" s="5" t="s">
        <v>1099</v>
      </c>
      <c r="G444" s="18">
        <v>6</v>
      </c>
      <c r="H444" s="79">
        <v>0</v>
      </c>
      <c r="I444" s="18">
        <f>G444*AO444</f>
        <v>0</v>
      </c>
      <c r="J444" s="18">
        <f>G444*AP444</f>
        <v>0</v>
      </c>
      <c r="K444" s="18">
        <f>G444*H444</f>
        <v>0</v>
      </c>
      <c r="L444" s="29" t="s">
        <v>1127</v>
      </c>
      <c r="Z444" s="34">
        <f>IF(AQ444="5",BJ444,0)</f>
        <v>0</v>
      </c>
      <c r="AB444" s="34">
        <f>IF(AQ444="1",BH444,0)</f>
        <v>0</v>
      </c>
      <c r="AC444" s="34">
        <f>IF(AQ444="1",BI444,0)</f>
        <v>0</v>
      </c>
      <c r="AD444" s="34">
        <f>IF(AQ444="7",BH444,0)</f>
        <v>0</v>
      </c>
      <c r="AE444" s="34">
        <f>IF(AQ444="7",BI444,0)</f>
        <v>0</v>
      </c>
      <c r="AF444" s="34">
        <f>IF(AQ444="2",BH444,0)</f>
        <v>0</v>
      </c>
      <c r="AG444" s="34">
        <f>IF(AQ444="2",BI444,0)</f>
        <v>0</v>
      </c>
      <c r="AH444" s="34">
        <f>IF(AQ444="0",BJ444,0)</f>
        <v>0</v>
      </c>
      <c r="AI444" s="28" t="s">
        <v>1138</v>
      </c>
      <c r="AJ444" s="18">
        <f>IF(AN444=0,K444,0)</f>
        <v>0</v>
      </c>
      <c r="AK444" s="18">
        <f>IF(AN444=15,K444,0)</f>
        <v>0</v>
      </c>
      <c r="AL444" s="18">
        <f>IF(AN444=21,K444,0)</f>
        <v>0</v>
      </c>
      <c r="AN444" s="34">
        <v>21</v>
      </c>
      <c r="AO444" s="34">
        <f>H444*0</f>
        <v>0</v>
      </c>
      <c r="AP444" s="34">
        <f>H444*(1-0)</f>
        <v>0</v>
      </c>
      <c r="AQ444" s="29" t="s">
        <v>7</v>
      </c>
      <c r="AV444" s="34">
        <f>AW444+AX444</f>
        <v>0</v>
      </c>
      <c r="AW444" s="34">
        <f>G444*AO444</f>
        <v>0</v>
      </c>
      <c r="AX444" s="34">
        <f>G444*AP444</f>
        <v>0</v>
      </c>
      <c r="AY444" s="35" t="s">
        <v>1164</v>
      </c>
      <c r="AZ444" s="35" t="s">
        <v>1175</v>
      </c>
      <c r="BA444" s="28" t="s">
        <v>1177</v>
      </c>
      <c r="BC444" s="34">
        <f>AW444+AX444</f>
        <v>0</v>
      </c>
      <c r="BD444" s="34">
        <f>H444/(100-BE444)*100</f>
        <v>0</v>
      </c>
      <c r="BE444" s="34">
        <v>0</v>
      </c>
      <c r="BF444" s="34">
        <f>444</f>
        <v>444</v>
      </c>
      <c r="BH444" s="18">
        <f>G444*AO444</f>
        <v>0</v>
      </c>
      <c r="BI444" s="18">
        <f>G444*AP444</f>
        <v>0</v>
      </c>
      <c r="BJ444" s="18">
        <f>G444*H444</f>
        <v>0</v>
      </c>
    </row>
    <row r="445" spans="1:62" x14ac:dyDescent="0.2">
      <c r="C445" s="131" t="s">
        <v>1079</v>
      </c>
      <c r="D445" s="132"/>
      <c r="E445" s="132"/>
      <c r="G445" s="72"/>
      <c r="H445" s="80"/>
    </row>
    <row r="446" spans="1:62" x14ac:dyDescent="0.2">
      <c r="A446" s="6" t="s">
        <v>355</v>
      </c>
      <c r="B446" s="6" t="s">
        <v>688</v>
      </c>
      <c r="C446" s="148" t="s">
        <v>1080</v>
      </c>
      <c r="D446" s="149"/>
      <c r="E446" s="149"/>
      <c r="F446" s="6" t="s">
        <v>1099</v>
      </c>
      <c r="G446" s="19">
        <v>6</v>
      </c>
      <c r="H446" s="81">
        <v>0</v>
      </c>
      <c r="I446" s="19">
        <f>G446*AO446</f>
        <v>0</v>
      </c>
      <c r="J446" s="19">
        <f>G446*AP446</f>
        <v>0</v>
      </c>
      <c r="K446" s="19">
        <f>G446*H446</f>
        <v>0</v>
      </c>
      <c r="L446" s="30" t="s">
        <v>1127</v>
      </c>
      <c r="Z446" s="34">
        <f>IF(AQ446="5",BJ446,0)</f>
        <v>0</v>
      </c>
      <c r="AB446" s="34">
        <f>IF(AQ446="1",BH446,0)</f>
        <v>0</v>
      </c>
      <c r="AC446" s="34">
        <f>IF(AQ446="1",BI446,0)</f>
        <v>0</v>
      </c>
      <c r="AD446" s="34">
        <f>IF(AQ446="7",BH446,0)</f>
        <v>0</v>
      </c>
      <c r="AE446" s="34">
        <f>IF(AQ446="7",BI446,0)</f>
        <v>0</v>
      </c>
      <c r="AF446" s="34">
        <f>IF(AQ446="2",BH446,0)</f>
        <v>0</v>
      </c>
      <c r="AG446" s="34">
        <f>IF(AQ446="2",BI446,0)</f>
        <v>0</v>
      </c>
      <c r="AH446" s="34">
        <f>IF(AQ446="0",BJ446,0)</f>
        <v>0</v>
      </c>
      <c r="AI446" s="28" t="s">
        <v>1138</v>
      </c>
      <c r="AJ446" s="19">
        <f>IF(AN446=0,K446,0)</f>
        <v>0</v>
      </c>
      <c r="AK446" s="19">
        <f>IF(AN446=15,K446,0)</f>
        <v>0</v>
      </c>
      <c r="AL446" s="19">
        <f>IF(AN446=21,K446,0)</f>
        <v>0</v>
      </c>
      <c r="AN446" s="34">
        <v>21</v>
      </c>
      <c r="AO446" s="34">
        <f>H446*1</f>
        <v>0</v>
      </c>
      <c r="AP446" s="34">
        <f>H446*(1-1)</f>
        <v>0</v>
      </c>
      <c r="AQ446" s="30" t="s">
        <v>7</v>
      </c>
      <c r="AV446" s="34">
        <f>AW446+AX446</f>
        <v>0</v>
      </c>
      <c r="AW446" s="34">
        <f>G446*AO446</f>
        <v>0</v>
      </c>
      <c r="AX446" s="34">
        <f>G446*AP446</f>
        <v>0</v>
      </c>
      <c r="AY446" s="35" t="s">
        <v>1164</v>
      </c>
      <c r="AZ446" s="35" t="s">
        <v>1175</v>
      </c>
      <c r="BA446" s="28" t="s">
        <v>1177</v>
      </c>
      <c r="BC446" s="34">
        <f>AW446+AX446</f>
        <v>0</v>
      </c>
      <c r="BD446" s="34">
        <f>H446/(100-BE446)*100</f>
        <v>0</v>
      </c>
      <c r="BE446" s="34">
        <v>0</v>
      </c>
      <c r="BF446" s="34">
        <f>446</f>
        <v>446</v>
      </c>
      <c r="BH446" s="19">
        <f>G446*AO446</f>
        <v>0</v>
      </c>
      <c r="BI446" s="19">
        <f>G446*AP446</f>
        <v>0</v>
      </c>
      <c r="BJ446" s="19">
        <f>G446*H446</f>
        <v>0</v>
      </c>
    </row>
    <row r="447" spans="1:62" x14ac:dyDescent="0.2">
      <c r="A447" s="5" t="s">
        <v>356</v>
      </c>
      <c r="B447" s="5" t="s">
        <v>687</v>
      </c>
      <c r="C447" s="135" t="s">
        <v>1078</v>
      </c>
      <c r="D447" s="136"/>
      <c r="E447" s="136"/>
      <c r="F447" s="5" t="s">
        <v>1099</v>
      </c>
      <c r="G447" s="18">
        <v>0</v>
      </c>
      <c r="H447" s="79">
        <v>0</v>
      </c>
      <c r="I447" s="18">
        <f>G447*AO447</f>
        <v>0</v>
      </c>
      <c r="J447" s="18">
        <f>G447*AP447</f>
        <v>0</v>
      </c>
      <c r="K447" s="18">
        <f>G447*H447</f>
        <v>0</v>
      </c>
      <c r="L447" s="29" t="s">
        <v>1127</v>
      </c>
      <c r="Z447" s="34">
        <f>IF(AQ447="5",BJ447,0)</f>
        <v>0</v>
      </c>
      <c r="AB447" s="34">
        <f>IF(AQ447="1",BH447,0)</f>
        <v>0</v>
      </c>
      <c r="AC447" s="34">
        <f>IF(AQ447="1",BI447,0)</f>
        <v>0</v>
      </c>
      <c r="AD447" s="34">
        <f>IF(AQ447="7",BH447,0)</f>
        <v>0</v>
      </c>
      <c r="AE447" s="34">
        <f>IF(AQ447="7",BI447,0)</f>
        <v>0</v>
      </c>
      <c r="AF447" s="34">
        <f>IF(AQ447="2",BH447,0)</f>
        <v>0</v>
      </c>
      <c r="AG447" s="34">
        <f>IF(AQ447="2",BI447,0)</f>
        <v>0</v>
      </c>
      <c r="AH447" s="34">
        <f>IF(AQ447="0",BJ447,0)</f>
        <v>0</v>
      </c>
      <c r="AI447" s="28" t="s">
        <v>1138</v>
      </c>
      <c r="AJ447" s="18">
        <f>IF(AN447=0,K447,0)</f>
        <v>0</v>
      </c>
      <c r="AK447" s="18">
        <f>IF(AN447=15,K447,0)</f>
        <v>0</v>
      </c>
      <c r="AL447" s="18">
        <f>IF(AN447=21,K447,0)</f>
        <v>0</v>
      </c>
      <c r="AN447" s="34">
        <v>21</v>
      </c>
      <c r="AO447" s="34">
        <f>H447*0</f>
        <v>0</v>
      </c>
      <c r="AP447" s="34">
        <f>H447*(1-0)</f>
        <v>0</v>
      </c>
      <c r="AQ447" s="29" t="s">
        <v>7</v>
      </c>
      <c r="AV447" s="34">
        <f>AW447+AX447</f>
        <v>0</v>
      </c>
      <c r="AW447" s="34">
        <f>G447*AO447</f>
        <v>0</v>
      </c>
      <c r="AX447" s="34">
        <f>G447*AP447</f>
        <v>0</v>
      </c>
      <c r="AY447" s="35" t="s">
        <v>1164</v>
      </c>
      <c r="AZ447" s="35" t="s">
        <v>1175</v>
      </c>
      <c r="BA447" s="28" t="s">
        <v>1177</v>
      </c>
      <c r="BC447" s="34">
        <f>AW447+AX447</f>
        <v>0</v>
      </c>
      <c r="BD447" s="34">
        <f>H447/(100-BE447)*100</f>
        <v>0</v>
      </c>
      <c r="BE447" s="34">
        <v>0</v>
      </c>
      <c r="BF447" s="34">
        <f>447</f>
        <v>447</v>
      </c>
      <c r="BH447" s="18">
        <f>G447*AO447</f>
        <v>0</v>
      </c>
      <c r="BI447" s="18">
        <f>G447*AP447</f>
        <v>0</v>
      </c>
      <c r="BJ447" s="18">
        <f>G447*H447</f>
        <v>0</v>
      </c>
    </row>
    <row r="448" spans="1:62" x14ac:dyDescent="0.2">
      <c r="C448" s="131" t="s">
        <v>1081</v>
      </c>
      <c r="D448" s="132"/>
      <c r="E448" s="132"/>
      <c r="G448" s="72"/>
      <c r="H448" s="80"/>
    </row>
    <row r="449" spans="1:62" x14ac:dyDescent="0.2">
      <c r="A449" s="5" t="s">
        <v>357</v>
      </c>
      <c r="B449" s="5" t="s">
        <v>689</v>
      </c>
      <c r="C449" s="135" t="s">
        <v>1082</v>
      </c>
      <c r="D449" s="136"/>
      <c r="E449" s="136"/>
      <c r="F449" s="5" t="s">
        <v>1100</v>
      </c>
      <c r="G449" s="18">
        <v>51</v>
      </c>
      <c r="H449" s="79">
        <v>0</v>
      </c>
      <c r="I449" s="18">
        <f>G449*AO449</f>
        <v>0</v>
      </c>
      <c r="J449" s="18">
        <f>G449*AP449</f>
        <v>0</v>
      </c>
      <c r="K449" s="18">
        <f>G449*H449</f>
        <v>0</v>
      </c>
      <c r="L449" s="29" t="s">
        <v>1127</v>
      </c>
      <c r="Z449" s="34">
        <f>IF(AQ449="5",BJ449,0)</f>
        <v>0</v>
      </c>
      <c r="AB449" s="34">
        <f>IF(AQ449="1",BH449,0)</f>
        <v>0</v>
      </c>
      <c r="AC449" s="34">
        <f>IF(AQ449="1",BI449,0)</f>
        <v>0</v>
      </c>
      <c r="AD449" s="34">
        <f>IF(AQ449="7",BH449,0)</f>
        <v>0</v>
      </c>
      <c r="AE449" s="34">
        <f>IF(AQ449="7",BI449,0)</f>
        <v>0</v>
      </c>
      <c r="AF449" s="34">
        <f>IF(AQ449="2",BH449,0)</f>
        <v>0</v>
      </c>
      <c r="AG449" s="34">
        <f>IF(AQ449="2",BI449,0)</f>
        <v>0</v>
      </c>
      <c r="AH449" s="34">
        <f>IF(AQ449="0",BJ449,0)</f>
        <v>0</v>
      </c>
      <c r="AI449" s="28" t="s">
        <v>1138</v>
      </c>
      <c r="AJ449" s="18">
        <f>IF(AN449=0,K449,0)</f>
        <v>0</v>
      </c>
      <c r="AK449" s="18">
        <f>IF(AN449=15,K449,0)</f>
        <v>0</v>
      </c>
      <c r="AL449" s="18">
        <f>IF(AN449=21,K449,0)</f>
        <v>0</v>
      </c>
      <c r="AN449" s="34">
        <v>21</v>
      </c>
      <c r="AO449" s="34">
        <f>H449*0.425095371697313</f>
        <v>0</v>
      </c>
      <c r="AP449" s="34">
        <f>H449*(1-0.425095371697313)</f>
        <v>0</v>
      </c>
      <c r="AQ449" s="29" t="s">
        <v>7</v>
      </c>
      <c r="AV449" s="34">
        <f>AW449+AX449</f>
        <v>0</v>
      </c>
      <c r="AW449" s="34">
        <f>G449*AO449</f>
        <v>0</v>
      </c>
      <c r="AX449" s="34">
        <f>G449*AP449</f>
        <v>0</v>
      </c>
      <c r="AY449" s="35" t="s">
        <v>1164</v>
      </c>
      <c r="AZ449" s="35" t="s">
        <v>1175</v>
      </c>
      <c r="BA449" s="28" t="s">
        <v>1177</v>
      </c>
      <c r="BC449" s="34">
        <f>AW449+AX449</f>
        <v>0</v>
      </c>
      <c r="BD449" s="34">
        <f>H449/(100-BE449)*100</f>
        <v>0</v>
      </c>
      <c r="BE449" s="34">
        <v>0</v>
      </c>
      <c r="BF449" s="34">
        <f>449</f>
        <v>449</v>
      </c>
      <c r="BH449" s="18">
        <f>G449*AO449</f>
        <v>0</v>
      </c>
      <c r="BI449" s="18">
        <f>G449*AP449</f>
        <v>0</v>
      </c>
      <c r="BJ449" s="18">
        <f>G449*H449</f>
        <v>0</v>
      </c>
    </row>
    <row r="450" spans="1:62" x14ac:dyDescent="0.2">
      <c r="C450" s="131" t="s">
        <v>1083</v>
      </c>
      <c r="D450" s="132"/>
      <c r="E450" s="132"/>
      <c r="G450" s="72"/>
      <c r="H450" s="80"/>
    </row>
    <row r="451" spans="1:62" x14ac:dyDescent="0.2">
      <c r="A451" s="5" t="s">
        <v>358</v>
      </c>
      <c r="B451" s="5" t="s">
        <v>689</v>
      </c>
      <c r="C451" s="135" t="s">
        <v>1084</v>
      </c>
      <c r="D451" s="136"/>
      <c r="E451" s="136"/>
      <c r="F451" s="5" t="s">
        <v>1100</v>
      </c>
      <c r="G451" s="18">
        <v>0</v>
      </c>
      <c r="H451" s="79">
        <v>0</v>
      </c>
      <c r="I451" s="18">
        <f>G451*AO451</f>
        <v>0</v>
      </c>
      <c r="J451" s="18">
        <f>G451*AP451</f>
        <v>0</v>
      </c>
      <c r="K451" s="18">
        <f>G451*H451</f>
        <v>0</v>
      </c>
      <c r="L451" s="29" t="s">
        <v>1127</v>
      </c>
      <c r="Z451" s="34">
        <f>IF(AQ451="5",BJ451,0)</f>
        <v>0</v>
      </c>
      <c r="AB451" s="34">
        <f>IF(AQ451="1",BH451,0)</f>
        <v>0</v>
      </c>
      <c r="AC451" s="34">
        <f>IF(AQ451="1",BI451,0)</f>
        <v>0</v>
      </c>
      <c r="AD451" s="34">
        <f>IF(AQ451="7",BH451,0)</f>
        <v>0</v>
      </c>
      <c r="AE451" s="34">
        <f>IF(AQ451="7",BI451,0)</f>
        <v>0</v>
      </c>
      <c r="AF451" s="34">
        <f>IF(AQ451="2",BH451,0)</f>
        <v>0</v>
      </c>
      <c r="AG451" s="34">
        <f>IF(AQ451="2",BI451,0)</f>
        <v>0</v>
      </c>
      <c r="AH451" s="34">
        <f>IF(AQ451="0",BJ451,0)</f>
        <v>0</v>
      </c>
      <c r="AI451" s="28" t="s">
        <v>1138</v>
      </c>
      <c r="AJ451" s="18">
        <f>IF(AN451=0,K451,0)</f>
        <v>0</v>
      </c>
      <c r="AK451" s="18">
        <f>IF(AN451=15,K451,0)</f>
        <v>0</v>
      </c>
      <c r="AL451" s="18">
        <f>IF(AN451=21,K451,0)</f>
        <v>0</v>
      </c>
      <c r="AN451" s="34">
        <v>21</v>
      </c>
      <c r="AO451" s="34">
        <f>H451*0</f>
        <v>0</v>
      </c>
      <c r="AP451" s="34">
        <f>H451*(1-0)</f>
        <v>0</v>
      </c>
      <c r="AQ451" s="29" t="s">
        <v>7</v>
      </c>
      <c r="AV451" s="34">
        <f>AW451+AX451</f>
        <v>0</v>
      </c>
      <c r="AW451" s="34">
        <f>G451*AO451</f>
        <v>0</v>
      </c>
      <c r="AX451" s="34">
        <f>G451*AP451</f>
        <v>0</v>
      </c>
      <c r="AY451" s="35" t="s">
        <v>1164</v>
      </c>
      <c r="AZ451" s="35" t="s">
        <v>1175</v>
      </c>
      <c r="BA451" s="28" t="s">
        <v>1177</v>
      </c>
      <c r="BC451" s="34">
        <f>AW451+AX451</f>
        <v>0</v>
      </c>
      <c r="BD451" s="34">
        <f>H451/(100-BE451)*100</f>
        <v>0</v>
      </c>
      <c r="BE451" s="34">
        <v>0</v>
      </c>
      <c r="BF451" s="34">
        <f>451</f>
        <v>451</v>
      </c>
      <c r="BH451" s="18">
        <f>G451*AO451</f>
        <v>0</v>
      </c>
      <c r="BI451" s="18">
        <f>G451*AP451</f>
        <v>0</v>
      </c>
      <c r="BJ451" s="18">
        <f>G451*H451</f>
        <v>0</v>
      </c>
    </row>
    <row r="452" spans="1:62" x14ac:dyDescent="0.2">
      <c r="C452" s="131" t="s">
        <v>1085</v>
      </c>
      <c r="D452" s="132"/>
      <c r="E452" s="132"/>
      <c r="G452" s="72"/>
      <c r="H452" s="80"/>
    </row>
    <row r="453" spans="1:62" x14ac:dyDescent="0.2">
      <c r="A453" s="5" t="s">
        <v>359</v>
      </c>
      <c r="B453" s="5" t="s">
        <v>690</v>
      </c>
      <c r="C453" s="135" t="s">
        <v>1086</v>
      </c>
      <c r="D453" s="136"/>
      <c r="E453" s="136"/>
      <c r="F453" s="5" t="s">
        <v>1100</v>
      </c>
      <c r="G453" s="18">
        <v>0</v>
      </c>
      <c r="H453" s="79">
        <v>0</v>
      </c>
      <c r="I453" s="18">
        <f>G453*AO453</f>
        <v>0</v>
      </c>
      <c r="J453" s="18">
        <f>G453*AP453</f>
        <v>0</v>
      </c>
      <c r="K453" s="18">
        <f>G453*H453</f>
        <v>0</v>
      </c>
      <c r="L453" s="29" t="s">
        <v>1127</v>
      </c>
      <c r="Z453" s="34">
        <f>IF(AQ453="5",BJ453,0)</f>
        <v>0</v>
      </c>
      <c r="AB453" s="34">
        <f>IF(AQ453="1",BH453,0)</f>
        <v>0</v>
      </c>
      <c r="AC453" s="34">
        <f>IF(AQ453="1",BI453,0)</f>
        <v>0</v>
      </c>
      <c r="AD453" s="34">
        <f>IF(AQ453="7",BH453,0)</f>
        <v>0</v>
      </c>
      <c r="AE453" s="34">
        <f>IF(AQ453="7",BI453,0)</f>
        <v>0</v>
      </c>
      <c r="AF453" s="34">
        <f>IF(AQ453="2",BH453,0)</f>
        <v>0</v>
      </c>
      <c r="AG453" s="34">
        <f>IF(AQ453="2",BI453,0)</f>
        <v>0</v>
      </c>
      <c r="AH453" s="34">
        <f>IF(AQ453="0",BJ453,0)</f>
        <v>0</v>
      </c>
      <c r="AI453" s="28" t="s">
        <v>1138</v>
      </c>
      <c r="AJ453" s="18">
        <f>IF(AN453=0,K453,0)</f>
        <v>0</v>
      </c>
      <c r="AK453" s="18">
        <f>IF(AN453=15,K453,0)</f>
        <v>0</v>
      </c>
      <c r="AL453" s="18">
        <f>IF(AN453=21,K453,0)</f>
        <v>0</v>
      </c>
      <c r="AN453" s="34">
        <v>21</v>
      </c>
      <c r="AO453" s="34">
        <f>H453*0.0749805548353643</f>
        <v>0</v>
      </c>
      <c r="AP453" s="34">
        <f>H453*(1-0.0749805548353643)</f>
        <v>0</v>
      </c>
      <c r="AQ453" s="29" t="s">
        <v>7</v>
      </c>
      <c r="AV453" s="34">
        <f>AW453+AX453</f>
        <v>0</v>
      </c>
      <c r="AW453" s="34">
        <f>G453*AO453</f>
        <v>0</v>
      </c>
      <c r="AX453" s="34">
        <f>G453*AP453</f>
        <v>0</v>
      </c>
      <c r="AY453" s="35" t="s">
        <v>1164</v>
      </c>
      <c r="AZ453" s="35" t="s">
        <v>1175</v>
      </c>
      <c r="BA453" s="28" t="s">
        <v>1177</v>
      </c>
      <c r="BC453" s="34">
        <f>AW453+AX453</f>
        <v>0</v>
      </c>
      <c r="BD453" s="34">
        <f>H453/(100-BE453)*100</f>
        <v>0</v>
      </c>
      <c r="BE453" s="34">
        <v>0</v>
      </c>
      <c r="BF453" s="34">
        <f>453</f>
        <v>453</v>
      </c>
      <c r="BH453" s="18">
        <f>G453*AO453</f>
        <v>0</v>
      </c>
      <c r="BI453" s="18">
        <f>G453*AP453</f>
        <v>0</v>
      </c>
      <c r="BJ453" s="18">
        <f>G453*H453</f>
        <v>0</v>
      </c>
    </row>
    <row r="454" spans="1:62" x14ac:dyDescent="0.2">
      <c r="C454" s="131" t="s">
        <v>1087</v>
      </c>
      <c r="D454" s="132"/>
      <c r="E454" s="132"/>
      <c r="G454" s="72"/>
      <c r="H454" s="80"/>
    </row>
    <row r="455" spans="1:62" x14ac:dyDescent="0.2">
      <c r="A455" s="5" t="s">
        <v>360</v>
      </c>
      <c r="B455" s="5" t="s">
        <v>395</v>
      </c>
      <c r="C455" s="135" t="s">
        <v>1088</v>
      </c>
      <c r="D455" s="136"/>
      <c r="E455" s="136"/>
      <c r="F455" s="5" t="s">
        <v>1099</v>
      </c>
      <c r="G455" s="18">
        <v>0</v>
      </c>
      <c r="H455" s="79">
        <v>0</v>
      </c>
      <c r="I455" s="18">
        <f>G455*AO455</f>
        <v>0</v>
      </c>
      <c r="J455" s="18">
        <f>G455*AP455</f>
        <v>0</v>
      </c>
      <c r="K455" s="18">
        <f>G455*H455</f>
        <v>0</v>
      </c>
      <c r="L455" s="29" t="s">
        <v>1127</v>
      </c>
      <c r="Z455" s="34">
        <f>IF(AQ455="5",BJ455,0)</f>
        <v>0</v>
      </c>
      <c r="AB455" s="34">
        <f>IF(AQ455="1",BH455,0)</f>
        <v>0</v>
      </c>
      <c r="AC455" s="34">
        <f>IF(AQ455="1",BI455,0)</f>
        <v>0</v>
      </c>
      <c r="AD455" s="34">
        <f>IF(AQ455="7",BH455,0)</f>
        <v>0</v>
      </c>
      <c r="AE455" s="34">
        <f>IF(AQ455="7",BI455,0)</f>
        <v>0</v>
      </c>
      <c r="AF455" s="34">
        <f>IF(AQ455="2",BH455,0)</f>
        <v>0</v>
      </c>
      <c r="AG455" s="34">
        <f>IF(AQ455="2",BI455,0)</f>
        <v>0</v>
      </c>
      <c r="AH455" s="34">
        <f>IF(AQ455="0",BJ455,0)</f>
        <v>0</v>
      </c>
      <c r="AI455" s="28" t="s">
        <v>1138</v>
      </c>
      <c r="AJ455" s="18">
        <f>IF(AN455=0,K455,0)</f>
        <v>0</v>
      </c>
      <c r="AK455" s="18">
        <f>IF(AN455=15,K455,0)</f>
        <v>0</v>
      </c>
      <c r="AL455" s="18">
        <f>IF(AN455=21,K455,0)</f>
        <v>0</v>
      </c>
      <c r="AN455" s="34">
        <v>21</v>
      </c>
      <c r="AO455" s="34">
        <f>H455*0</f>
        <v>0</v>
      </c>
      <c r="AP455" s="34">
        <f>H455*(1-0)</f>
        <v>0</v>
      </c>
      <c r="AQ455" s="29" t="s">
        <v>7</v>
      </c>
      <c r="AV455" s="34">
        <f>AW455+AX455</f>
        <v>0</v>
      </c>
      <c r="AW455" s="34">
        <f>G455*AO455</f>
        <v>0</v>
      </c>
      <c r="AX455" s="34">
        <f>G455*AP455</f>
        <v>0</v>
      </c>
      <c r="AY455" s="35" t="s">
        <v>1164</v>
      </c>
      <c r="AZ455" s="35" t="s">
        <v>1175</v>
      </c>
      <c r="BA455" s="28" t="s">
        <v>1177</v>
      </c>
      <c r="BC455" s="34">
        <f>AW455+AX455</f>
        <v>0</v>
      </c>
      <c r="BD455" s="34">
        <f>H455/(100-BE455)*100</f>
        <v>0</v>
      </c>
      <c r="BE455" s="34">
        <v>0</v>
      </c>
      <c r="BF455" s="34">
        <f>455</f>
        <v>455</v>
      </c>
      <c r="BH455" s="18">
        <f>G455*AO455</f>
        <v>0</v>
      </c>
      <c r="BI455" s="18">
        <f>G455*AP455</f>
        <v>0</v>
      </c>
      <c r="BJ455" s="18">
        <f>G455*H455</f>
        <v>0</v>
      </c>
    </row>
    <row r="456" spans="1:62" x14ac:dyDescent="0.2">
      <c r="C456" s="131" t="s">
        <v>1318</v>
      </c>
      <c r="D456" s="132"/>
      <c r="E456" s="132"/>
      <c r="G456" s="72"/>
      <c r="H456" s="80"/>
    </row>
    <row r="457" spans="1:62" x14ac:dyDescent="0.2">
      <c r="A457" s="5" t="s">
        <v>361</v>
      </c>
      <c r="B457" s="5" t="s">
        <v>691</v>
      </c>
      <c r="C457" s="135" t="s">
        <v>1089</v>
      </c>
      <c r="D457" s="136"/>
      <c r="E457" s="136"/>
      <c r="F457" s="5" t="s">
        <v>1100</v>
      </c>
      <c r="G457" s="18">
        <v>51</v>
      </c>
      <c r="H457" s="79">
        <v>0</v>
      </c>
      <c r="I457" s="18">
        <f>G457*AO457</f>
        <v>0</v>
      </c>
      <c r="J457" s="18">
        <f>G457*AP457</f>
        <v>0</v>
      </c>
      <c r="K457" s="18">
        <f>G457*H457</f>
        <v>0</v>
      </c>
      <c r="L457" s="29" t="s">
        <v>1127</v>
      </c>
      <c r="Z457" s="34">
        <f>IF(AQ457="5",BJ457,0)</f>
        <v>0</v>
      </c>
      <c r="AB457" s="34">
        <f>IF(AQ457="1",BH457,0)</f>
        <v>0</v>
      </c>
      <c r="AC457" s="34">
        <f>IF(AQ457="1",BI457,0)</f>
        <v>0</v>
      </c>
      <c r="AD457" s="34">
        <f>IF(AQ457="7",BH457,0)</f>
        <v>0</v>
      </c>
      <c r="AE457" s="34">
        <f>IF(AQ457="7",BI457,0)</f>
        <v>0</v>
      </c>
      <c r="AF457" s="34">
        <f>IF(AQ457="2",BH457,0)</f>
        <v>0</v>
      </c>
      <c r="AG457" s="34">
        <f>IF(AQ457="2",BI457,0)</f>
        <v>0</v>
      </c>
      <c r="AH457" s="34">
        <f>IF(AQ457="0",BJ457,0)</f>
        <v>0</v>
      </c>
      <c r="AI457" s="28" t="s">
        <v>1138</v>
      </c>
      <c r="AJ457" s="18">
        <f>IF(AN457=0,K457,0)</f>
        <v>0</v>
      </c>
      <c r="AK457" s="18">
        <f>IF(AN457=15,K457,0)</f>
        <v>0</v>
      </c>
      <c r="AL457" s="18">
        <f>IF(AN457=21,K457,0)</f>
        <v>0</v>
      </c>
      <c r="AN457" s="34">
        <v>21</v>
      </c>
      <c r="AO457" s="34">
        <f>H457*0.0749731471535983</f>
        <v>0</v>
      </c>
      <c r="AP457" s="34">
        <f>H457*(1-0.0749731471535983)</f>
        <v>0</v>
      </c>
      <c r="AQ457" s="29" t="s">
        <v>7</v>
      </c>
      <c r="AV457" s="34">
        <f>AW457+AX457</f>
        <v>0</v>
      </c>
      <c r="AW457" s="34">
        <f>G457*AO457</f>
        <v>0</v>
      </c>
      <c r="AX457" s="34">
        <f>G457*AP457</f>
        <v>0</v>
      </c>
      <c r="AY457" s="35" t="s">
        <v>1164</v>
      </c>
      <c r="AZ457" s="35" t="s">
        <v>1175</v>
      </c>
      <c r="BA457" s="28" t="s">
        <v>1177</v>
      </c>
      <c r="BC457" s="34">
        <f>AW457+AX457</f>
        <v>0</v>
      </c>
      <c r="BD457" s="34">
        <f>H457/(100-BE457)*100</f>
        <v>0</v>
      </c>
      <c r="BE457" s="34">
        <v>0</v>
      </c>
      <c r="BF457" s="34">
        <f>457</f>
        <v>457</v>
      </c>
      <c r="BH457" s="18">
        <f>G457*AO457</f>
        <v>0</v>
      </c>
      <c r="BI457" s="18">
        <f>G457*AP457</f>
        <v>0</v>
      </c>
      <c r="BJ457" s="18">
        <f>G457*H457</f>
        <v>0</v>
      </c>
    </row>
    <row r="458" spans="1:62" x14ac:dyDescent="0.2">
      <c r="C458" s="131" t="s">
        <v>1090</v>
      </c>
      <c r="D458" s="132"/>
      <c r="E458" s="132"/>
      <c r="G458" s="72"/>
      <c r="H458" s="80"/>
    </row>
    <row r="459" spans="1:62" x14ac:dyDescent="0.2">
      <c r="A459" s="5" t="s">
        <v>362</v>
      </c>
      <c r="B459" s="5" t="s">
        <v>692</v>
      </c>
      <c r="C459" s="135" t="s">
        <v>1091</v>
      </c>
      <c r="D459" s="136"/>
      <c r="E459" s="136"/>
      <c r="F459" s="5" t="s">
        <v>1099</v>
      </c>
      <c r="G459" s="18">
        <v>6</v>
      </c>
      <c r="H459" s="79">
        <v>0</v>
      </c>
      <c r="I459" s="18">
        <f>G459*AO459</f>
        <v>0</v>
      </c>
      <c r="J459" s="18">
        <f>G459*AP459</f>
        <v>0</v>
      </c>
      <c r="K459" s="18">
        <f>G459*H459</f>
        <v>0</v>
      </c>
      <c r="L459" s="29" t="s">
        <v>1127</v>
      </c>
      <c r="Z459" s="34">
        <f>IF(AQ459="5",BJ459,0)</f>
        <v>0</v>
      </c>
      <c r="AB459" s="34">
        <f>IF(AQ459="1",BH459,0)</f>
        <v>0</v>
      </c>
      <c r="AC459" s="34">
        <f>IF(AQ459="1",BI459,0)</f>
        <v>0</v>
      </c>
      <c r="AD459" s="34">
        <f>IF(AQ459="7",BH459,0)</f>
        <v>0</v>
      </c>
      <c r="AE459" s="34">
        <f>IF(AQ459="7",BI459,0)</f>
        <v>0</v>
      </c>
      <c r="AF459" s="34">
        <f>IF(AQ459="2",BH459,0)</f>
        <v>0</v>
      </c>
      <c r="AG459" s="34">
        <f>IF(AQ459="2",BI459,0)</f>
        <v>0</v>
      </c>
      <c r="AH459" s="34">
        <f>IF(AQ459="0",BJ459,0)</f>
        <v>0</v>
      </c>
      <c r="AI459" s="28" t="s">
        <v>1138</v>
      </c>
      <c r="AJ459" s="18">
        <f>IF(AN459=0,K459,0)</f>
        <v>0</v>
      </c>
      <c r="AK459" s="18">
        <f>IF(AN459=15,K459,0)</f>
        <v>0</v>
      </c>
      <c r="AL459" s="18">
        <f>IF(AN459=21,K459,0)</f>
        <v>0</v>
      </c>
      <c r="AN459" s="34">
        <v>21</v>
      </c>
      <c r="AO459" s="34">
        <f>H459*0.9</f>
        <v>0</v>
      </c>
      <c r="AP459" s="34">
        <f>H459*(1-0.9)</f>
        <v>0</v>
      </c>
      <c r="AQ459" s="29" t="s">
        <v>7</v>
      </c>
      <c r="AV459" s="34">
        <f>AW459+AX459</f>
        <v>0</v>
      </c>
      <c r="AW459" s="34">
        <f>G459*AO459</f>
        <v>0</v>
      </c>
      <c r="AX459" s="34">
        <f>G459*AP459</f>
        <v>0</v>
      </c>
      <c r="AY459" s="35" t="s">
        <v>1164</v>
      </c>
      <c r="AZ459" s="35" t="s">
        <v>1175</v>
      </c>
      <c r="BA459" s="28" t="s">
        <v>1177</v>
      </c>
      <c r="BC459" s="34">
        <f>AW459+AX459</f>
        <v>0</v>
      </c>
      <c r="BD459" s="34">
        <f>H459/(100-BE459)*100</f>
        <v>0</v>
      </c>
      <c r="BE459" s="34">
        <v>0</v>
      </c>
      <c r="BF459" s="34">
        <f>459</f>
        <v>459</v>
      </c>
      <c r="BH459" s="18">
        <f>G459*AO459</f>
        <v>0</v>
      </c>
      <c r="BI459" s="18">
        <f>G459*AP459</f>
        <v>0</v>
      </c>
      <c r="BJ459" s="18">
        <f>G459*H459</f>
        <v>0</v>
      </c>
    </row>
    <row r="460" spans="1:62" x14ac:dyDescent="0.2">
      <c r="C460" s="131" t="s">
        <v>1083</v>
      </c>
      <c r="D460" s="132"/>
      <c r="E460" s="132"/>
      <c r="H460" s="80"/>
    </row>
    <row r="461" spans="1:62" x14ac:dyDescent="0.2">
      <c r="A461" s="5" t="s">
        <v>363</v>
      </c>
      <c r="B461" s="5" t="s">
        <v>693</v>
      </c>
      <c r="C461" s="135" t="s">
        <v>1092</v>
      </c>
      <c r="D461" s="136"/>
      <c r="E461" s="136"/>
      <c r="F461" s="5" t="s">
        <v>1099</v>
      </c>
      <c r="G461" s="18">
        <v>0</v>
      </c>
      <c r="H461" s="79">
        <v>0</v>
      </c>
      <c r="I461" s="18">
        <f>G461*AO461</f>
        <v>0</v>
      </c>
      <c r="J461" s="18">
        <f>G461*AP461</f>
        <v>0</v>
      </c>
      <c r="K461" s="18">
        <f>G461*H461</f>
        <v>0</v>
      </c>
      <c r="L461" s="29" t="s">
        <v>1127</v>
      </c>
      <c r="Z461" s="34">
        <f>IF(AQ461="5",BJ461,0)</f>
        <v>0</v>
      </c>
      <c r="AB461" s="34">
        <f>IF(AQ461="1",BH461,0)</f>
        <v>0</v>
      </c>
      <c r="AC461" s="34">
        <f>IF(AQ461="1",BI461,0)</f>
        <v>0</v>
      </c>
      <c r="AD461" s="34">
        <f>IF(AQ461="7",BH461,0)</f>
        <v>0</v>
      </c>
      <c r="AE461" s="34">
        <f>IF(AQ461="7",BI461,0)</f>
        <v>0</v>
      </c>
      <c r="AF461" s="34">
        <f>IF(AQ461="2",BH461,0)</f>
        <v>0</v>
      </c>
      <c r="AG461" s="34">
        <f>IF(AQ461="2",BI461,0)</f>
        <v>0</v>
      </c>
      <c r="AH461" s="34">
        <f>IF(AQ461="0",BJ461,0)</f>
        <v>0</v>
      </c>
      <c r="AI461" s="28" t="s">
        <v>1138</v>
      </c>
      <c r="AJ461" s="18">
        <f>IF(AN461=0,K461,0)</f>
        <v>0</v>
      </c>
      <c r="AK461" s="18">
        <f>IF(AN461=15,K461,0)</f>
        <v>0</v>
      </c>
      <c r="AL461" s="18">
        <f>IF(AN461=21,K461,0)</f>
        <v>0</v>
      </c>
      <c r="AN461" s="34">
        <v>21</v>
      </c>
      <c r="AO461" s="34">
        <f>H461*0</f>
        <v>0</v>
      </c>
      <c r="AP461" s="34">
        <f>H461*(1-0)</f>
        <v>0</v>
      </c>
      <c r="AQ461" s="29" t="s">
        <v>7</v>
      </c>
      <c r="AV461" s="34">
        <f>AW461+AX461</f>
        <v>0</v>
      </c>
      <c r="AW461" s="34">
        <f>G461*AO461</f>
        <v>0</v>
      </c>
      <c r="AX461" s="34">
        <f>G461*AP461</f>
        <v>0</v>
      </c>
      <c r="AY461" s="35" t="s">
        <v>1164</v>
      </c>
      <c r="AZ461" s="35" t="s">
        <v>1175</v>
      </c>
      <c r="BA461" s="28" t="s">
        <v>1177</v>
      </c>
      <c r="BC461" s="34">
        <f>AW461+AX461</f>
        <v>0</v>
      </c>
      <c r="BD461" s="34">
        <f>H461/(100-BE461)*100</f>
        <v>0</v>
      </c>
      <c r="BE461" s="34">
        <v>0</v>
      </c>
      <c r="BF461" s="34">
        <f>461</f>
        <v>461</v>
      </c>
      <c r="BH461" s="18">
        <f>G461*AO461</f>
        <v>0</v>
      </c>
      <c r="BI461" s="18">
        <f>G461*AP461</f>
        <v>0</v>
      </c>
      <c r="BJ461" s="18">
        <f>G461*H461</f>
        <v>0</v>
      </c>
    </row>
    <row r="462" spans="1:62" x14ac:dyDescent="0.2">
      <c r="A462" s="8"/>
      <c r="B462" s="8"/>
      <c r="C462" s="152" t="s">
        <v>1319</v>
      </c>
      <c r="D462" s="153"/>
      <c r="E462" s="153"/>
      <c r="F462" s="8"/>
      <c r="G462" s="8"/>
      <c r="H462" s="8"/>
      <c r="I462" s="8"/>
      <c r="J462" s="8"/>
      <c r="K462" s="8"/>
      <c r="L462" s="8"/>
    </row>
    <row r="463" spans="1:62" x14ac:dyDescent="0.2">
      <c r="A463" s="9"/>
      <c r="B463" s="9"/>
      <c r="C463" s="9"/>
      <c r="D463" s="9"/>
      <c r="E463" s="9"/>
      <c r="F463" s="9"/>
      <c r="G463" s="9"/>
      <c r="H463" s="9"/>
      <c r="I463" s="154" t="s">
        <v>1122</v>
      </c>
      <c r="J463" s="89"/>
      <c r="K463" s="39">
        <f>K13+K16+K18+K21+K26+K34+K37+K48+K53+K55+K57+K79+K86+K98+K100+K149+K200+K240+K280+K292+K312+K322+K341+K347+K422+K443</f>
        <v>0</v>
      </c>
      <c r="L463" s="9"/>
    </row>
    <row r="464" spans="1:62" ht="11.25" customHeight="1" x14ac:dyDescent="0.2">
      <c r="A464" s="10" t="s">
        <v>364</v>
      </c>
    </row>
    <row r="465" spans="1:12" x14ac:dyDescent="0.2">
      <c r="A465" s="96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</row>
  </sheetData>
  <sheetProtection algorithmName="SHA-512" hashValue="MQ0QDr86MruFY0E0+rAXYZw+3OQQfjicR2p7JpO01Wbuwm/CsCGyy2cMaCwG6nNcAX6adXZ7hxb1op0XO6y8EQ==" saltValue="892EafV3+h2t+ivVm+7jqA==" spinCount="100000" sheet="1" objects="1" scenarios="1"/>
  <mergeCells count="481">
    <mergeCell ref="C459:E459"/>
    <mergeCell ref="C460:E460"/>
    <mergeCell ref="C461:E461"/>
    <mergeCell ref="C462:E462"/>
    <mergeCell ref="I463:J463"/>
    <mergeCell ref="A465:L465"/>
    <mergeCell ref="C453:E453"/>
    <mergeCell ref="C454:E454"/>
    <mergeCell ref="C455:E455"/>
    <mergeCell ref="C456:E456"/>
    <mergeCell ref="C457:E457"/>
    <mergeCell ref="C458:E458"/>
    <mergeCell ref="C447:E447"/>
    <mergeCell ref="C448:E448"/>
    <mergeCell ref="C449:E449"/>
    <mergeCell ref="C450:E450"/>
    <mergeCell ref="C451:E451"/>
    <mergeCell ref="C452:E452"/>
    <mergeCell ref="C441:E441"/>
    <mergeCell ref="C442:E442"/>
    <mergeCell ref="C443:E443"/>
    <mergeCell ref="C444:E444"/>
    <mergeCell ref="C445:E445"/>
    <mergeCell ref="C446:E446"/>
    <mergeCell ref="C435:E435"/>
    <mergeCell ref="C436:E436"/>
    <mergeCell ref="C437:E437"/>
    <mergeCell ref="C438:E438"/>
    <mergeCell ref="C439:E439"/>
    <mergeCell ref="C440:E440"/>
    <mergeCell ref="C429:E429"/>
    <mergeCell ref="C430:E430"/>
    <mergeCell ref="C431:E431"/>
    <mergeCell ref="C432:E432"/>
    <mergeCell ref="C433:E433"/>
    <mergeCell ref="C434:E434"/>
    <mergeCell ref="C423:E423"/>
    <mergeCell ref="C424:E424"/>
    <mergeCell ref="C425:E425"/>
    <mergeCell ref="C426:E426"/>
    <mergeCell ref="C427:E427"/>
    <mergeCell ref="C428:E428"/>
    <mergeCell ref="C417:E417"/>
    <mergeCell ref="C418:E418"/>
    <mergeCell ref="C419:E419"/>
    <mergeCell ref="C420:E420"/>
    <mergeCell ref="C421:E421"/>
    <mergeCell ref="C422:E422"/>
    <mergeCell ref="C411:E411"/>
    <mergeCell ref="C412:E412"/>
    <mergeCell ref="C413:E413"/>
    <mergeCell ref="C414:E414"/>
    <mergeCell ref="C415:E415"/>
    <mergeCell ref="C416:E416"/>
    <mergeCell ref="C405:E405"/>
    <mergeCell ref="C406:E406"/>
    <mergeCell ref="C407:E407"/>
    <mergeCell ref="C408:E408"/>
    <mergeCell ref="C409:E409"/>
    <mergeCell ref="C410:E410"/>
    <mergeCell ref="C399:E399"/>
    <mergeCell ref="C400:E400"/>
    <mergeCell ref="C401:E401"/>
    <mergeCell ref="C402:E402"/>
    <mergeCell ref="C403:E403"/>
    <mergeCell ref="C404:E404"/>
    <mergeCell ref="C393:E393"/>
    <mergeCell ref="C394:E394"/>
    <mergeCell ref="C395:E395"/>
    <mergeCell ref="C396:E396"/>
    <mergeCell ref="C397:E397"/>
    <mergeCell ref="C398:E398"/>
    <mergeCell ref="C387:E387"/>
    <mergeCell ref="C388:E388"/>
    <mergeCell ref="C389:E389"/>
    <mergeCell ref="C390:E390"/>
    <mergeCell ref="C391:E391"/>
    <mergeCell ref="C392:E392"/>
    <mergeCell ref="C381:E381"/>
    <mergeCell ref="C382:E382"/>
    <mergeCell ref="C383:E383"/>
    <mergeCell ref="C384:E384"/>
    <mergeCell ref="C385:E385"/>
    <mergeCell ref="C386:E386"/>
    <mergeCell ref="C375:E375"/>
    <mergeCell ref="C376:E376"/>
    <mergeCell ref="C377:E377"/>
    <mergeCell ref="C378:E378"/>
    <mergeCell ref="C379:E379"/>
    <mergeCell ref="C380:E380"/>
    <mergeCell ref="C369:E369"/>
    <mergeCell ref="C370:E370"/>
    <mergeCell ref="C371:E371"/>
    <mergeCell ref="C372:E372"/>
    <mergeCell ref="C373:E373"/>
    <mergeCell ref="C374:E374"/>
    <mergeCell ref="C363:E363"/>
    <mergeCell ref="C364:E364"/>
    <mergeCell ref="C365:E365"/>
    <mergeCell ref="C366:E366"/>
    <mergeCell ref="C367:E367"/>
    <mergeCell ref="C368:E368"/>
    <mergeCell ref="C357:E357"/>
    <mergeCell ref="C358:E358"/>
    <mergeCell ref="C359:E359"/>
    <mergeCell ref="C360:E360"/>
    <mergeCell ref="C361:E361"/>
    <mergeCell ref="C362:E362"/>
    <mergeCell ref="C351:E351"/>
    <mergeCell ref="C352:E352"/>
    <mergeCell ref="C353:E353"/>
    <mergeCell ref="C354:E354"/>
    <mergeCell ref="C355:E355"/>
    <mergeCell ref="C356:E356"/>
    <mergeCell ref="C345:E345"/>
    <mergeCell ref="C346:E346"/>
    <mergeCell ref="C347:E347"/>
    <mergeCell ref="C348:E348"/>
    <mergeCell ref="C349:E349"/>
    <mergeCell ref="C350:E350"/>
    <mergeCell ref="C339:E339"/>
    <mergeCell ref="C340:E340"/>
    <mergeCell ref="C341:E341"/>
    <mergeCell ref="C342:E342"/>
    <mergeCell ref="C343:E343"/>
    <mergeCell ref="C344:E344"/>
    <mergeCell ref="C333:E333"/>
    <mergeCell ref="C334:E334"/>
    <mergeCell ref="C335:E335"/>
    <mergeCell ref="C336:E336"/>
    <mergeCell ref="C337:E337"/>
    <mergeCell ref="C338:E338"/>
    <mergeCell ref="C327:E327"/>
    <mergeCell ref="C328:E328"/>
    <mergeCell ref="C329:E329"/>
    <mergeCell ref="C330:E330"/>
    <mergeCell ref="C331:E331"/>
    <mergeCell ref="C332:E332"/>
    <mergeCell ref="C321:E321"/>
    <mergeCell ref="C322:E322"/>
    <mergeCell ref="C323:E323"/>
    <mergeCell ref="C324:E324"/>
    <mergeCell ref="C325:E325"/>
    <mergeCell ref="C326:E326"/>
    <mergeCell ref="C315:E315"/>
    <mergeCell ref="C316:E316"/>
    <mergeCell ref="C317:E317"/>
    <mergeCell ref="C318:E318"/>
    <mergeCell ref="C319:E319"/>
    <mergeCell ref="C320:E320"/>
    <mergeCell ref="C309:E309"/>
    <mergeCell ref="C310:E310"/>
    <mergeCell ref="C311:E311"/>
    <mergeCell ref="C312:E312"/>
    <mergeCell ref="C313:E313"/>
    <mergeCell ref="C314:E314"/>
    <mergeCell ref="C303:E303"/>
    <mergeCell ref="C304:E304"/>
    <mergeCell ref="C305:E305"/>
    <mergeCell ref="C306:E306"/>
    <mergeCell ref="C307:E307"/>
    <mergeCell ref="C308:E308"/>
    <mergeCell ref="C297:E297"/>
    <mergeCell ref="C298:E298"/>
    <mergeCell ref="C299:E299"/>
    <mergeCell ref="C300:E300"/>
    <mergeCell ref="C301:E301"/>
    <mergeCell ref="C302:E302"/>
    <mergeCell ref="C291:E291"/>
    <mergeCell ref="C292:E292"/>
    <mergeCell ref="C293:E293"/>
    <mergeCell ref="C294:E294"/>
    <mergeCell ref="C295:E295"/>
    <mergeCell ref="C296:E296"/>
    <mergeCell ref="C285:E285"/>
    <mergeCell ref="C286:E286"/>
    <mergeCell ref="C287:E287"/>
    <mergeCell ref="C288:E288"/>
    <mergeCell ref="C289:E289"/>
    <mergeCell ref="C290:E290"/>
    <mergeCell ref="C279:E279"/>
    <mergeCell ref="C280:E280"/>
    <mergeCell ref="C281:E281"/>
    <mergeCell ref="C282:E282"/>
    <mergeCell ref="C283:E283"/>
    <mergeCell ref="C284:E284"/>
    <mergeCell ref="C273:E273"/>
    <mergeCell ref="C274:E274"/>
    <mergeCell ref="C275:E275"/>
    <mergeCell ref="C276:E276"/>
    <mergeCell ref="C277:E277"/>
    <mergeCell ref="C278:E278"/>
    <mergeCell ref="C267:E267"/>
    <mergeCell ref="C268:E268"/>
    <mergeCell ref="C269:E269"/>
    <mergeCell ref="C270:E270"/>
    <mergeCell ref="C271:E271"/>
    <mergeCell ref="C272:E272"/>
    <mergeCell ref="C261:E261"/>
    <mergeCell ref="C262:E262"/>
    <mergeCell ref="C263:E263"/>
    <mergeCell ref="C264:E264"/>
    <mergeCell ref="C265:E265"/>
    <mergeCell ref="C266:E266"/>
    <mergeCell ref="C255:E255"/>
    <mergeCell ref="C256:E256"/>
    <mergeCell ref="C257:E257"/>
    <mergeCell ref="C258:E258"/>
    <mergeCell ref="C259:E259"/>
    <mergeCell ref="C260:E260"/>
    <mergeCell ref="C249:E249"/>
    <mergeCell ref="C250:E250"/>
    <mergeCell ref="C251:E251"/>
    <mergeCell ref="C252:E252"/>
    <mergeCell ref="C253:E253"/>
    <mergeCell ref="C254:E254"/>
    <mergeCell ref="C243:E243"/>
    <mergeCell ref="C244:E244"/>
    <mergeCell ref="C245:E245"/>
    <mergeCell ref="C246:E246"/>
    <mergeCell ref="C247:E247"/>
    <mergeCell ref="C248:E248"/>
    <mergeCell ref="C237:E237"/>
    <mergeCell ref="C238:E238"/>
    <mergeCell ref="C239:E239"/>
    <mergeCell ref="C240:E240"/>
    <mergeCell ref="C241:E241"/>
    <mergeCell ref="C242:E242"/>
    <mergeCell ref="C231:E231"/>
    <mergeCell ref="C232:E232"/>
    <mergeCell ref="C233:E233"/>
    <mergeCell ref="C234:E234"/>
    <mergeCell ref="C235:E235"/>
    <mergeCell ref="C236:E236"/>
    <mergeCell ref="C225:E225"/>
    <mergeCell ref="C226:E226"/>
    <mergeCell ref="C227:E227"/>
    <mergeCell ref="C228:E228"/>
    <mergeCell ref="C229:E229"/>
    <mergeCell ref="C230:E230"/>
    <mergeCell ref="C219:E219"/>
    <mergeCell ref="C220:E220"/>
    <mergeCell ref="C221:E221"/>
    <mergeCell ref="C222:E222"/>
    <mergeCell ref="C223:E223"/>
    <mergeCell ref="C224:E224"/>
    <mergeCell ref="C213:E213"/>
    <mergeCell ref="C214:E214"/>
    <mergeCell ref="C215:E215"/>
    <mergeCell ref="C216:E216"/>
    <mergeCell ref="C217:E217"/>
    <mergeCell ref="C218:E218"/>
    <mergeCell ref="C207:E207"/>
    <mergeCell ref="C208:E208"/>
    <mergeCell ref="C209:E209"/>
    <mergeCell ref="C210:E210"/>
    <mergeCell ref="C211:E211"/>
    <mergeCell ref="C212:E212"/>
    <mergeCell ref="C201:E201"/>
    <mergeCell ref="C202:E202"/>
    <mergeCell ref="C203:E203"/>
    <mergeCell ref="C204:E204"/>
    <mergeCell ref="C205:E205"/>
    <mergeCell ref="C206:E206"/>
    <mergeCell ref="C195:E195"/>
    <mergeCell ref="C196:E196"/>
    <mergeCell ref="C197:E197"/>
    <mergeCell ref="C198:E198"/>
    <mergeCell ref="C199:E199"/>
    <mergeCell ref="C200:E200"/>
    <mergeCell ref="C189:E189"/>
    <mergeCell ref="C190:E190"/>
    <mergeCell ref="C191:E191"/>
    <mergeCell ref="C192:E192"/>
    <mergeCell ref="C193:E193"/>
    <mergeCell ref="C194:E194"/>
    <mergeCell ref="C183:E183"/>
    <mergeCell ref="C184:E184"/>
    <mergeCell ref="C185:E185"/>
    <mergeCell ref="C186:E186"/>
    <mergeCell ref="C187:E187"/>
    <mergeCell ref="C188:E188"/>
    <mergeCell ref="C177:E177"/>
    <mergeCell ref="C178:E178"/>
    <mergeCell ref="C179:E179"/>
    <mergeCell ref="C180:E180"/>
    <mergeCell ref="C181:E181"/>
    <mergeCell ref="C182:E182"/>
    <mergeCell ref="C171:E171"/>
    <mergeCell ref="C172:E172"/>
    <mergeCell ref="C173:E173"/>
    <mergeCell ref="C174:E174"/>
    <mergeCell ref="C175:E175"/>
    <mergeCell ref="C176:E176"/>
    <mergeCell ref="C165:E165"/>
    <mergeCell ref="C166:E166"/>
    <mergeCell ref="C167:E167"/>
    <mergeCell ref="C168:E168"/>
    <mergeCell ref="C169:E169"/>
    <mergeCell ref="C170:E170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C150:E150"/>
    <mergeCell ref="C151:E151"/>
    <mergeCell ref="C152:E152"/>
    <mergeCell ref="C141:E141"/>
    <mergeCell ref="C142:E142"/>
    <mergeCell ref="C143:E143"/>
    <mergeCell ref="C144:E144"/>
    <mergeCell ref="C145:E145"/>
    <mergeCell ref="C146:E146"/>
    <mergeCell ref="C135:E135"/>
    <mergeCell ref="C136:E136"/>
    <mergeCell ref="C137:E137"/>
    <mergeCell ref="C138:E138"/>
    <mergeCell ref="C139:E139"/>
    <mergeCell ref="C140:E140"/>
    <mergeCell ref="C129:E129"/>
    <mergeCell ref="C130:E130"/>
    <mergeCell ref="C131:E131"/>
    <mergeCell ref="C132:E132"/>
    <mergeCell ref="C133:E133"/>
    <mergeCell ref="C134:E134"/>
    <mergeCell ref="C123:E123"/>
    <mergeCell ref="C124:E124"/>
    <mergeCell ref="C125:E125"/>
    <mergeCell ref="C126:E126"/>
    <mergeCell ref="C127:E127"/>
    <mergeCell ref="C128:E128"/>
    <mergeCell ref="C117:E117"/>
    <mergeCell ref="C118:E118"/>
    <mergeCell ref="C119:E119"/>
    <mergeCell ref="C120:E120"/>
    <mergeCell ref="C121:E121"/>
    <mergeCell ref="C122:E122"/>
    <mergeCell ref="C111:E111"/>
    <mergeCell ref="C112:E112"/>
    <mergeCell ref="C113:E113"/>
    <mergeCell ref="C114:E114"/>
    <mergeCell ref="C115:E115"/>
    <mergeCell ref="C116:E116"/>
    <mergeCell ref="C105:E105"/>
    <mergeCell ref="C106:E106"/>
    <mergeCell ref="C107:E107"/>
    <mergeCell ref="C108:E108"/>
    <mergeCell ref="C109:E109"/>
    <mergeCell ref="C110:E110"/>
    <mergeCell ref="C99:E99"/>
    <mergeCell ref="C100:E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E97"/>
    <mergeCell ref="C98:E98"/>
    <mergeCell ref="C87:E87"/>
    <mergeCell ref="C88:E88"/>
    <mergeCell ref="C89:E89"/>
    <mergeCell ref="C90:E90"/>
    <mergeCell ref="C91:E91"/>
    <mergeCell ref="C92:E92"/>
    <mergeCell ref="C81:E81"/>
    <mergeCell ref="C82:E82"/>
    <mergeCell ref="C83:E83"/>
    <mergeCell ref="C84:E84"/>
    <mergeCell ref="C85:E85"/>
    <mergeCell ref="C86:E86"/>
    <mergeCell ref="C75:E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E74"/>
    <mergeCell ref="C63:E63"/>
    <mergeCell ref="C64:E64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  <mergeCell ref="C10:E10"/>
    <mergeCell ref="I10:K10"/>
    <mergeCell ref="C11:E11"/>
    <mergeCell ref="C12:E12"/>
    <mergeCell ref="C13:E13"/>
    <mergeCell ref="C14:E14"/>
    <mergeCell ref="A8:B9"/>
    <mergeCell ref="C8:C9"/>
    <mergeCell ref="D8:E9"/>
    <mergeCell ref="F8:G9"/>
    <mergeCell ref="H8:H9"/>
    <mergeCell ref="I8:L9"/>
    <mergeCell ref="A6:B7"/>
    <mergeCell ref="C6:C7"/>
    <mergeCell ref="D6:E7"/>
    <mergeCell ref="F6:G7"/>
    <mergeCell ref="H6:H7"/>
    <mergeCell ref="I6:L7"/>
    <mergeCell ref="A4:B5"/>
    <mergeCell ref="C4:C5"/>
    <mergeCell ref="D4:E5"/>
    <mergeCell ref="F4:G5"/>
    <mergeCell ref="H4:H5"/>
    <mergeCell ref="I4:L5"/>
    <mergeCell ref="A1:L1"/>
    <mergeCell ref="A2:B3"/>
    <mergeCell ref="C2:C3"/>
    <mergeCell ref="D2:E3"/>
    <mergeCell ref="F2:G3"/>
    <mergeCell ref="H2:H3"/>
    <mergeCell ref="I2:L3"/>
  </mergeCells>
  <pageMargins left="0.39400000000000002" right="0.39400000000000002" top="0.59099999999999997" bottom="0.59099999999999997" header="0.5" footer="0.5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477"/>
  <sheetViews>
    <sheetView zoomScale="90" zoomScaleNormal="90" workbookViewId="0">
      <pane ySplit="10" topLeftCell="A245" activePane="bottomLeft" state="frozenSplit"/>
      <selection pane="bottomLeft" activeCell="K18" sqref="K18"/>
    </sheetView>
  </sheetViews>
  <sheetFormatPr defaultColWidth="11.5703125" defaultRowHeight="12.75" x14ac:dyDescent="0.2"/>
  <cols>
    <col min="1" max="2" width="9.140625" customWidth="1"/>
    <col min="3" max="3" width="13.28515625" customWidth="1"/>
    <col min="4" max="4" width="72.140625" customWidth="1"/>
    <col min="5" max="5" width="35" customWidth="1"/>
    <col min="6" max="6" width="10.5703125" customWidth="1"/>
    <col min="7" max="7" width="15.7109375" customWidth="1"/>
    <col min="8" max="8" width="18.140625" hidden="1" customWidth="1"/>
  </cols>
  <sheetData>
    <row r="1" spans="1:9" ht="72.95" customHeight="1" x14ac:dyDescent="0.35">
      <c r="A1" s="121" t="s">
        <v>1189</v>
      </c>
      <c r="B1" s="83"/>
      <c r="C1" s="83"/>
      <c r="D1" s="83"/>
      <c r="E1" s="83"/>
      <c r="F1" s="83"/>
      <c r="G1" s="83"/>
      <c r="H1" s="83"/>
    </row>
    <row r="2" spans="1:9" x14ac:dyDescent="0.2">
      <c r="A2" s="84" t="s">
        <v>1</v>
      </c>
      <c r="B2" s="85"/>
      <c r="C2" s="88" t="str">
        <f>'Stavební rozpočet'!C2</f>
        <v>Stavební úpravy stáv. WC v objektu ZŠ 28.října, Česká Lípa -1.etapa</v>
      </c>
      <c r="D2" s="89"/>
      <c r="E2" s="91" t="s">
        <v>1113</v>
      </c>
      <c r="F2" s="91" t="str">
        <f>'Stavební rozpočet'!I2</f>
        <v> </v>
      </c>
      <c r="G2" s="85"/>
      <c r="H2" s="122"/>
      <c r="I2" s="32"/>
    </row>
    <row r="3" spans="1:9" x14ac:dyDescent="0.2">
      <c r="A3" s="86"/>
      <c r="B3" s="87"/>
      <c r="C3" s="90"/>
      <c r="D3" s="90"/>
      <c r="E3" s="87"/>
      <c r="F3" s="87"/>
      <c r="G3" s="87"/>
      <c r="H3" s="93"/>
      <c r="I3" s="32"/>
    </row>
    <row r="4" spans="1:9" x14ac:dyDescent="0.2">
      <c r="A4" s="95" t="s">
        <v>2</v>
      </c>
      <c r="B4" s="87"/>
      <c r="C4" s="96" t="str">
        <f>'Stavební rozpočet'!C4</f>
        <v xml:space="preserve"> </v>
      </c>
      <c r="D4" s="87"/>
      <c r="E4" s="96" t="s">
        <v>1114</v>
      </c>
      <c r="F4" s="96" t="str">
        <f>'Stavební rozpočet'!I4</f>
        <v> </v>
      </c>
      <c r="G4" s="87"/>
      <c r="H4" s="93"/>
      <c r="I4" s="32"/>
    </row>
    <row r="5" spans="1:9" x14ac:dyDescent="0.2">
      <c r="A5" s="86"/>
      <c r="B5" s="87"/>
      <c r="C5" s="87"/>
      <c r="D5" s="87"/>
      <c r="E5" s="87"/>
      <c r="F5" s="87"/>
      <c r="G5" s="87"/>
      <c r="H5" s="93"/>
      <c r="I5" s="32"/>
    </row>
    <row r="6" spans="1:9" x14ac:dyDescent="0.2">
      <c r="A6" s="95" t="s">
        <v>3</v>
      </c>
      <c r="B6" s="87"/>
      <c r="C6" s="96" t="str">
        <f>'Stavební rozpočet'!C6</f>
        <v xml:space="preserve"> </v>
      </c>
      <c r="D6" s="87"/>
      <c r="E6" s="96" t="s">
        <v>1115</v>
      </c>
      <c r="F6" s="96" t="str">
        <f>'Stavební rozpočet'!I6</f>
        <v> </v>
      </c>
      <c r="G6" s="87"/>
      <c r="H6" s="93"/>
      <c r="I6" s="32"/>
    </row>
    <row r="7" spans="1:9" x14ac:dyDescent="0.2">
      <c r="A7" s="86"/>
      <c r="B7" s="87"/>
      <c r="C7" s="87"/>
      <c r="D7" s="87"/>
      <c r="E7" s="87"/>
      <c r="F7" s="87"/>
      <c r="G7" s="87"/>
      <c r="H7" s="93"/>
      <c r="I7" s="32"/>
    </row>
    <row r="8" spans="1:9" x14ac:dyDescent="0.2">
      <c r="A8" s="95" t="s">
        <v>1116</v>
      </c>
      <c r="B8" s="87"/>
      <c r="C8" s="96" t="str">
        <f>'Stavební rozpočet'!I8</f>
        <v> </v>
      </c>
      <c r="D8" s="87"/>
      <c r="E8" s="96" t="s">
        <v>1096</v>
      </c>
      <c r="F8" s="96"/>
      <c r="G8" s="87"/>
      <c r="H8" s="93"/>
      <c r="I8" s="32"/>
    </row>
    <row r="9" spans="1:9" x14ac:dyDescent="0.2">
      <c r="A9" s="123"/>
      <c r="B9" s="124"/>
      <c r="C9" s="124"/>
      <c r="D9" s="124"/>
      <c r="E9" s="124"/>
      <c r="F9" s="124"/>
      <c r="G9" s="124"/>
      <c r="H9" s="125"/>
      <c r="I9" s="32"/>
    </row>
    <row r="10" spans="1:9" x14ac:dyDescent="0.2">
      <c r="A10" s="42" t="s">
        <v>5</v>
      </c>
      <c r="B10" s="47" t="s">
        <v>1182</v>
      </c>
      <c r="C10" s="47" t="s">
        <v>365</v>
      </c>
      <c r="D10" s="126" t="s">
        <v>694</v>
      </c>
      <c r="E10" s="127"/>
      <c r="F10" s="47" t="s">
        <v>1097</v>
      </c>
      <c r="G10" s="48" t="s">
        <v>1112</v>
      </c>
      <c r="H10" s="40" t="s">
        <v>1271</v>
      </c>
      <c r="I10" s="33"/>
    </row>
    <row r="11" spans="1:9" x14ac:dyDescent="0.2">
      <c r="A11" s="71" t="s">
        <v>7</v>
      </c>
      <c r="B11" s="71" t="s">
        <v>1138</v>
      </c>
      <c r="C11" s="71" t="s">
        <v>676</v>
      </c>
      <c r="D11" s="155" t="s">
        <v>1061</v>
      </c>
      <c r="E11" s="156"/>
      <c r="F11" s="71" t="s">
        <v>1099</v>
      </c>
      <c r="G11" s="49">
        <v>1</v>
      </c>
      <c r="H11" s="49">
        <v>0</v>
      </c>
    </row>
    <row r="12" spans="1:9" x14ac:dyDescent="0.2">
      <c r="A12" s="68" t="s">
        <v>8</v>
      </c>
      <c r="B12" s="68" t="s">
        <v>1138</v>
      </c>
      <c r="C12" s="68" t="s">
        <v>677</v>
      </c>
      <c r="D12" s="135" t="s">
        <v>1063</v>
      </c>
      <c r="E12" s="136"/>
      <c r="F12" s="68" t="s">
        <v>1099</v>
      </c>
      <c r="G12" s="18">
        <v>1</v>
      </c>
      <c r="H12" s="18">
        <v>0</v>
      </c>
    </row>
    <row r="13" spans="1:9" x14ac:dyDescent="0.2">
      <c r="A13" s="68" t="s">
        <v>9</v>
      </c>
      <c r="B13" s="68" t="s">
        <v>1138</v>
      </c>
      <c r="C13" s="68" t="s">
        <v>678</v>
      </c>
      <c r="D13" s="135" t="s">
        <v>1064</v>
      </c>
      <c r="E13" s="136"/>
      <c r="F13" s="68" t="s">
        <v>1099</v>
      </c>
      <c r="G13" s="18">
        <v>1</v>
      </c>
      <c r="H13" s="18">
        <v>0</v>
      </c>
    </row>
    <row r="14" spans="1:9" x14ac:dyDescent="0.2">
      <c r="A14" s="68" t="s">
        <v>10</v>
      </c>
      <c r="B14" s="68" t="s">
        <v>1138</v>
      </c>
      <c r="C14" s="68" t="s">
        <v>679</v>
      </c>
      <c r="D14" s="135" t="s">
        <v>1066</v>
      </c>
      <c r="E14" s="136"/>
      <c r="F14" s="68" t="s">
        <v>1099</v>
      </c>
      <c r="G14" s="18">
        <v>1</v>
      </c>
      <c r="H14" s="18">
        <v>0</v>
      </c>
    </row>
    <row r="15" spans="1:9" x14ac:dyDescent="0.2">
      <c r="A15" s="68" t="s">
        <v>11</v>
      </c>
      <c r="B15" s="68" t="s">
        <v>1138</v>
      </c>
      <c r="C15" s="68" t="s">
        <v>680</v>
      </c>
      <c r="D15" s="135" t="s">
        <v>1068</v>
      </c>
      <c r="E15" s="136"/>
      <c r="F15" s="68" t="s">
        <v>1099</v>
      </c>
      <c r="G15" s="18">
        <v>1</v>
      </c>
      <c r="H15" s="18">
        <v>0</v>
      </c>
    </row>
    <row r="16" spans="1:9" x14ac:dyDescent="0.2">
      <c r="A16" s="68" t="s">
        <v>12</v>
      </c>
      <c r="B16" s="68" t="s">
        <v>1138</v>
      </c>
      <c r="C16" s="68" t="s">
        <v>681</v>
      </c>
      <c r="D16" s="135" t="s">
        <v>1070</v>
      </c>
      <c r="E16" s="136"/>
      <c r="F16" s="68" t="s">
        <v>1099</v>
      </c>
      <c r="G16" s="18">
        <v>1</v>
      </c>
      <c r="H16" s="18">
        <v>0</v>
      </c>
    </row>
    <row r="17" spans="1:8" x14ac:dyDescent="0.2">
      <c r="A17" s="68" t="s">
        <v>13</v>
      </c>
      <c r="B17" s="68" t="s">
        <v>1138</v>
      </c>
      <c r="C17" s="68" t="s">
        <v>682</v>
      </c>
      <c r="D17" s="135" t="s">
        <v>1072</v>
      </c>
      <c r="E17" s="136"/>
      <c r="F17" s="68" t="s">
        <v>1099</v>
      </c>
      <c r="G17" s="18">
        <v>1</v>
      </c>
      <c r="H17" s="18">
        <v>0</v>
      </c>
    </row>
    <row r="18" spans="1:8" x14ac:dyDescent="0.2">
      <c r="A18" s="68" t="s">
        <v>14</v>
      </c>
      <c r="B18" s="68" t="s">
        <v>1138</v>
      </c>
      <c r="C18" s="68" t="s">
        <v>683</v>
      </c>
      <c r="D18" s="135" t="s">
        <v>1074</v>
      </c>
      <c r="E18" s="136"/>
      <c r="F18" s="68" t="s">
        <v>1099</v>
      </c>
      <c r="G18" s="18">
        <v>0</v>
      </c>
      <c r="H18" s="18">
        <v>0</v>
      </c>
    </row>
    <row r="19" spans="1:8" x14ac:dyDescent="0.2">
      <c r="A19" s="68" t="s">
        <v>15</v>
      </c>
      <c r="B19" s="68" t="s">
        <v>1138</v>
      </c>
      <c r="C19" s="68" t="s">
        <v>684</v>
      </c>
      <c r="D19" s="135" t="s">
        <v>1075</v>
      </c>
      <c r="E19" s="136"/>
      <c r="F19" s="68" t="s">
        <v>1099</v>
      </c>
      <c r="G19" s="18">
        <v>1</v>
      </c>
      <c r="H19" s="18">
        <v>0</v>
      </c>
    </row>
    <row r="20" spans="1:8" x14ac:dyDescent="0.2">
      <c r="A20" s="68" t="s">
        <v>16</v>
      </c>
      <c r="B20" s="68" t="s">
        <v>1138</v>
      </c>
      <c r="C20" s="68" t="s">
        <v>685</v>
      </c>
      <c r="D20" s="135" t="s">
        <v>1076</v>
      </c>
      <c r="E20" s="136"/>
      <c r="F20" s="68" t="s">
        <v>1099</v>
      </c>
      <c r="G20" s="18">
        <v>1</v>
      </c>
      <c r="H20" s="18">
        <v>0</v>
      </c>
    </row>
    <row r="21" spans="1:8" x14ac:dyDescent="0.2">
      <c r="A21" s="68" t="s">
        <v>17</v>
      </c>
      <c r="B21" s="68" t="s">
        <v>1138</v>
      </c>
      <c r="C21" s="68" t="s">
        <v>687</v>
      </c>
      <c r="D21" s="135" t="s">
        <v>1078</v>
      </c>
      <c r="E21" s="136"/>
      <c r="F21" s="68" t="s">
        <v>1099</v>
      </c>
      <c r="G21" s="18">
        <v>6</v>
      </c>
      <c r="H21" s="18">
        <v>0</v>
      </c>
    </row>
    <row r="22" spans="1:8" x14ac:dyDescent="0.2">
      <c r="A22" s="69" t="s">
        <v>18</v>
      </c>
      <c r="B22" s="69" t="s">
        <v>1138</v>
      </c>
      <c r="C22" s="69" t="s">
        <v>688</v>
      </c>
      <c r="D22" s="148" t="s">
        <v>1080</v>
      </c>
      <c r="E22" s="149"/>
      <c r="F22" s="69" t="s">
        <v>1099</v>
      </c>
      <c r="G22" s="19">
        <v>6</v>
      </c>
      <c r="H22" s="19">
        <v>0</v>
      </c>
    </row>
    <row r="23" spans="1:8" x14ac:dyDescent="0.2">
      <c r="A23" s="78" t="s">
        <v>19</v>
      </c>
      <c r="B23" s="78" t="s">
        <v>1138</v>
      </c>
      <c r="C23" s="78" t="s">
        <v>687</v>
      </c>
      <c r="D23" s="135" t="s">
        <v>1330</v>
      </c>
      <c r="E23" s="136"/>
      <c r="F23" s="78" t="s">
        <v>1099</v>
      </c>
      <c r="G23" s="18">
        <v>0</v>
      </c>
      <c r="H23" s="18">
        <v>0</v>
      </c>
    </row>
    <row r="24" spans="1:8" ht="12.2" customHeight="1" x14ac:dyDescent="0.2">
      <c r="A24" s="72"/>
      <c r="B24" s="72"/>
      <c r="C24" s="72"/>
      <c r="D24" s="157" t="s">
        <v>1190</v>
      </c>
      <c r="E24" s="157"/>
      <c r="F24" s="75"/>
      <c r="G24" s="50">
        <v>42</v>
      </c>
    </row>
    <row r="25" spans="1:8" x14ac:dyDescent="0.2">
      <c r="A25" s="78" t="s">
        <v>20</v>
      </c>
      <c r="B25" s="78" t="s">
        <v>1138</v>
      </c>
      <c r="C25" s="78" t="s">
        <v>689</v>
      </c>
      <c r="D25" s="135" t="s">
        <v>1082</v>
      </c>
      <c r="E25" s="136"/>
      <c r="F25" s="78" t="s">
        <v>1100</v>
      </c>
      <c r="G25" s="18">
        <v>51</v>
      </c>
      <c r="H25" s="18">
        <v>0</v>
      </c>
    </row>
    <row r="26" spans="1:8" ht="12.2" customHeight="1" x14ac:dyDescent="0.2">
      <c r="A26" s="72"/>
      <c r="B26" s="72"/>
      <c r="C26" s="72"/>
      <c r="D26" s="157" t="s">
        <v>1191</v>
      </c>
      <c r="E26" s="157"/>
      <c r="F26" s="75"/>
      <c r="G26" s="50">
        <v>51</v>
      </c>
    </row>
    <row r="27" spans="1:8" x14ac:dyDescent="0.2">
      <c r="A27" s="78" t="s">
        <v>21</v>
      </c>
      <c r="B27" s="78" t="s">
        <v>1138</v>
      </c>
      <c r="C27" s="78" t="s">
        <v>689</v>
      </c>
      <c r="D27" s="135" t="s">
        <v>1331</v>
      </c>
      <c r="E27" s="136"/>
      <c r="F27" s="78" t="s">
        <v>1100</v>
      </c>
      <c r="G27" s="18">
        <v>0</v>
      </c>
      <c r="H27" s="18">
        <v>0</v>
      </c>
    </row>
    <row r="28" spans="1:8" ht="12.2" customHeight="1" x14ac:dyDescent="0.2">
      <c r="A28" s="72"/>
      <c r="B28" s="72"/>
      <c r="C28" s="72"/>
      <c r="D28" s="157" t="s">
        <v>1192</v>
      </c>
      <c r="E28" s="157"/>
      <c r="F28" s="75"/>
      <c r="G28" s="50">
        <v>357</v>
      </c>
    </row>
    <row r="29" spans="1:8" x14ac:dyDescent="0.2">
      <c r="A29" s="78" t="s">
        <v>22</v>
      </c>
      <c r="B29" s="78" t="s">
        <v>1138</v>
      </c>
      <c r="C29" s="78" t="s">
        <v>690</v>
      </c>
      <c r="D29" s="135" t="s">
        <v>1332</v>
      </c>
      <c r="E29" s="136"/>
      <c r="F29" s="78" t="s">
        <v>1100</v>
      </c>
      <c r="G29" s="18">
        <v>0</v>
      </c>
      <c r="H29" s="18">
        <v>0</v>
      </c>
    </row>
    <row r="30" spans="1:8" ht="12.2" customHeight="1" x14ac:dyDescent="0.2">
      <c r="A30" s="72"/>
      <c r="B30" s="72"/>
      <c r="C30" s="72"/>
      <c r="D30" s="157" t="s">
        <v>1192</v>
      </c>
      <c r="E30" s="157"/>
      <c r="F30" s="75"/>
      <c r="G30" s="50">
        <v>357</v>
      </c>
    </row>
    <row r="31" spans="1:8" x14ac:dyDescent="0.2">
      <c r="A31" s="78" t="s">
        <v>23</v>
      </c>
      <c r="B31" s="78" t="s">
        <v>1138</v>
      </c>
      <c r="C31" s="78" t="s">
        <v>395</v>
      </c>
      <c r="D31" s="135" t="s">
        <v>1333</v>
      </c>
      <c r="E31" s="136"/>
      <c r="F31" s="78" t="s">
        <v>1099</v>
      </c>
      <c r="G31" s="18">
        <v>0</v>
      </c>
      <c r="H31" s="18">
        <v>0</v>
      </c>
    </row>
    <row r="32" spans="1:8" ht="12.2" customHeight="1" x14ac:dyDescent="0.2">
      <c r="A32" s="72"/>
      <c r="B32" s="72"/>
      <c r="C32" s="72"/>
      <c r="D32" s="157" t="s">
        <v>1193</v>
      </c>
      <c r="E32" s="157"/>
      <c r="F32" s="75"/>
      <c r="G32" s="50">
        <v>48</v>
      </c>
    </row>
    <row r="33" spans="1:8" x14ac:dyDescent="0.2">
      <c r="A33" s="78" t="s">
        <v>24</v>
      </c>
      <c r="B33" s="78" t="s">
        <v>1138</v>
      </c>
      <c r="C33" s="78" t="s">
        <v>691</v>
      </c>
      <c r="D33" s="135" t="s">
        <v>1089</v>
      </c>
      <c r="E33" s="136"/>
      <c r="F33" s="78" t="s">
        <v>1100</v>
      </c>
      <c r="G33" s="18">
        <v>51</v>
      </c>
      <c r="H33" s="18">
        <v>0</v>
      </c>
    </row>
    <row r="34" spans="1:8" ht="12.2" customHeight="1" x14ac:dyDescent="0.2">
      <c r="A34" s="72"/>
      <c r="B34" s="72"/>
      <c r="C34" s="72"/>
      <c r="D34" s="157" t="s">
        <v>1191</v>
      </c>
      <c r="E34" s="157"/>
      <c r="F34" s="75"/>
      <c r="G34" s="50">
        <v>51</v>
      </c>
    </row>
    <row r="35" spans="1:8" x14ac:dyDescent="0.2">
      <c r="A35" s="78" t="s">
        <v>25</v>
      </c>
      <c r="B35" s="78" t="s">
        <v>1138</v>
      </c>
      <c r="C35" s="78" t="s">
        <v>692</v>
      </c>
      <c r="D35" s="135" t="s">
        <v>1091</v>
      </c>
      <c r="E35" s="136"/>
      <c r="F35" s="78" t="s">
        <v>1099</v>
      </c>
      <c r="G35" s="18">
        <v>6</v>
      </c>
      <c r="H35" s="18">
        <v>0</v>
      </c>
    </row>
    <row r="36" spans="1:8" ht="12.2" customHeight="1" x14ac:dyDescent="0.2">
      <c r="A36" s="72"/>
      <c r="B36" s="72"/>
      <c r="C36" s="72"/>
      <c r="D36" s="157" t="s">
        <v>1194</v>
      </c>
      <c r="E36" s="157"/>
      <c r="F36" s="75"/>
      <c r="G36" s="50">
        <v>6</v>
      </c>
    </row>
    <row r="37" spans="1:8" x14ac:dyDescent="0.2">
      <c r="A37" s="78" t="s">
        <v>26</v>
      </c>
      <c r="B37" s="78" t="s">
        <v>1138</v>
      </c>
      <c r="C37" s="78" t="s">
        <v>693</v>
      </c>
      <c r="D37" s="135" t="s">
        <v>1334</v>
      </c>
      <c r="E37" s="136"/>
      <c r="F37" s="78" t="s">
        <v>1099</v>
      </c>
      <c r="G37" s="18">
        <v>0</v>
      </c>
      <c r="H37" s="18">
        <v>0</v>
      </c>
    </row>
    <row r="38" spans="1:8" ht="12.2" customHeight="1" x14ac:dyDescent="0.2">
      <c r="A38" s="72"/>
      <c r="B38" s="72"/>
      <c r="C38" s="72"/>
      <c r="D38" s="157" t="s">
        <v>1190</v>
      </c>
      <c r="E38" s="157"/>
      <c r="F38" s="75"/>
      <c r="G38" s="50">
        <v>42</v>
      </c>
    </row>
    <row r="39" spans="1:8" x14ac:dyDescent="0.2">
      <c r="A39" s="68" t="s">
        <v>27</v>
      </c>
      <c r="B39" s="68" t="s">
        <v>1137</v>
      </c>
      <c r="C39" s="68" t="s">
        <v>366</v>
      </c>
      <c r="D39" s="135" t="s">
        <v>698</v>
      </c>
      <c r="E39" s="136"/>
      <c r="F39" s="68" t="s">
        <v>1098</v>
      </c>
      <c r="G39" s="18">
        <v>13.4108</v>
      </c>
      <c r="H39" s="18">
        <v>0</v>
      </c>
    </row>
    <row r="40" spans="1:8" ht="12.2" customHeight="1" x14ac:dyDescent="0.2">
      <c r="A40" s="72"/>
      <c r="B40" s="72"/>
      <c r="C40" s="72"/>
      <c r="D40" s="157" t="s">
        <v>1195</v>
      </c>
      <c r="E40" s="157"/>
      <c r="F40" s="75"/>
      <c r="G40" s="50">
        <v>2.1827999999999999</v>
      </c>
    </row>
    <row r="41" spans="1:8" ht="12.2" customHeight="1" x14ac:dyDescent="0.2">
      <c r="A41" s="68"/>
      <c r="B41" s="68"/>
      <c r="C41" s="68"/>
      <c r="D41" s="157" t="s">
        <v>1196</v>
      </c>
      <c r="E41" s="157"/>
      <c r="F41" s="74"/>
      <c r="G41" s="50">
        <v>5.2919999999999998</v>
      </c>
      <c r="H41" s="29"/>
    </row>
    <row r="42" spans="1:8" ht="12.2" customHeight="1" x14ac:dyDescent="0.2">
      <c r="A42" s="68"/>
      <c r="B42" s="68"/>
      <c r="C42" s="68"/>
      <c r="D42" s="157" t="s">
        <v>1197</v>
      </c>
      <c r="E42" s="157"/>
      <c r="F42" s="74"/>
      <c r="G42" s="50">
        <v>5.9359999999999999</v>
      </c>
      <c r="H42" s="29"/>
    </row>
    <row r="43" spans="1:8" x14ac:dyDescent="0.2">
      <c r="A43" s="68" t="s">
        <v>28</v>
      </c>
      <c r="B43" s="68" t="s">
        <v>1137</v>
      </c>
      <c r="C43" s="68" t="s">
        <v>367</v>
      </c>
      <c r="D43" s="135" t="s">
        <v>701</v>
      </c>
      <c r="E43" s="136"/>
      <c r="F43" s="68" t="s">
        <v>1098</v>
      </c>
      <c r="G43" s="18">
        <v>13.4108</v>
      </c>
      <c r="H43" s="18">
        <v>0</v>
      </c>
    </row>
    <row r="44" spans="1:8" x14ac:dyDescent="0.2">
      <c r="A44" s="68" t="s">
        <v>29</v>
      </c>
      <c r="B44" s="68" t="s">
        <v>1137</v>
      </c>
      <c r="C44" s="68" t="s">
        <v>368</v>
      </c>
      <c r="D44" s="135" t="s">
        <v>703</v>
      </c>
      <c r="E44" s="136"/>
      <c r="F44" s="68" t="s">
        <v>1098</v>
      </c>
      <c r="G44" s="18">
        <v>13.4108</v>
      </c>
      <c r="H44" s="18">
        <v>0</v>
      </c>
    </row>
    <row r="45" spans="1:8" x14ac:dyDescent="0.2">
      <c r="A45" s="68" t="s">
        <v>30</v>
      </c>
      <c r="B45" s="68" t="s">
        <v>1137</v>
      </c>
      <c r="C45" s="68" t="s">
        <v>369</v>
      </c>
      <c r="D45" s="135" t="s">
        <v>706</v>
      </c>
      <c r="E45" s="136"/>
      <c r="F45" s="68" t="s">
        <v>1099</v>
      </c>
      <c r="G45" s="18">
        <v>4</v>
      </c>
      <c r="H45" s="18">
        <v>0</v>
      </c>
    </row>
    <row r="46" spans="1:8" ht="12.2" customHeight="1" x14ac:dyDescent="0.2">
      <c r="A46" s="72"/>
      <c r="B46" s="72"/>
      <c r="C46" s="72"/>
      <c r="D46" s="157" t="s">
        <v>1198</v>
      </c>
      <c r="E46" s="157"/>
      <c r="F46" s="75"/>
      <c r="G46" s="50">
        <v>4</v>
      </c>
    </row>
    <row r="47" spans="1:8" x14ac:dyDescent="0.2">
      <c r="A47" s="68" t="s">
        <v>31</v>
      </c>
      <c r="B47" s="68" t="s">
        <v>1137</v>
      </c>
      <c r="C47" s="68" t="s">
        <v>370</v>
      </c>
      <c r="D47" s="135" t="s">
        <v>708</v>
      </c>
      <c r="E47" s="136"/>
      <c r="F47" s="68" t="s">
        <v>1099</v>
      </c>
      <c r="G47" s="18">
        <v>2</v>
      </c>
      <c r="H47" s="18">
        <v>0</v>
      </c>
    </row>
    <row r="48" spans="1:8" ht="12.2" customHeight="1" x14ac:dyDescent="0.2">
      <c r="A48" s="72"/>
      <c r="B48" s="72"/>
      <c r="C48" s="72"/>
      <c r="D48" s="157" t="s">
        <v>1199</v>
      </c>
      <c r="E48" s="157"/>
      <c r="F48" s="75"/>
      <c r="G48" s="50">
        <v>2</v>
      </c>
    </row>
    <row r="49" spans="1:8" x14ac:dyDescent="0.2">
      <c r="A49" s="68" t="s">
        <v>32</v>
      </c>
      <c r="B49" s="68" t="s">
        <v>1137</v>
      </c>
      <c r="C49" s="68" t="s">
        <v>371</v>
      </c>
      <c r="D49" s="135" t="s">
        <v>711</v>
      </c>
      <c r="E49" s="136"/>
      <c r="F49" s="68" t="s">
        <v>1100</v>
      </c>
      <c r="G49" s="18">
        <v>28.082999999999998</v>
      </c>
      <c r="H49" s="18">
        <v>0</v>
      </c>
    </row>
    <row r="50" spans="1:8" ht="12.2" customHeight="1" x14ac:dyDescent="0.2">
      <c r="A50" s="72"/>
      <c r="B50" s="72"/>
      <c r="C50" s="72"/>
      <c r="D50" s="157" t="s">
        <v>1200</v>
      </c>
      <c r="E50" s="157"/>
      <c r="F50" s="75"/>
      <c r="G50" s="50">
        <v>28.082999999999998</v>
      </c>
    </row>
    <row r="51" spans="1:8" x14ac:dyDescent="0.2">
      <c r="A51" s="68" t="s">
        <v>33</v>
      </c>
      <c r="B51" s="68" t="s">
        <v>1137</v>
      </c>
      <c r="C51" s="68" t="s">
        <v>372</v>
      </c>
      <c r="D51" s="135" t="s">
        <v>713</v>
      </c>
      <c r="E51" s="136"/>
      <c r="F51" s="68" t="s">
        <v>1100</v>
      </c>
      <c r="G51" s="18">
        <v>150.63300000000001</v>
      </c>
      <c r="H51" s="18">
        <v>0</v>
      </c>
    </row>
    <row r="52" spans="1:8" ht="12.2" customHeight="1" x14ac:dyDescent="0.2">
      <c r="A52" s="72"/>
      <c r="B52" s="72"/>
      <c r="C52" s="72"/>
      <c r="D52" s="157" t="s">
        <v>1201</v>
      </c>
      <c r="E52" s="157"/>
      <c r="F52" s="75"/>
      <c r="G52" s="50">
        <v>150.63300000000001</v>
      </c>
    </row>
    <row r="53" spans="1:8" x14ac:dyDescent="0.2">
      <c r="A53" s="68" t="s">
        <v>34</v>
      </c>
      <c r="B53" s="68" t="s">
        <v>1137</v>
      </c>
      <c r="C53" s="68" t="s">
        <v>373</v>
      </c>
      <c r="D53" s="135" t="s">
        <v>715</v>
      </c>
      <c r="E53" s="136"/>
      <c r="F53" s="68" t="s">
        <v>1101</v>
      </c>
      <c r="G53" s="18">
        <v>56.36</v>
      </c>
      <c r="H53" s="18">
        <v>0</v>
      </c>
    </row>
    <row r="54" spans="1:8" ht="12.2" customHeight="1" x14ac:dyDescent="0.2">
      <c r="A54" s="72"/>
      <c r="B54" s="72"/>
      <c r="C54" s="72"/>
      <c r="D54" s="157" t="s">
        <v>1202</v>
      </c>
      <c r="E54" s="157"/>
      <c r="F54" s="75"/>
      <c r="G54" s="50">
        <v>56.36</v>
      </c>
    </row>
    <row r="55" spans="1:8" x14ac:dyDescent="0.2">
      <c r="A55" s="68" t="s">
        <v>35</v>
      </c>
      <c r="B55" s="68" t="s">
        <v>1137</v>
      </c>
      <c r="C55" s="68" t="s">
        <v>374</v>
      </c>
      <c r="D55" s="135" t="s">
        <v>716</v>
      </c>
      <c r="E55" s="136"/>
      <c r="F55" s="68" t="s">
        <v>1101</v>
      </c>
      <c r="G55" s="18">
        <v>46.2</v>
      </c>
      <c r="H55" s="18">
        <v>0</v>
      </c>
    </row>
    <row r="56" spans="1:8" ht="12.2" customHeight="1" x14ac:dyDescent="0.2">
      <c r="A56" s="72"/>
      <c r="B56" s="72"/>
      <c r="C56" s="72"/>
      <c r="D56" s="157" t="s">
        <v>1203</v>
      </c>
      <c r="E56" s="157"/>
      <c r="F56" s="75"/>
      <c r="G56" s="50">
        <v>46.2</v>
      </c>
    </row>
    <row r="57" spans="1:8" x14ac:dyDescent="0.2">
      <c r="A57" s="68" t="s">
        <v>36</v>
      </c>
      <c r="B57" s="68" t="s">
        <v>1137</v>
      </c>
      <c r="C57" s="68" t="s">
        <v>375</v>
      </c>
      <c r="D57" s="135" t="s">
        <v>717</v>
      </c>
      <c r="E57" s="136"/>
      <c r="F57" s="68" t="s">
        <v>1100</v>
      </c>
      <c r="G57" s="18">
        <v>4.26</v>
      </c>
      <c r="H57" s="18">
        <v>0</v>
      </c>
    </row>
    <row r="58" spans="1:8" ht="12.2" customHeight="1" x14ac:dyDescent="0.2">
      <c r="A58" s="72"/>
      <c r="B58" s="72"/>
      <c r="C58" s="72"/>
      <c r="D58" s="157" t="s">
        <v>1204</v>
      </c>
      <c r="E58" s="157"/>
      <c r="F58" s="75"/>
      <c r="G58" s="50">
        <v>4.26</v>
      </c>
    </row>
    <row r="59" spans="1:8" x14ac:dyDescent="0.2">
      <c r="A59" s="68" t="s">
        <v>37</v>
      </c>
      <c r="B59" s="68" t="s">
        <v>1137</v>
      </c>
      <c r="C59" s="68" t="s">
        <v>376</v>
      </c>
      <c r="D59" s="135" t="s">
        <v>719</v>
      </c>
      <c r="E59" s="136"/>
      <c r="F59" s="68" t="s">
        <v>1100</v>
      </c>
      <c r="G59" s="18">
        <v>17.04</v>
      </c>
      <c r="H59" s="18">
        <v>0</v>
      </c>
    </row>
    <row r="60" spans="1:8" ht="12.2" customHeight="1" x14ac:dyDescent="0.2">
      <c r="A60" s="72"/>
      <c r="B60" s="72"/>
      <c r="C60" s="72"/>
      <c r="D60" s="157" t="s">
        <v>1205</v>
      </c>
      <c r="E60" s="157"/>
      <c r="F60" s="75"/>
      <c r="G60" s="50">
        <v>17.04</v>
      </c>
    </row>
    <row r="61" spans="1:8" x14ac:dyDescent="0.2">
      <c r="A61" s="68" t="s">
        <v>38</v>
      </c>
      <c r="B61" s="68" t="s">
        <v>1137</v>
      </c>
      <c r="C61" s="68" t="s">
        <v>377</v>
      </c>
      <c r="D61" s="135" t="s">
        <v>722</v>
      </c>
      <c r="E61" s="136"/>
      <c r="F61" s="68" t="s">
        <v>1100</v>
      </c>
      <c r="G61" s="18">
        <v>82.42</v>
      </c>
      <c r="H61" s="18">
        <v>0</v>
      </c>
    </row>
    <row r="62" spans="1:8" ht="12.2" customHeight="1" x14ac:dyDescent="0.2">
      <c r="A62" s="72"/>
      <c r="B62" s="72"/>
      <c r="C62" s="72"/>
      <c r="D62" s="157" t="s">
        <v>1206</v>
      </c>
      <c r="E62" s="157"/>
      <c r="F62" s="75"/>
      <c r="G62" s="50">
        <v>82.42</v>
      </c>
    </row>
    <row r="63" spans="1:8" x14ac:dyDescent="0.2">
      <c r="A63" s="68" t="s">
        <v>39</v>
      </c>
      <c r="B63" s="68" t="s">
        <v>1137</v>
      </c>
      <c r="C63" s="68" t="s">
        <v>378</v>
      </c>
      <c r="D63" s="135" t="s">
        <v>724</v>
      </c>
      <c r="E63" s="136"/>
      <c r="F63" s="68" t="s">
        <v>1100</v>
      </c>
      <c r="G63" s="18">
        <v>92.88</v>
      </c>
      <c r="H63" s="18">
        <v>0</v>
      </c>
    </row>
    <row r="64" spans="1:8" ht="12.2" customHeight="1" x14ac:dyDescent="0.2">
      <c r="A64" s="72"/>
      <c r="B64" s="72"/>
      <c r="C64" s="72"/>
      <c r="D64" s="157" t="s">
        <v>1207</v>
      </c>
      <c r="E64" s="157"/>
      <c r="F64" s="75"/>
      <c r="G64" s="50">
        <v>23.292000000000002</v>
      </c>
    </row>
    <row r="65" spans="1:8" ht="12.2" customHeight="1" x14ac:dyDescent="0.2">
      <c r="A65" s="68"/>
      <c r="B65" s="68"/>
      <c r="C65" s="68"/>
      <c r="D65" s="157" t="s">
        <v>1208</v>
      </c>
      <c r="E65" s="157"/>
      <c r="F65" s="74"/>
      <c r="G65" s="50">
        <v>26.1</v>
      </c>
      <c r="H65" s="29"/>
    </row>
    <row r="66" spans="1:8" ht="12.2" customHeight="1" x14ac:dyDescent="0.2">
      <c r="A66" s="68"/>
      <c r="B66" s="68"/>
      <c r="C66" s="68"/>
      <c r="D66" s="157" t="s">
        <v>1209</v>
      </c>
      <c r="E66" s="157"/>
      <c r="F66" s="74"/>
      <c r="G66" s="50">
        <v>43.488</v>
      </c>
      <c r="H66" s="29"/>
    </row>
    <row r="67" spans="1:8" x14ac:dyDescent="0.2">
      <c r="A67" s="68" t="s">
        <v>40</v>
      </c>
      <c r="B67" s="68" t="s">
        <v>1137</v>
      </c>
      <c r="C67" s="68" t="s">
        <v>379</v>
      </c>
      <c r="D67" s="135" t="s">
        <v>726</v>
      </c>
      <c r="E67" s="136"/>
      <c r="F67" s="68" t="s">
        <v>1100</v>
      </c>
      <c r="G67" s="18">
        <v>130.38900000000001</v>
      </c>
      <c r="H67" s="18">
        <v>0</v>
      </c>
    </row>
    <row r="68" spans="1:8" ht="12.2" customHeight="1" x14ac:dyDescent="0.2">
      <c r="A68" s="72"/>
      <c r="B68" s="72"/>
      <c r="C68" s="72"/>
      <c r="D68" s="157" t="s">
        <v>1210</v>
      </c>
      <c r="E68" s="157"/>
      <c r="F68" s="75"/>
      <c r="G68" s="50">
        <v>130.38900000000001</v>
      </c>
    </row>
    <row r="69" spans="1:8" x14ac:dyDescent="0.2">
      <c r="A69" s="68" t="s">
        <v>41</v>
      </c>
      <c r="B69" s="68" t="s">
        <v>1137</v>
      </c>
      <c r="C69" s="68" t="s">
        <v>380</v>
      </c>
      <c r="D69" s="135" t="s">
        <v>727</v>
      </c>
      <c r="E69" s="136"/>
      <c r="F69" s="68" t="s">
        <v>1100</v>
      </c>
      <c r="G69" s="18">
        <v>90.108000000000004</v>
      </c>
      <c r="H69" s="18">
        <v>0</v>
      </c>
    </row>
    <row r="70" spans="1:8" ht="12.2" customHeight="1" x14ac:dyDescent="0.2">
      <c r="A70" s="72"/>
      <c r="B70" s="72"/>
      <c r="C70" s="72"/>
      <c r="D70" s="157" t="s">
        <v>1211</v>
      </c>
      <c r="E70" s="157"/>
      <c r="F70" s="75"/>
      <c r="G70" s="50">
        <v>44.88</v>
      </c>
    </row>
    <row r="71" spans="1:8" ht="12.2" customHeight="1" x14ac:dyDescent="0.2">
      <c r="A71" s="68"/>
      <c r="B71" s="68"/>
      <c r="C71" s="68"/>
      <c r="D71" s="157" t="s">
        <v>1212</v>
      </c>
      <c r="E71" s="157"/>
      <c r="F71" s="74"/>
      <c r="G71" s="50">
        <v>45.228000000000002</v>
      </c>
      <c r="H71" s="29"/>
    </row>
    <row r="72" spans="1:8" x14ac:dyDescent="0.2">
      <c r="A72" s="68" t="s">
        <v>42</v>
      </c>
      <c r="B72" s="68" t="s">
        <v>1137</v>
      </c>
      <c r="C72" s="68" t="s">
        <v>381</v>
      </c>
      <c r="D72" s="135" t="s">
        <v>729</v>
      </c>
      <c r="E72" s="135"/>
      <c r="F72" s="68" t="s">
        <v>1100</v>
      </c>
      <c r="G72" s="18">
        <v>7.2</v>
      </c>
      <c r="H72" s="18">
        <v>0</v>
      </c>
    </row>
    <row r="73" spans="1:8" ht="12.2" customHeight="1" x14ac:dyDescent="0.2">
      <c r="A73" s="72"/>
      <c r="B73" s="72"/>
      <c r="C73" s="72"/>
      <c r="D73" s="157" t="s">
        <v>1213</v>
      </c>
      <c r="E73" s="157"/>
      <c r="F73" s="75"/>
      <c r="G73" s="50">
        <v>7.2</v>
      </c>
    </row>
    <row r="74" spans="1:8" x14ac:dyDescent="0.2">
      <c r="A74" s="68" t="s">
        <v>43</v>
      </c>
      <c r="B74" s="68" t="s">
        <v>1137</v>
      </c>
      <c r="C74" s="68" t="s">
        <v>382</v>
      </c>
      <c r="D74" s="135" t="s">
        <v>730</v>
      </c>
      <c r="E74" s="136"/>
      <c r="F74" s="68" t="s">
        <v>1100</v>
      </c>
      <c r="G74" s="18">
        <v>90.108000000000004</v>
      </c>
      <c r="H74" s="18">
        <v>0</v>
      </c>
    </row>
    <row r="75" spans="1:8" x14ac:dyDescent="0.2">
      <c r="A75" s="68" t="s">
        <v>44</v>
      </c>
      <c r="B75" s="68" t="s">
        <v>1137</v>
      </c>
      <c r="C75" s="68" t="s">
        <v>383</v>
      </c>
      <c r="D75" s="135" t="s">
        <v>731</v>
      </c>
      <c r="E75" s="136"/>
      <c r="F75" s="68" t="s">
        <v>1101</v>
      </c>
      <c r="G75" s="18">
        <v>52.8</v>
      </c>
      <c r="H75" s="18">
        <v>0</v>
      </c>
    </row>
    <row r="76" spans="1:8" ht="12.2" customHeight="1" x14ac:dyDescent="0.2">
      <c r="A76" s="72"/>
      <c r="B76" s="72"/>
      <c r="C76" s="72"/>
      <c r="D76" s="157" t="s">
        <v>1214</v>
      </c>
      <c r="E76" s="157"/>
      <c r="F76" s="75"/>
      <c r="G76" s="50">
        <v>52.8</v>
      </c>
    </row>
    <row r="77" spans="1:8" x14ac:dyDescent="0.2">
      <c r="A77" s="68" t="s">
        <v>45</v>
      </c>
      <c r="B77" s="68" t="s">
        <v>1137</v>
      </c>
      <c r="C77" s="68" t="s">
        <v>384</v>
      </c>
      <c r="D77" s="135" t="s">
        <v>733</v>
      </c>
      <c r="E77" s="136"/>
      <c r="F77" s="68" t="s">
        <v>1100</v>
      </c>
      <c r="G77" s="18">
        <v>13.9</v>
      </c>
      <c r="H77" s="18">
        <v>0</v>
      </c>
    </row>
    <row r="78" spans="1:8" ht="12.2" customHeight="1" x14ac:dyDescent="0.2">
      <c r="A78" s="72"/>
      <c r="B78" s="72"/>
      <c r="C78" s="72"/>
      <c r="D78" s="157" t="s">
        <v>1215</v>
      </c>
      <c r="E78" s="157"/>
      <c r="F78" s="75"/>
      <c r="G78" s="50">
        <v>13.9</v>
      </c>
    </row>
    <row r="79" spans="1:8" x14ac:dyDescent="0.2">
      <c r="A79" s="68" t="s">
        <v>46</v>
      </c>
      <c r="B79" s="68" t="s">
        <v>1137</v>
      </c>
      <c r="C79" s="68" t="s">
        <v>385</v>
      </c>
      <c r="D79" s="135" t="s">
        <v>735</v>
      </c>
      <c r="E79" s="136"/>
      <c r="F79" s="68" t="s">
        <v>1101</v>
      </c>
      <c r="G79" s="18">
        <v>57.6</v>
      </c>
      <c r="H79" s="18">
        <v>0</v>
      </c>
    </row>
    <row r="80" spans="1:8" ht="12.2" customHeight="1" x14ac:dyDescent="0.2">
      <c r="A80" s="72"/>
      <c r="B80" s="72"/>
      <c r="C80" s="72"/>
      <c r="D80" s="157" t="s">
        <v>1216</v>
      </c>
      <c r="E80" s="157"/>
      <c r="F80" s="75"/>
      <c r="G80" s="50">
        <v>57.6</v>
      </c>
    </row>
    <row r="81" spans="1:8" x14ac:dyDescent="0.2">
      <c r="A81" s="68" t="s">
        <v>47</v>
      </c>
      <c r="B81" s="68" t="s">
        <v>1137</v>
      </c>
      <c r="C81" s="68" t="s">
        <v>386</v>
      </c>
      <c r="D81" s="135" t="s">
        <v>738</v>
      </c>
      <c r="E81" s="136"/>
      <c r="F81" s="68" t="s">
        <v>1100</v>
      </c>
      <c r="G81" s="18">
        <v>110</v>
      </c>
      <c r="H81" s="18">
        <v>0</v>
      </c>
    </row>
    <row r="82" spans="1:8" x14ac:dyDescent="0.2">
      <c r="A82" s="68" t="s">
        <v>48</v>
      </c>
      <c r="B82" s="68" t="s">
        <v>1137</v>
      </c>
      <c r="C82" s="68" t="s">
        <v>387</v>
      </c>
      <c r="D82" s="135" t="s">
        <v>740</v>
      </c>
      <c r="E82" s="136"/>
      <c r="F82" s="68" t="s">
        <v>1100</v>
      </c>
      <c r="G82" s="18">
        <v>105.46</v>
      </c>
      <c r="H82" s="18">
        <v>0</v>
      </c>
    </row>
    <row r="83" spans="1:8" ht="12.2" customHeight="1" x14ac:dyDescent="0.2">
      <c r="A83" s="72"/>
      <c r="B83" s="72"/>
      <c r="C83" s="72"/>
      <c r="D83" s="157" t="s">
        <v>1217</v>
      </c>
      <c r="E83" s="157"/>
      <c r="F83" s="75"/>
      <c r="G83" s="50">
        <v>105.46</v>
      </c>
    </row>
    <row r="84" spans="1:8" x14ac:dyDescent="0.2">
      <c r="A84" s="68" t="s">
        <v>49</v>
      </c>
      <c r="B84" s="68" t="s">
        <v>1137</v>
      </c>
      <c r="C84" s="68" t="s">
        <v>388</v>
      </c>
      <c r="D84" s="135" t="s">
        <v>742</v>
      </c>
      <c r="E84" s="136"/>
      <c r="F84" s="68" t="s">
        <v>1100</v>
      </c>
      <c r="G84" s="18">
        <v>186.09800000000001</v>
      </c>
      <c r="H84" s="18">
        <v>0</v>
      </c>
    </row>
    <row r="85" spans="1:8" ht="12.2" customHeight="1" x14ac:dyDescent="0.2">
      <c r="A85" s="72"/>
      <c r="B85" s="72"/>
      <c r="C85" s="72"/>
      <c r="D85" s="157" t="s">
        <v>1218</v>
      </c>
      <c r="E85" s="157"/>
      <c r="F85" s="75"/>
      <c r="G85" s="50">
        <v>98.713999999999999</v>
      </c>
    </row>
    <row r="86" spans="1:8" ht="12.2" customHeight="1" x14ac:dyDescent="0.2">
      <c r="A86" s="68"/>
      <c r="B86" s="68"/>
      <c r="C86" s="68"/>
      <c r="D86" s="157" t="s">
        <v>1219</v>
      </c>
      <c r="E86" s="157"/>
      <c r="F86" s="74"/>
      <c r="G86" s="50">
        <v>87.384</v>
      </c>
      <c r="H86" s="29"/>
    </row>
    <row r="87" spans="1:8" x14ac:dyDescent="0.2">
      <c r="A87" s="68" t="s">
        <v>50</v>
      </c>
      <c r="B87" s="68" t="s">
        <v>1137</v>
      </c>
      <c r="C87" s="68" t="s">
        <v>389</v>
      </c>
      <c r="D87" s="135" t="s">
        <v>744</v>
      </c>
      <c r="E87" s="136"/>
      <c r="F87" s="68" t="s">
        <v>1100</v>
      </c>
      <c r="G87" s="18">
        <v>20.79</v>
      </c>
      <c r="H87" s="18">
        <v>0</v>
      </c>
    </row>
    <row r="88" spans="1:8" ht="12.2" customHeight="1" x14ac:dyDescent="0.2">
      <c r="A88" s="72"/>
      <c r="B88" s="72"/>
      <c r="C88" s="72"/>
      <c r="D88" s="157" t="s">
        <v>1220</v>
      </c>
      <c r="E88" s="157"/>
      <c r="F88" s="75"/>
      <c r="G88" s="50">
        <v>20.79</v>
      </c>
    </row>
    <row r="89" spans="1:8" x14ac:dyDescent="0.2">
      <c r="A89" s="68" t="s">
        <v>51</v>
      </c>
      <c r="B89" s="68" t="s">
        <v>1137</v>
      </c>
      <c r="C89" s="68" t="s">
        <v>390</v>
      </c>
      <c r="D89" s="135" t="s">
        <v>746</v>
      </c>
      <c r="E89" s="136"/>
      <c r="F89" s="68" t="s">
        <v>1098</v>
      </c>
      <c r="G89" s="18">
        <v>4.1099999999999998E-2</v>
      </c>
      <c r="H89" s="18">
        <v>0</v>
      </c>
    </row>
    <row r="90" spans="1:8" ht="12.2" customHeight="1" x14ac:dyDescent="0.2">
      <c r="A90" s="72"/>
      <c r="B90" s="72"/>
      <c r="C90" s="72"/>
      <c r="D90" s="157" t="s">
        <v>1221</v>
      </c>
      <c r="E90" s="157"/>
      <c r="F90" s="75"/>
      <c r="G90" s="50">
        <v>4.1099999999999998E-2</v>
      </c>
    </row>
    <row r="91" spans="1:8" x14ac:dyDescent="0.2">
      <c r="A91" s="68" t="s">
        <v>52</v>
      </c>
      <c r="B91" s="68" t="s">
        <v>1137</v>
      </c>
      <c r="C91" s="68" t="s">
        <v>391</v>
      </c>
      <c r="D91" s="135" t="s">
        <v>748</v>
      </c>
      <c r="E91" s="136"/>
      <c r="F91" s="68" t="s">
        <v>1098</v>
      </c>
      <c r="G91" s="18">
        <v>1.3489</v>
      </c>
      <c r="H91" s="18">
        <v>0</v>
      </c>
    </row>
    <row r="92" spans="1:8" ht="12.2" customHeight="1" x14ac:dyDescent="0.2">
      <c r="A92" s="72"/>
      <c r="B92" s="72"/>
      <c r="C92" s="72"/>
      <c r="D92" s="157" t="s">
        <v>1222</v>
      </c>
      <c r="E92" s="157"/>
      <c r="F92" s="75"/>
      <c r="G92" s="50">
        <v>1.3489</v>
      </c>
    </row>
    <row r="93" spans="1:8" x14ac:dyDescent="0.2">
      <c r="A93" s="68" t="s">
        <v>53</v>
      </c>
      <c r="B93" s="68" t="s">
        <v>1137</v>
      </c>
      <c r="C93" s="68" t="s">
        <v>392</v>
      </c>
      <c r="D93" s="135" t="s">
        <v>749</v>
      </c>
      <c r="E93" s="136"/>
      <c r="F93" s="68" t="s">
        <v>1098</v>
      </c>
      <c r="G93" s="18">
        <v>1.39</v>
      </c>
      <c r="H93" s="18">
        <v>0</v>
      </c>
    </row>
    <row r="94" spans="1:8" ht="12.2" customHeight="1" x14ac:dyDescent="0.2">
      <c r="A94" s="72"/>
      <c r="B94" s="72"/>
      <c r="C94" s="72"/>
      <c r="D94" s="157" t="s">
        <v>1223</v>
      </c>
      <c r="E94" s="157"/>
      <c r="F94" s="75"/>
      <c r="G94" s="50">
        <v>1.39</v>
      </c>
    </row>
    <row r="95" spans="1:8" x14ac:dyDescent="0.2">
      <c r="A95" s="68" t="s">
        <v>54</v>
      </c>
      <c r="B95" s="68" t="s">
        <v>1137</v>
      </c>
      <c r="C95" s="68" t="s">
        <v>393</v>
      </c>
      <c r="D95" s="135" t="s">
        <v>751</v>
      </c>
      <c r="E95" s="136"/>
      <c r="F95" s="68" t="s">
        <v>1100</v>
      </c>
      <c r="G95" s="18">
        <v>110.14</v>
      </c>
      <c r="H95" s="18">
        <v>0</v>
      </c>
    </row>
    <row r="96" spans="1:8" ht="12.2" customHeight="1" x14ac:dyDescent="0.2">
      <c r="A96" s="72"/>
      <c r="B96" s="72"/>
      <c r="C96" s="72"/>
      <c r="D96" s="157" t="s">
        <v>1224</v>
      </c>
      <c r="E96" s="157"/>
      <c r="F96" s="75"/>
      <c r="G96" s="50">
        <v>110.14</v>
      </c>
    </row>
    <row r="97" spans="1:8" x14ac:dyDescent="0.2">
      <c r="A97" s="68" t="s">
        <v>55</v>
      </c>
      <c r="B97" s="68" t="s">
        <v>1137</v>
      </c>
      <c r="C97" s="68" t="s">
        <v>394</v>
      </c>
      <c r="D97" s="135" t="s">
        <v>752</v>
      </c>
      <c r="E97" s="136"/>
      <c r="F97" s="68" t="s">
        <v>1100</v>
      </c>
      <c r="G97" s="18">
        <v>8.7024000000000008</v>
      </c>
      <c r="H97" s="18">
        <v>0</v>
      </c>
    </row>
    <row r="98" spans="1:8" ht="12.2" customHeight="1" x14ac:dyDescent="0.2">
      <c r="A98" s="72"/>
      <c r="B98" s="72"/>
      <c r="C98" s="72"/>
      <c r="D98" s="157" t="s">
        <v>1225</v>
      </c>
      <c r="E98" s="157"/>
      <c r="F98" s="75"/>
      <c r="G98" s="50">
        <v>3.9744000000000002</v>
      </c>
    </row>
    <row r="99" spans="1:8" ht="12.2" customHeight="1" x14ac:dyDescent="0.2">
      <c r="A99" s="68"/>
      <c r="B99" s="68"/>
      <c r="C99" s="68"/>
      <c r="D99" s="157" t="s">
        <v>1226</v>
      </c>
      <c r="E99" s="157"/>
      <c r="F99" s="74"/>
      <c r="G99" s="50">
        <v>4.7279999999999998</v>
      </c>
      <c r="H99" s="29"/>
    </row>
    <row r="100" spans="1:8" x14ac:dyDescent="0.2">
      <c r="A100" s="68" t="s">
        <v>56</v>
      </c>
      <c r="B100" s="68" t="s">
        <v>1137</v>
      </c>
      <c r="C100" s="68" t="s">
        <v>395</v>
      </c>
      <c r="D100" s="135" t="s">
        <v>754</v>
      </c>
      <c r="E100" s="135"/>
      <c r="F100" s="68" t="s">
        <v>1099</v>
      </c>
      <c r="G100" s="18">
        <v>14</v>
      </c>
      <c r="H100" s="18">
        <v>0</v>
      </c>
    </row>
    <row r="101" spans="1:8" ht="12.2" customHeight="1" x14ac:dyDescent="0.2">
      <c r="A101" s="72"/>
      <c r="B101" s="72"/>
      <c r="C101" s="72"/>
      <c r="D101" s="157" t="s">
        <v>1227</v>
      </c>
      <c r="E101" s="157"/>
      <c r="F101" s="75"/>
      <c r="G101" s="50">
        <v>14</v>
      </c>
    </row>
    <row r="102" spans="1:8" x14ac:dyDescent="0.2">
      <c r="A102" s="68" t="s">
        <v>57</v>
      </c>
      <c r="B102" s="68" t="s">
        <v>1137</v>
      </c>
      <c r="C102" s="68" t="s">
        <v>396</v>
      </c>
      <c r="D102" s="135" t="s">
        <v>756</v>
      </c>
      <c r="E102" s="136"/>
      <c r="F102" s="68" t="s">
        <v>1100</v>
      </c>
      <c r="G102" s="18">
        <v>14.972</v>
      </c>
      <c r="H102" s="18">
        <v>0</v>
      </c>
    </row>
    <row r="103" spans="1:8" ht="12.2" customHeight="1" x14ac:dyDescent="0.2">
      <c r="A103" s="72"/>
      <c r="B103" s="72"/>
      <c r="C103" s="72"/>
      <c r="D103" s="157" t="s">
        <v>1228</v>
      </c>
      <c r="E103" s="157"/>
      <c r="F103" s="75"/>
      <c r="G103" s="50">
        <v>14.972</v>
      </c>
    </row>
    <row r="104" spans="1:8" x14ac:dyDescent="0.2">
      <c r="A104" s="68" t="s">
        <v>58</v>
      </c>
      <c r="B104" s="68" t="s">
        <v>1137</v>
      </c>
      <c r="C104" s="68" t="s">
        <v>397</v>
      </c>
      <c r="D104" s="135" t="s">
        <v>757</v>
      </c>
      <c r="E104" s="136"/>
      <c r="F104" s="68" t="s">
        <v>1100</v>
      </c>
      <c r="G104" s="18">
        <v>35.97</v>
      </c>
      <c r="H104" s="18">
        <v>0</v>
      </c>
    </row>
    <row r="105" spans="1:8" ht="12.2" customHeight="1" x14ac:dyDescent="0.2">
      <c r="A105" s="72"/>
      <c r="B105" s="72"/>
      <c r="C105" s="72"/>
      <c r="D105" s="157" t="s">
        <v>1229</v>
      </c>
      <c r="E105" s="157"/>
      <c r="F105" s="75"/>
      <c r="G105" s="50">
        <v>35.97</v>
      </c>
    </row>
    <row r="106" spans="1:8" x14ac:dyDescent="0.2">
      <c r="A106" s="68" t="s">
        <v>59</v>
      </c>
      <c r="B106" s="68" t="s">
        <v>1137</v>
      </c>
      <c r="C106" s="68" t="s">
        <v>398</v>
      </c>
      <c r="D106" s="135" t="s">
        <v>759</v>
      </c>
      <c r="E106" s="136"/>
      <c r="F106" s="68" t="s">
        <v>1100</v>
      </c>
      <c r="G106" s="18">
        <v>90.805999999999997</v>
      </c>
      <c r="H106" s="18">
        <v>0</v>
      </c>
    </row>
    <row r="107" spans="1:8" ht="12.2" customHeight="1" x14ac:dyDescent="0.2">
      <c r="A107" s="72"/>
      <c r="B107" s="72"/>
      <c r="C107" s="72"/>
      <c r="D107" s="157" t="s">
        <v>1230</v>
      </c>
      <c r="E107" s="157"/>
      <c r="F107" s="75"/>
      <c r="G107" s="50">
        <v>90.805999999999997</v>
      </c>
    </row>
    <row r="108" spans="1:8" x14ac:dyDescent="0.2">
      <c r="A108" s="68" t="s">
        <v>60</v>
      </c>
      <c r="B108" s="68" t="s">
        <v>1137</v>
      </c>
      <c r="C108" s="68" t="s">
        <v>399</v>
      </c>
      <c r="D108" s="135" t="s">
        <v>762</v>
      </c>
      <c r="E108" s="136"/>
      <c r="F108" s="68" t="s">
        <v>1100</v>
      </c>
      <c r="G108" s="18">
        <v>110.14</v>
      </c>
      <c r="H108" s="18">
        <v>0</v>
      </c>
    </row>
    <row r="109" spans="1:8" ht="12.2" customHeight="1" x14ac:dyDescent="0.2">
      <c r="A109" s="72"/>
      <c r="B109" s="72"/>
      <c r="C109" s="72"/>
      <c r="D109" s="157" t="s">
        <v>1224</v>
      </c>
      <c r="E109" s="157"/>
      <c r="F109" s="75"/>
      <c r="G109" s="50">
        <v>110.14</v>
      </c>
    </row>
    <row r="110" spans="1:8" x14ac:dyDescent="0.2">
      <c r="A110" s="68" t="s">
        <v>61</v>
      </c>
      <c r="B110" s="68" t="s">
        <v>1137</v>
      </c>
      <c r="C110" s="68" t="s">
        <v>400</v>
      </c>
      <c r="D110" s="135" t="s">
        <v>764</v>
      </c>
      <c r="E110" s="136"/>
      <c r="F110" s="68" t="s">
        <v>1100</v>
      </c>
      <c r="G110" s="18">
        <v>155.24799999999999</v>
      </c>
      <c r="H110" s="18">
        <v>0</v>
      </c>
    </row>
    <row r="111" spans="1:8" ht="12.2" customHeight="1" x14ac:dyDescent="0.2">
      <c r="A111" s="72"/>
      <c r="B111" s="72"/>
      <c r="C111" s="72"/>
      <c r="D111" s="157" t="s">
        <v>1231</v>
      </c>
      <c r="E111" s="157"/>
      <c r="F111" s="75"/>
      <c r="G111" s="50">
        <v>155.24799999999999</v>
      </c>
    </row>
    <row r="112" spans="1:8" x14ac:dyDescent="0.2">
      <c r="A112" s="68" t="s">
        <v>62</v>
      </c>
      <c r="B112" s="68" t="s">
        <v>1137</v>
      </c>
      <c r="C112" s="68" t="s">
        <v>401</v>
      </c>
      <c r="D112" s="135" t="s">
        <v>766</v>
      </c>
      <c r="E112" s="136"/>
      <c r="F112" s="68" t="s">
        <v>1100</v>
      </c>
      <c r="G112" s="18">
        <v>178.97</v>
      </c>
      <c r="H112" s="18">
        <v>0</v>
      </c>
    </row>
    <row r="113" spans="1:8" ht="12.2" customHeight="1" x14ac:dyDescent="0.2">
      <c r="A113" s="72"/>
      <c r="B113" s="72"/>
      <c r="C113" s="72"/>
      <c r="D113" s="157" t="s">
        <v>1232</v>
      </c>
      <c r="E113" s="157"/>
      <c r="F113" s="75"/>
      <c r="G113" s="50">
        <v>118.29</v>
      </c>
    </row>
    <row r="114" spans="1:8" ht="12.2" customHeight="1" x14ac:dyDescent="0.2">
      <c r="A114" s="68"/>
      <c r="B114" s="68"/>
      <c r="C114" s="68"/>
      <c r="D114" s="157" t="s">
        <v>1233</v>
      </c>
      <c r="E114" s="157"/>
      <c r="F114" s="74"/>
      <c r="G114" s="50">
        <v>60.68</v>
      </c>
      <c r="H114" s="29"/>
    </row>
    <row r="115" spans="1:8" x14ac:dyDescent="0.2">
      <c r="A115" s="68" t="s">
        <v>63</v>
      </c>
      <c r="B115" s="68" t="s">
        <v>1137</v>
      </c>
      <c r="C115" s="68" t="s">
        <v>403</v>
      </c>
      <c r="D115" s="135" t="s">
        <v>769</v>
      </c>
      <c r="E115" s="136"/>
      <c r="F115" s="68" t="s">
        <v>1102</v>
      </c>
      <c r="G115" s="18">
        <v>23.356999999999999</v>
      </c>
      <c r="H115" s="18">
        <v>0</v>
      </c>
    </row>
    <row r="116" spans="1:8" ht="12.2" customHeight="1" x14ac:dyDescent="0.2">
      <c r="A116" s="72"/>
      <c r="B116" s="72"/>
      <c r="C116" s="72"/>
      <c r="D116" s="157" t="s">
        <v>1234</v>
      </c>
      <c r="E116" s="157"/>
      <c r="F116" s="70"/>
      <c r="G116" s="50">
        <v>23.356999999999999</v>
      </c>
    </row>
    <row r="117" spans="1:8" x14ac:dyDescent="0.2">
      <c r="A117" s="68" t="s">
        <v>64</v>
      </c>
      <c r="B117" s="68" t="s">
        <v>1137</v>
      </c>
      <c r="C117" s="68" t="s">
        <v>404</v>
      </c>
      <c r="D117" s="135" t="s">
        <v>770</v>
      </c>
      <c r="E117" s="136"/>
      <c r="F117" s="68" t="s">
        <v>1102</v>
      </c>
      <c r="G117" s="18">
        <v>49.771999999999998</v>
      </c>
      <c r="H117" s="18">
        <v>0</v>
      </c>
    </row>
    <row r="118" spans="1:8" ht="12.2" customHeight="1" x14ac:dyDescent="0.2">
      <c r="A118" s="72"/>
      <c r="B118" s="72"/>
      <c r="C118" s="72"/>
      <c r="D118" s="157" t="s">
        <v>1235</v>
      </c>
      <c r="E118" s="157"/>
      <c r="F118" s="75"/>
      <c r="G118" s="50">
        <v>49.771999999999998</v>
      </c>
    </row>
    <row r="119" spans="1:8" x14ac:dyDescent="0.2">
      <c r="A119" s="68" t="s">
        <v>65</v>
      </c>
      <c r="B119" s="68" t="s">
        <v>1137</v>
      </c>
      <c r="C119" s="68" t="s">
        <v>405</v>
      </c>
      <c r="D119" s="135" t="s">
        <v>771</v>
      </c>
      <c r="E119" s="136"/>
      <c r="F119" s="68" t="s">
        <v>1102</v>
      </c>
      <c r="G119" s="18">
        <v>149.316</v>
      </c>
      <c r="H119" s="18">
        <v>0</v>
      </c>
    </row>
    <row r="120" spans="1:8" ht="12.2" customHeight="1" x14ac:dyDescent="0.2">
      <c r="A120" s="72"/>
      <c r="B120" s="72"/>
      <c r="C120" s="72"/>
      <c r="D120" s="157" t="s">
        <v>1236</v>
      </c>
      <c r="E120" s="157"/>
      <c r="F120" s="75"/>
      <c r="G120" s="50">
        <v>149.316</v>
      </c>
    </row>
    <row r="121" spans="1:8" x14ac:dyDescent="0.2">
      <c r="A121" s="68" t="s">
        <v>66</v>
      </c>
      <c r="B121" s="68" t="s">
        <v>1137</v>
      </c>
      <c r="C121" s="68" t="s">
        <v>406</v>
      </c>
      <c r="D121" s="135" t="s">
        <v>772</v>
      </c>
      <c r="E121" s="136"/>
      <c r="F121" s="68" t="s">
        <v>1102</v>
      </c>
      <c r="G121" s="18">
        <v>49.771999999999998</v>
      </c>
      <c r="H121" s="18">
        <v>0</v>
      </c>
    </row>
    <row r="122" spans="1:8" x14ac:dyDescent="0.2">
      <c r="A122" s="68" t="s">
        <v>67</v>
      </c>
      <c r="B122" s="68" t="s">
        <v>1137</v>
      </c>
      <c r="C122" s="68" t="s">
        <v>407</v>
      </c>
      <c r="D122" s="135" t="s">
        <v>773</v>
      </c>
      <c r="E122" s="136"/>
      <c r="F122" s="68" t="s">
        <v>1102</v>
      </c>
      <c r="G122" s="18">
        <v>348.404</v>
      </c>
      <c r="H122" s="18">
        <v>0</v>
      </c>
    </row>
    <row r="123" spans="1:8" ht="12.2" customHeight="1" x14ac:dyDescent="0.2">
      <c r="A123" s="72"/>
      <c r="B123" s="72"/>
      <c r="C123" s="72"/>
      <c r="D123" s="157" t="s">
        <v>1237</v>
      </c>
      <c r="E123" s="157"/>
      <c r="F123" s="75"/>
      <c r="G123" s="50">
        <v>348.404</v>
      </c>
    </row>
    <row r="124" spans="1:8" x14ac:dyDescent="0.2">
      <c r="A124" s="68" t="s">
        <v>68</v>
      </c>
      <c r="B124" s="68" t="s">
        <v>1137</v>
      </c>
      <c r="C124" s="68" t="s">
        <v>408</v>
      </c>
      <c r="D124" s="135" t="s">
        <v>774</v>
      </c>
      <c r="E124" s="136"/>
      <c r="F124" s="68" t="s">
        <v>1102</v>
      </c>
      <c r="G124" s="18">
        <v>49.771999999999998</v>
      </c>
      <c r="H124" s="18">
        <v>0</v>
      </c>
    </row>
    <row r="125" spans="1:8" x14ac:dyDescent="0.2">
      <c r="A125" s="68" t="s">
        <v>69</v>
      </c>
      <c r="B125" s="68" t="s">
        <v>1137</v>
      </c>
      <c r="C125" s="68" t="s">
        <v>409</v>
      </c>
      <c r="D125" s="135" t="s">
        <v>775</v>
      </c>
      <c r="E125" s="136"/>
      <c r="F125" s="68" t="s">
        <v>1102</v>
      </c>
      <c r="G125" s="18">
        <v>49.771999999999998</v>
      </c>
      <c r="H125" s="18">
        <v>0</v>
      </c>
    </row>
    <row r="126" spans="1:8" x14ac:dyDescent="0.2">
      <c r="A126" s="68" t="s">
        <v>70</v>
      </c>
      <c r="B126" s="68" t="s">
        <v>1137</v>
      </c>
      <c r="C126" s="68" t="s">
        <v>410</v>
      </c>
      <c r="D126" s="135" t="s">
        <v>776</v>
      </c>
      <c r="E126" s="136"/>
      <c r="F126" s="68" t="s">
        <v>1102</v>
      </c>
      <c r="G126" s="18">
        <v>49.771999999999998</v>
      </c>
      <c r="H126" s="18">
        <v>0</v>
      </c>
    </row>
    <row r="127" spans="1:8" x14ac:dyDescent="0.2">
      <c r="A127" s="68" t="s">
        <v>71</v>
      </c>
      <c r="B127" s="68" t="s">
        <v>1137</v>
      </c>
      <c r="C127" s="68" t="s">
        <v>411</v>
      </c>
      <c r="D127" s="135" t="s">
        <v>777</v>
      </c>
      <c r="E127" s="135"/>
      <c r="F127" s="68" t="s">
        <v>1102</v>
      </c>
      <c r="G127" s="18">
        <v>47.569000000000003</v>
      </c>
      <c r="H127" s="18">
        <v>0</v>
      </c>
    </row>
    <row r="128" spans="1:8" ht="12.2" customHeight="1" x14ac:dyDescent="0.2">
      <c r="A128" s="72"/>
      <c r="B128" s="72"/>
      <c r="C128" s="72"/>
      <c r="D128" s="157" t="s">
        <v>1238</v>
      </c>
      <c r="E128" s="157"/>
      <c r="F128" s="75"/>
      <c r="G128" s="50">
        <v>47.569000000000003</v>
      </c>
    </row>
    <row r="129" spans="1:8" x14ac:dyDescent="0.2">
      <c r="A129" s="68" t="s">
        <v>72</v>
      </c>
      <c r="B129" s="68" t="s">
        <v>1137</v>
      </c>
      <c r="C129" s="68" t="s">
        <v>412</v>
      </c>
      <c r="D129" s="135" t="s">
        <v>779</v>
      </c>
      <c r="E129" s="135"/>
      <c r="F129" s="68" t="s">
        <v>1102</v>
      </c>
      <c r="G129" s="18">
        <v>2.2029999999999998</v>
      </c>
      <c r="H129" s="18">
        <v>0</v>
      </c>
    </row>
    <row r="130" spans="1:8" ht="12.2" customHeight="1" x14ac:dyDescent="0.2">
      <c r="A130" s="72"/>
      <c r="B130" s="72"/>
      <c r="C130" s="72"/>
      <c r="D130" s="157" t="s">
        <v>1239</v>
      </c>
      <c r="E130" s="157"/>
      <c r="F130" s="75"/>
      <c r="G130" s="50">
        <v>2.2029999999999998</v>
      </c>
    </row>
    <row r="131" spans="1:8" x14ac:dyDescent="0.2">
      <c r="A131" s="68" t="s">
        <v>73</v>
      </c>
      <c r="B131" s="68" t="s">
        <v>1137</v>
      </c>
      <c r="C131" s="68" t="s">
        <v>414</v>
      </c>
      <c r="D131" s="135" t="s">
        <v>781</v>
      </c>
      <c r="E131" s="136"/>
      <c r="F131" s="68" t="s">
        <v>1102</v>
      </c>
      <c r="G131" s="18">
        <v>43.604199999999999</v>
      </c>
      <c r="H131" s="18">
        <v>0</v>
      </c>
    </row>
    <row r="132" spans="1:8" ht="12.2" customHeight="1" x14ac:dyDescent="0.2">
      <c r="A132" s="72"/>
      <c r="B132" s="72"/>
      <c r="C132" s="72"/>
      <c r="D132" s="157" t="s">
        <v>1240</v>
      </c>
      <c r="E132" s="157"/>
      <c r="F132" s="75"/>
      <c r="G132" s="50">
        <v>43.604199999999999</v>
      </c>
    </row>
    <row r="133" spans="1:8" x14ac:dyDescent="0.2">
      <c r="A133" s="68" t="s">
        <v>74</v>
      </c>
      <c r="B133" s="68" t="s">
        <v>1137</v>
      </c>
      <c r="C133" s="68" t="s">
        <v>416</v>
      </c>
      <c r="D133" s="135" t="s">
        <v>783</v>
      </c>
      <c r="E133" s="136"/>
      <c r="F133" s="68" t="s">
        <v>1101</v>
      </c>
      <c r="G133" s="18">
        <v>5.2</v>
      </c>
      <c r="H133" s="18">
        <v>0</v>
      </c>
    </row>
    <row r="134" spans="1:8" x14ac:dyDescent="0.2">
      <c r="A134" s="68" t="s">
        <v>75</v>
      </c>
      <c r="B134" s="68" t="s">
        <v>1137</v>
      </c>
      <c r="C134" s="68" t="s">
        <v>417</v>
      </c>
      <c r="D134" s="135" t="s">
        <v>784</v>
      </c>
      <c r="E134" s="136"/>
      <c r="F134" s="68" t="s">
        <v>1101</v>
      </c>
      <c r="G134" s="18">
        <v>105.5</v>
      </c>
      <c r="H134" s="18">
        <v>0</v>
      </c>
    </row>
    <row r="135" spans="1:8" x14ac:dyDescent="0.2">
      <c r="A135" s="68" t="s">
        <v>76</v>
      </c>
      <c r="B135" s="68" t="s">
        <v>1137</v>
      </c>
      <c r="C135" s="68" t="s">
        <v>418</v>
      </c>
      <c r="D135" s="135" t="s">
        <v>785</v>
      </c>
      <c r="E135" s="136"/>
      <c r="F135" s="68" t="s">
        <v>1103</v>
      </c>
      <c r="G135" s="18">
        <v>16</v>
      </c>
      <c r="H135" s="18">
        <v>0</v>
      </c>
    </row>
    <row r="136" spans="1:8" x14ac:dyDescent="0.2">
      <c r="A136" s="68" t="s">
        <v>77</v>
      </c>
      <c r="B136" s="68" t="s">
        <v>1137</v>
      </c>
      <c r="C136" s="68" t="s">
        <v>419</v>
      </c>
      <c r="D136" s="135" t="s">
        <v>786</v>
      </c>
      <c r="E136" s="136"/>
      <c r="F136" s="68" t="s">
        <v>1103</v>
      </c>
      <c r="G136" s="18">
        <v>12</v>
      </c>
      <c r="H136" s="18">
        <v>0</v>
      </c>
    </row>
    <row r="137" spans="1:8" x14ac:dyDescent="0.2">
      <c r="A137" s="68" t="s">
        <v>78</v>
      </c>
      <c r="B137" s="68" t="s">
        <v>1137</v>
      </c>
      <c r="C137" s="68" t="s">
        <v>420</v>
      </c>
      <c r="D137" s="135" t="s">
        <v>787</v>
      </c>
      <c r="E137" s="136"/>
      <c r="F137" s="68" t="s">
        <v>1103</v>
      </c>
      <c r="G137" s="18">
        <v>2</v>
      </c>
      <c r="H137" s="18">
        <v>0</v>
      </c>
    </row>
    <row r="138" spans="1:8" x14ac:dyDescent="0.2">
      <c r="A138" s="68" t="s">
        <v>79</v>
      </c>
      <c r="B138" s="68" t="s">
        <v>1137</v>
      </c>
      <c r="C138" s="68" t="s">
        <v>421</v>
      </c>
      <c r="D138" s="135" t="s">
        <v>788</v>
      </c>
      <c r="E138" s="136"/>
      <c r="F138" s="68" t="s">
        <v>1103</v>
      </c>
      <c r="G138" s="18">
        <v>8</v>
      </c>
      <c r="H138" s="18">
        <v>0</v>
      </c>
    </row>
    <row r="139" spans="1:8" x14ac:dyDescent="0.2">
      <c r="A139" s="68" t="s">
        <v>80</v>
      </c>
      <c r="B139" s="68" t="s">
        <v>1137</v>
      </c>
      <c r="C139" s="68" t="s">
        <v>422</v>
      </c>
      <c r="D139" s="135" t="s">
        <v>789</v>
      </c>
      <c r="E139" s="136"/>
      <c r="F139" s="68" t="s">
        <v>1103</v>
      </c>
      <c r="G139" s="18">
        <v>2</v>
      </c>
      <c r="H139" s="18">
        <v>0</v>
      </c>
    </row>
    <row r="140" spans="1:8" x14ac:dyDescent="0.2">
      <c r="A140" s="68" t="s">
        <v>81</v>
      </c>
      <c r="B140" s="68" t="s">
        <v>1137</v>
      </c>
      <c r="C140" s="68" t="s">
        <v>423</v>
      </c>
      <c r="D140" s="135" t="s">
        <v>1329</v>
      </c>
      <c r="E140" s="136"/>
      <c r="F140" s="68" t="s">
        <v>1101</v>
      </c>
      <c r="G140" s="18">
        <v>4.5</v>
      </c>
      <c r="H140" s="18">
        <v>0</v>
      </c>
    </row>
    <row r="141" spans="1:8" x14ac:dyDescent="0.2">
      <c r="A141" s="68" t="s">
        <v>82</v>
      </c>
      <c r="B141" s="68" t="s">
        <v>1137</v>
      </c>
      <c r="C141" s="68" t="s">
        <v>424</v>
      </c>
      <c r="D141" s="135" t="s">
        <v>1328</v>
      </c>
      <c r="E141" s="136"/>
      <c r="F141" s="68" t="s">
        <v>1101</v>
      </c>
      <c r="G141" s="18">
        <v>5.5</v>
      </c>
      <c r="H141" s="18">
        <v>0</v>
      </c>
    </row>
    <row r="142" spans="1:8" x14ac:dyDescent="0.2">
      <c r="A142" s="68" t="s">
        <v>83</v>
      </c>
      <c r="B142" s="68" t="s">
        <v>1137</v>
      </c>
      <c r="C142" s="68" t="s">
        <v>425</v>
      </c>
      <c r="D142" s="135" t="s">
        <v>790</v>
      </c>
      <c r="E142" s="136"/>
      <c r="F142" s="68" t="s">
        <v>1101</v>
      </c>
      <c r="G142" s="18">
        <v>4.5</v>
      </c>
      <c r="H142" s="18">
        <v>0</v>
      </c>
    </row>
    <row r="143" spans="1:8" x14ac:dyDescent="0.2">
      <c r="A143" s="68" t="s">
        <v>84</v>
      </c>
      <c r="B143" s="68" t="s">
        <v>1137</v>
      </c>
      <c r="C143" s="68" t="s">
        <v>426</v>
      </c>
      <c r="D143" s="135" t="s">
        <v>791</v>
      </c>
      <c r="E143" s="136"/>
      <c r="F143" s="68" t="s">
        <v>1101</v>
      </c>
      <c r="G143" s="18">
        <v>43</v>
      </c>
      <c r="H143" s="18">
        <v>0</v>
      </c>
    </row>
    <row r="144" spans="1:8" x14ac:dyDescent="0.2">
      <c r="A144" s="68" t="s">
        <v>85</v>
      </c>
      <c r="B144" s="68" t="s">
        <v>1137</v>
      </c>
      <c r="C144" s="68" t="s">
        <v>427</v>
      </c>
      <c r="D144" s="135" t="s">
        <v>792</v>
      </c>
      <c r="E144" s="136"/>
      <c r="F144" s="68" t="s">
        <v>1101</v>
      </c>
      <c r="G144" s="18">
        <v>21.5</v>
      </c>
      <c r="H144" s="18">
        <v>0</v>
      </c>
    </row>
    <row r="145" spans="1:8" x14ac:dyDescent="0.2">
      <c r="A145" s="68" t="s">
        <v>86</v>
      </c>
      <c r="B145" s="68" t="s">
        <v>1137</v>
      </c>
      <c r="C145" s="68" t="s">
        <v>428</v>
      </c>
      <c r="D145" s="135" t="s">
        <v>793</v>
      </c>
      <c r="E145" s="136"/>
      <c r="F145" s="68" t="s">
        <v>1101</v>
      </c>
      <c r="G145" s="18">
        <v>87.5</v>
      </c>
      <c r="H145" s="18">
        <v>0</v>
      </c>
    </row>
    <row r="146" spans="1:8" x14ac:dyDescent="0.2">
      <c r="A146" s="68" t="s">
        <v>87</v>
      </c>
      <c r="B146" s="68" t="s">
        <v>1137</v>
      </c>
      <c r="C146" s="68" t="s">
        <v>429</v>
      </c>
      <c r="D146" s="135" t="s">
        <v>794</v>
      </c>
      <c r="E146" s="136"/>
      <c r="F146" s="68" t="s">
        <v>1101</v>
      </c>
      <c r="G146" s="18">
        <v>4</v>
      </c>
      <c r="H146" s="18">
        <v>0</v>
      </c>
    </row>
    <row r="147" spans="1:8" x14ac:dyDescent="0.2">
      <c r="A147" s="68" t="s">
        <v>88</v>
      </c>
      <c r="B147" s="68" t="s">
        <v>1137</v>
      </c>
      <c r="C147" s="68" t="s">
        <v>430</v>
      </c>
      <c r="D147" s="135" t="s">
        <v>795</v>
      </c>
      <c r="E147" s="136"/>
      <c r="F147" s="68" t="s">
        <v>1103</v>
      </c>
      <c r="G147" s="18">
        <v>54</v>
      </c>
      <c r="H147" s="18">
        <v>0</v>
      </c>
    </row>
    <row r="148" spans="1:8" x14ac:dyDescent="0.2">
      <c r="A148" s="68" t="s">
        <v>89</v>
      </c>
      <c r="B148" s="68" t="s">
        <v>1137</v>
      </c>
      <c r="C148" s="68" t="s">
        <v>431</v>
      </c>
      <c r="D148" s="135" t="s">
        <v>796</v>
      </c>
      <c r="E148" s="136"/>
      <c r="F148" s="68" t="s">
        <v>1103</v>
      </c>
      <c r="G148" s="18">
        <v>2</v>
      </c>
      <c r="H148" s="18">
        <v>0</v>
      </c>
    </row>
    <row r="149" spans="1:8" x14ac:dyDescent="0.2">
      <c r="A149" s="68" t="s">
        <v>90</v>
      </c>
      <c r="B149" s="68" t="s">
        <v>1137</v>
      </c>
      <c r="C149" s="68" t="s">
        <v>432</v>
      </c>
      <c r="D149" s="135" t="s">
        <v>797</v>
      </c>
      <c r="E149" s="136"/>
      <c r="F149" s="68" t="s">
        <v>1103</v>
      </c>
      <c r="G149" s="18">
        <v>7</v>
      </c>
      <c r="H149" s="18">
        <v>0</v>
      </c>
    </row>
    <row r="150" spans="1:8" x14ac:dyDescent="0.2">
      <c r="A150" s="68" t="s">
        <v>91</v>
      </c>
      <c r="B150" s="68" t="s">
        <v>1137</v>
      </c>
      <c r="C150" s="68" t="s">
        <v>433</v>
      </c>
      <c r="D150" s="135" t="s">
        <v>798</v>
      </c>
      <c r="E150" s="136"/>
      <c r="F150" s="68" t="s">
        <v>1103</v>
      </c>
      <c r="G150" s="18">
        <v>9</v>
      </c>
      <c r="H150" s="18">
        <v>0</v>
      </c>
    </row>
    <row r="151" spans="1:8" x14ac:dyDescent="0.2">
      <c r="A151" s="68" t="s">
        <v>92</v>
      </c>
      <c r="B151" s="68" t="s">
        <v>1137</v>
      </c>
      <c r="C151" s="68" t="s">
        <v>434</v>
      </c>
      <c r="D151" s="135" t="s">
        <v>799</v>
      </c>
      <c r="E151" s="136"/>
      <c r="F151" s="68" t="s">
        <v>1103</v>
      </c>
      <c r="G151" s="18">
        <v>18</v>
      </c>
      <c r="H151" s="18">
        <v>0</v>
      </c>
    </row>
    <row r="152" spans="1:8" x14ac:dyDescent="0.2">
      <c r="A152" s="68" t="s">
        <v>93</v>
      </c>
      <c r="B152" s="68" t="s">
        <v>1137</v>
      </c>
      <c r="C152" s="68" t="s">
        <v>435</v>
      </c>
      <c r="D152" s="135" t="s">
        <v>800</v>
      </c>
      <c r="E152" s="136"/>
      <c r="F152" s="68" t="s">
        <v>1103</v>
      </c>
      <c r="G152" s="18">
        <v>2</v>
      </c>
      <c r="H152" s="18">
        <v>0</v>
      </c>
    </row>
    <row r="153" spans="1:8" x14ac:dyDescent="0.2">
      <c r="A153" s="68" t="s">
        <v>94</v>
      </c>
      <c r="B153" s="68" t="s">
        <v>1137</v>
      </c>
      <c r="C153" s="68" t="s">
        <v>436</v>
      </c>
      <c r="D153" s="135" t="s">
        <v>801</v>
      </c>
      <c r="E153" s="136"/>
      <c r="F153" s="68" t="s">
        <v>1103</v>
      </c>
      <c r="G153" s="18">
        <v>2</v>
      </c>
      <c r="H153" s="18">
        <v>0</v>
      </c>
    </row>
    <row r="154" spans="1:8" x14ac:dyDescent="0.2">
      <c r="A154" s="68" t="s">
        <v>95</v>
      </c>
      <c r="B154" s="68" t="s">
        <v>1137</v>
      </c>
      <c r="C154" s="68" t="s">
        <v>437</v>
      </c>
      <c r="D154" s="135" t="s">
        <v>802</v>
      </c>
      <c r="E154" s="136"/>
      <c r="F154" s="68" t="s">
        <v>1103</v>
      </c>
      <c r="G154" s="18">
        <v>9</v>
      </c>
      <c r="H154" s="18">
        <v>0</v>
      </c>
    </row>
    <row r="155" spans="1:8" x14ac:dyDescent="0.2">
      <c r="A155" s="68" t="s">
        <v>96</v>
      </c>
      <c r="B155" s="68" t="s">
        <v>1137</v>
      </c>
      <c r="C155" s="68" t="s">
        <v>438</v>
      </c>
      <c r="D155" s="135" t="s">
        <v>803</v>
      </c>
      <c r="E155" s="136"/>
      <c r="F155" s="68" t="s">
        <v>1103</v>
      </c>
      <c r="G155" s="18">
        <v>1</v>
      </c>
      <c r="H155" s="18">
        <v>0</v>
      </c>
    </row>
    <row r="156" spans="1:8" x14ac:dyDescent="0.2">
      <c r="A156" s="68" t="s">
        <v>97</v>
      </c>
      <c r="B156" s="68" t="s">
        <v>1137</v>
      </c>
      <c r="C156" s="68" t="s">
        <v>439</v>
      </c>
      <c r="D156" s="135" t="s">
        <v>804</v>
      </c>
      <c r="E156" s="136"/>
      <c r="F156" s="68" t="s">
        <v>1103</v>
      </c>
      <c r="G156" s="18">
        <v>2</v>
      </c>
      <c r="H156" s="18">
        <v>0</v>
      </c>
    </row>
    <row r="157" spans="1:8" x14ac:dyDescent="0.2">
      <c r="A157" s="68" t="s">
        <v>98</v>
      </c>
      <c r="B157" s="68" t="s">
        <v>1137</v>
      </c>
      <c r="C157" s="68" t="s">
        <v>440</v>
      </c>
      <c r="D157" s="135" t="s">
        <v>805</v>
      </c>
      <c r="E157" s="136"/>
      <c r="F157" s="68" t="s">
        <v>1103</v>
      </c>
      <c r="G157" s="18">
        <v>7</v>
      </c>
      <c r="H157" s="18">
        <v>0</v>
      </c>
    </row>
    <row r="158" spans="1:8" x14ac:dyDescent="0.2">
      <c r="A158" s="68" t="s">
        <v>99</v>
      </c>
      <c r="B158" s="68" t="s">
        <v>1137</v>
      </c>
      <c r="C158" s="68" t="s">
        <v>441</v>
      </c>
      <c r="D158" s="135" t="s">
        <v>806</v>
      </c>
      <c r="E158" s="136"/>
      <c r="F158" s="68" t="s">
        <v>1103</v>
      </c>
      <c r="G158" s="18">
        <v>1</v>
      </c>
      <c r="H158" s="18">
        <v>0</v>
      </c>
    </row>
    <row r="159" spans="1:8" x14ac:dyDescent="0.2">
      <c r="A159" s="68" t="s">
        <v>100</v>
      </c>
      <c r="B159" s="68" t="s">
        <v>1137</v>
      </c>
      <c r="C159" s="68" t="s">
        <v>442</v>
      </c>
      <c r="D159" s="135" t="s">
        <v>807</v>
      </c>
      <c r="E159" s="136"/>
      <c r="F159" s="68" t="s">
        <v>1103</v>
      </c>
      <c r="G159" s="18">
        <v>2</v>
      </c>
      <c r="H159" s="18">
        <v>0</v>
      </c>
    </row>
    <row r="160" spans="1:8" x14ac:dyDescent="0.2">
      <c r="A160" s="68" t="s">
        <v>101</v>
      </c>
      <c r="B160" s="68" t="s">
        <v>1137</v>
      </c>
      <c r="C160" s="68" t="s">
        <v>443</v>
      </c>
      <c r="D160" s="135" t="s">
        <v>808</v>
      </c>
      <c r="E160" s="136"/>
      <c r="F160" s="68" t="s">
        <v>1103</v>
      </c>
      <c r="G160" s="18">
        <v>4</v>
      </c>
      <c r="H160" s="18">
        <v>0</v>
      </c>
    </row>
    <row r="161" spans="1:8" x14ac:dyDescent="0.2">
      <c r="A161" s="68" t="s">
        <v>102</v>
      </c>
      <c r="B161" s="68" t="s">
        <v>1137</v>
      </c>
      <c r="C161" s="68" t="s">
        <v>444</v>
      </c>
      <c r="D161" s="135" t="s">
        <v>809</v>
      </c>
      <c r="E161" s="136"/>
      <c r="F161" s="68" t="s">
        <v>1103</v>
      </c>
      <c r="G161" s="18">
        <v>3</v>
      </c>
      <c r="H161" s="18">
        <v>0</v>
      </c>
    </row>
    <row r="162" spans="1:8" x14ac:dyDescent="0.2">
      <c r="A162" s="68" t="s">
        <v>103</v>
      </c>
      <c r="B162" s="68" t="s">
        <v>1137</v>
      </c>
      <c r="C162" s="68" t="s">
        <v>445</v>
      </c>
      <c r="D162" s="135" t="s">
        <v>810</v>
      </c>
      <c r="E162" s="136"/>
      <c r="F162" s="68" t="s">
        <v>1103</v>
      </c>
      <c r="G162" s="18">
        <v>3</v>
      </c>
      <c r="H162" s="18">
        <v>0</v>
      </c>
    </row>
    <row r="163" spans="1:8" x14ac:dyDescent="0.2">
      <c r="A163" s="68" t="s">
        <v>104</v>
      </c>
      <c r="B163" s="68" t="s">
        <v>1137</v>
      </c>
      <c r="C163" s="68" t="s">
        <v>446</v>
      </c>
      <c r="D163" s="135" t="s">
        <v>811</v>
      </c>
      <c r="E163" s="136"/>
      <c r="F163" s="68" t="s">
        <v>1103</v>
      </c>
      <c r="G163" s="18">
        <v>4</v>
      </c>
      <c r="H163" s="18">
        <v>0</v>
      </c>
    </row>
    <row r="164" spans="1:8" x14ac:dyDescent="0.2">
      <c r="A164" s="68" t="s">
        <v>105</v>
      </c>
      <c r="B164" s="68" t="s">
        <v>1137</v>
      </c>
      <c r="C164" s="68" t="s">
        <v>447</v>
      </c>
      <c r="D164" s="135" t="s">
        <v>812</v>
      </c>
      <c r="E164" s="136"/>
      <c r="F164" s="68" t="s">
        <v>1103</v>
      </c>
      <c r="G164" s="18">
        <v>2</v>
      </c>
      <c r="H164" s="18">
        <v>0</v>
      </c>
    </row>
    <row r="165" spans="1:8" x14ac:dyDescent="0.2">
      <c r="A165" s="68" t="s">
        <v>106</v>
      </c>
      <c r="B165" s="68" t="s">
        <v>1137</v>
      </c>
      <c r="C165" s="68" t="s">
        <v>448</v>
      </c>
      <c r="D165" s="135" t="s">
        <v>813</v>
      </c>
      <c r="E165" s="136"/>
      <c r="F165" s="68" t="s">
        <v>1103</v>
      </c>
      <c r="G165" s="18">
        <v>2</v>
      </c>
      <c r="H165" s="18">
        <v>0</v>
      </c>
    </row>
    <row r="166" spans="1:8" x14ac:dyDescent="0.2">
      <c r="A166" s="68" t="s">
        <v>107</v>
      </c>
      <c r="B166" s="68" t="s">
        <v>1137</v>
      </c>
      <c r="C166" s="68" t="s">
        <v>449</v>
      </c>
      <c r="D166" s="135" t="s">
        <v>814</v>
      </c>
      <c r="E166" s="136"/>
      <c r="F166" s="68" t="s">
        <v>1103</v>
      </c>
      <c r="G166" s="18">
        <v>2</v>
      </c>
      <c r="H166" s="18">
        <v>0</v>
      </c>
    </row>
    <row r="167" spans="1:8" x14ac:dyDescent="0.2">
      <c r="A167" s="68" t="s">
        <v>108</v>
      </c>
      <c r="B167" s="68" t="s">
        <v>1137</v>
      </c>
      <c r="C167" s="68" t="s">
        <v>450</v>
      </c>
      <c r="D167" s="135" t="s">
        <v>815</v>
      </c>
      <c r="E167" s="136"/>
      <c r="F167" s="68" t="s">
        <v>1103</v>
      </c>
      <c r="G167" s="18">
        <v>2</v>
      </c>
      <c r="H167" s="18">
        <v>0</v>
      </c>
    </row>
    <row r="168" spans="1:8" x14ac:dyDescent="0.2">
      <c r="A168" s="68" t="s">
        <v>109</v>
      </c>
      <c r="B168" s="68" t="s">
        <v>1137</v>
      </c>
      <c r="C168" s="68" t="s">
        <v>451</v>
      </c>
      <c r="D168" s="135" t="s">
        <v>816</v>
      </c>
      <c r="E168" s="136"/>
      <c r="F168" s="68" t="s">
        <v>1103</v>
      </c>
      <c r="G168" s="18">
        <v>2</v>
      </c>
      <c r="H168" s="18">
        <v>0</v>
      </c>
    </row>
    <row r="169" spans="1:8" x14ac:dyDescent="0.2">
      <c r="A169" s="68" t="s">
        <v>110</v>
      </c>
      <c r="B169" s="68" t="s">
        <v>1137</v>
      </c>
      <c r="C169" s="68" t="s">
        <v>452</v>
      </c>
      <c r="D169" s="135" t="s">
        <v>817</v>
      </c>
      <c r="E169" s="136"/>
      <c r="F169" s="68" t="s">
        <v>1101</v>
      </c>
      <c r="G169" s="18">
        <v>47.5</v>
      </c>
      <c r="H169" s="18">
        <v>0</v>
      </c>
    </row>
    <row r="170" spans="1:8" x14ac:dyDescent="0.2">
      <c r="A170" s="68" t="s">
        <v>111</v>
      </c>
      <c r="B170" s="68" t="s">
        <v>1137</v>
      </c>
      <c r="C170" s="68" t="s">
        <v>453</v>
      </c>
      <c r="D170" s="135" t="s">
        <v>818</v>
      </c>
      <c r="E170" s="136"/>
      <c r="F170" s="68" t="s">
        <v>1103</v>
      </c>
      <c r="G170" s="18">
        <v>9</v>
      </c>
      <c r="H170" s="18">
        <v>0</v>
      </c>
    </row>
    <row r="171" spans="1:8" x14ac:dyDescent="0.2">
      <c r="A171" s="68" t="s">
        <v>112</v>
      </c>
      <c r="B171" s="68" t="s">
        <v>1137</v>
      </c>
      <c r="C171" s="68" t="s">
        <v>454</v>
      </c>
      <c r="D171" s="135" t="s">
        <v>819</v>
      </c>
      <c r="E171" s="136"/>
      <c r="F171" s="68" t="s">
        <v>1103</v>
      </c>
      <c r="G171" s="18">
        <v>1</v>
      </c>
      <c r="H171" s="18">
        <v>0</v>
      </c>
    </row>
    <row r="172" spans="1:8" x14ac:dyDescent="0.2">
      <c r="A172" s="68" t="s">
        <v>113</v>
      </c>
      <c r="B172" s="68" t="s">
        <v>1137</v>
      </c>
      <c r="C172" s="68" t="s">
        <v>455</v>
      </c>
      <c r="D172" s="135" t="s">
        <v>820</v>
      </c>
      <c r="E172" s="136"/>
      <c r="F172" s="68" t="s">
        <v>1104</v>
      </c>
      <c r="G172" s="18">
        <v>50</v>
      </c>
      <c r="H172" s="18">
        <v>0</v>
      </c>
    </row>
    <row r="173" spans="1:8" x14ac:dyDescent="0.2">
      <c r="A173" s="68" t="s">
        <v>114</v>
      </c>
      <c r="B173" s="68" t="s">
        <v>1137</v>
      </c>
      <c r="C173" s="68" t="s">
        <v>456</v>
      </c>
      <c r="D173" s="135" t="s">
        <v>821</v>
      </c>
      <c r="E173" s="136"/>
      <c r="F173" s="68" t="s">
        <v>1101</v>
      </c>
      <c r="G173" s="18">
        <v>170.5</v>
      </c>
      <c r="H173" s="18">
        <v>0</v>
      </c>
    </row>
    <row r="174" spans="1:8" x14ac:dyDescent="0.2">
      <c r="A174" s="68" t="s">
        <v>115</v>
      </c>
      <c r="B174" s="68" t="s">
        <v>1137</v>
      </c>
      <c r="C174" s="68" t="s">
        <v>457</v>
      </c>
      <c r="D174" s="135" t="s">
        <v>822</v>
      </c>
      <c r="E174" s="136"/>
      <c r="F174" s="68" t="s">
        <v>1101</v>
      </c>
      <c r="G174" s="18">
        <v>170.5</v>
      </c>
      <c r="H174" s="18">
        <v>0</v>
      </c>
    </row>
    <row r="175" spans="1:8" x14ac:dyDescent="0.2">
      <c r="A175" s="68" t="s">
        <v>116</v>
      </c>
      <c r="B175" s="68" t="s">
        <v>1137</v>
      </c>
      <c r="C175" s="68" t="s">
        <v>458</v>
      </c>
      <c r="D175" s="135" t="s">
        <v>823</v>
      </c>
      <c r="E175" s="136"/>
      <c r="F175" s="68" t="s">
        <v>1101</v>
      </c>
      <c r="G175" s="18">
        <v>170.5</v>
      </c>
      <c r="H175" s="18">
        <v>0</v>
      </c>
    </row>
    <row r="176" spans="1:8" x14ac:dyDescent="0.2">
      <c r="A176" s="68" t="s">
        <v>117</v>
      </c>
      <c r="B176" s="68" t="s">
        <v>1137</v>
      </c>
      <c r="C176" s="68" t="s">
        <v>459</v>
      </c>
      <c r="D176" s="135" t="s">
        <v>824</v>
      </c>
      <c r="E176" s="136"/>
      <c r="F176" s="68" t="s">
        <v>1103</v>
      </c>
      <c r="G176" s="18">
        <v>8</v>
      </c>
      <c r="H176" s="18">
        <v>0</v>
      </c>
    </row>
    <row r="177" spans="1:8" x14ac:dyDescent="0.2">
      <c r="A177" s="68" t="s">
        <v>118</v>
      </c>
      <c r="B177" s="68" t="s">
        <v>1137</v>
      </c>
      <c r="C177" s="68" t="s">
        <v>460</v>
      </c>
      <c r="D177" s="135" t="s">
        <v>825</v>
      </c>
      <c r="E177" s="136"/>
      <c r="F177" s="68" t="s">
        <v>1104</v>
      </c>
      <c r="G177" s="18">
        <v>25</v>
      </c>
      <c r="H177" s="18">
        <v>0</v>
      </c>
    </row>
    <row r="178" spans="1:8" x14ac:dyDescent="0.2">
      <c r="A178" s="68" t="s">
        <v>119</v>
      </c>
      <c r="B178" s="68" t="s">
        <v>1137</v>
      </c>
      <c r="C178" s="68" t="s">
        <v>461</v>
      </c>
      <c r="D178" s="135" t="s">
        <v>826</v>
      </c>
      <c r="E178" s="136"/>
      <c r="F178" s="68" t="s">
        <v>1103</v>
      </c>
      <c r="G178" s="18">
        <v>1</v>
      </c>
      <c r="H178" s="18">
        <v>0</v>
      </c>
    </row>
    <row r="179" spans="1:8" x14ac:dyDescent="0.2">
      <c r="A179" s="68" t="s">
        <v>120</v>
      </c>
      <c r="B179" s="68" t="s">
        <v>1137</v>
      </c>
      <c r="C179" s="68" t="s">
        <v>462</v>
      </c>
      <c r="D179" s="135" t="s">
        <v>827</v>
      </c>
      <c r="E179" s="136"/>
      <c r="F179" s="68" t="s">
        <v>1103</v>
      </c>
      <c r="G179" s="18">
        <v>1</v>
      </c>
      <c r="H179" s="18">
        <v>0</v>
      </c>
    </row>
    <row r="180" spans="1:8" x14ac:dyDescent="0.2">
      <c r="A180" s="68" t="s">
        <v>121</v>
      </c>
      <c r="B180" s="68" t="s">
        <v>1137</v>
      </c>
      <c r="C180" s="68" t="s">
        <v>463</v>
      </c>
      <c r="D180" s="135" t="s">
        <v>828</v>
      </c>
      <c r="E180" s="136"/>
      <c r="F180" s="68" t="s">
        <v>1103</v>
      </c>
      <c r="G180" s="18">
        <v>1</v>
      </c>
      <c r="H180" s="18">
        <v>0</v>
      </c>
    </row>
    <row r="181" spans="1:8" x14ac:dyDescent="0.2">
      <c r="A181" s="68" t="s">
        <v>122</v>
      </c>
      <c r="B181" s="68" t="s">
        <v>1137</v>
      </c>
      <c r="C181" s="68" t="s">
        <v>465</v>
      </c>
      <c r="D181" s="135" t="s">
        <v>830</v>
      </c>
      <c r="E181" s="136"/>
      <c r="F181" s="68" t="s">
        <v>1101</v>
      </c>
      <c r="G181" s="18">
        <v>79.5</v>
      </c>
      <c r="H181" s="18">
        <v>0</v>
      </c>
    </row>
    <row r="182" spans="1:8" x14ac:dyDescent="0.2">
      <c r="A182" s="68" t="s">
        <v>123</v>
      </c>
      <c r="B182" s="68" t="s">
        <v>1137</v>
      </c>
      <c r="C182" s="68" t="s">
        <v>466</v>
      </c>
      <c r="D182" s="135" t="s">
        <v>831</v>
      </c>
      <c r="E182" s="136"/>
      <c r="F182" s="68" t="s">
        <v>1103</v>
      </c>
      <c r="G182" s="18">
        <v>8</v>
      </c>
      <c r="H182" s="18">
        <v>0</v>
      </c>
    </row>
    <row r="183" spans="1:8" x14ac:dyDescent="0.2">
      <c r="A183" s="68" t="s">
        <v>124</v>
      </c>
      <c r="B183" s="68" t="s">
        <v>1137</v>
      </c>
      <c r="C183" s="68" t="s">
        <v>467</v>
      </c>
      <c r="D183" s="135" t="s">
        <v>832</v>
      </c>
      <c r="E183" s="136"/>
      <c r="F183" s="68" t="s">
        <v>1103</v>
      </c>
      <c r="G183" s="18">
        <v>6</v>
      </c>
      <c r="H183" s="18">
        <v>0</v>
      </c>
    </row>
    <row r="184" spans="1:8" x14ac:dyDescent="0.2">
      <c r="A184" s="68" t="s">
        <v>125</v>
      </c>
      <c r="B184" s="68" t="s">
        <v>1137</v>
      </c>
      <c r="C184" s="68" t="s">
        <v>468</v>
      </c>
      <c r="D184" s="135" t="s">
        <v>833</v>
      </c>
      <c r="E184" s="136"/>
      <c r="F184" s="68" t="s">
        <v>1103</v>
      </c>
      <c r="G184" s="18">
        <v>4</v>
      </c>
      <c r="H184" s="18">
        <v>0</v>
      </c>
    </row>
    <row r="185" spans="1:8" x14ac:dyDescent="0.2">
      <c r="A185" s="68" t="s">
        <v>126</v>
      </c>
      <c r="B185" s="68" t="s">
        <v>1137</v>
      </c>
      <c r="C185" s="68" t="s">
        <v>469</v>
      </c>
      <c r="D185" s="135" t="s">
        <v>834</v>
      </c>
      <c r="E185" s="136"/>
      <c r="F185" s="68" t="s">
        <v>1103</v>
      </c>
      <c r="G185" s="18">
        <v>1</v>
      </c>
      <c r="H185" s="18">
        <v>0</v>
      </c>
    </row>
    <row r="186" spans="1:8" x14ac:dyDescent="0.2">
      <c r="A186" s="68" t="s">
        <v>127</v>
      </c>
      <c r="B186" s="68" t="s">
        <v>1137</v>
      </c>
      <c r="C186" s="68" t="s">
        <v>470</v>
      </c>
      <c r="D186" s="135" t="s">
        <v>835</v>
      </c>
      <c r="E186" s="136"/>
      <c r="F186" s="68" t="s">
        <v>1103</v>
      </c>
      <c r="G186" s="18">
        <v>1</v>
      </c>
      <c r="H186" s="18">
        <v>0</v>
      </c>
    </row>
    <row r="187" spans="1:8" x14ac:dyDescent="0.2">
      <c r="A187" s="68" t="s">
        <v>128</v>
      </c>
      <c r="B187" s="68" t="s">
        <v>1137</v>
      </c>
      <c r="C187" s="68" t="s">
        <v>471</v>
      </c>
      <c r="D187" s="135" t="s">
        <v>836</v>
      </c>
      <c r="E187" s="136"/>
      <c r="F187" s="68" t="s">
        <v>1101</v>
      </c>
      <c r="G187" s="18">
        <v>170.5</v>
      </c>
      <c r="H187" s="18">
        <v>0</v>
      </c>
    </row>
    <row r="188" spans="1:8" x14ac:dyDescent="0.2">
      <c r="A188" s="68" t="s">
        <v>129</v>
      </c>
      <c r="B188" s="68" t="s">
        <v>1137</v>
      </c>
      <c r="C188" s="68" t="s">
        <v>472</v>
      </c>
      <c r="D188" s="135" t="s">
        <v>837</v>
      </c>
      <c r="E188" s="136"/>
      <c r="F188" s="68" t="s">
        <v>1101</v>
      </c>
      <c r="G188" s="18">
        <v>31.5</v>
      </c>
      <c r="H188" s="18">
        <v>0</v>
      </c>
    </row>
    <row r="189" spans="1:8" x14ac:dyDescent="0.2">
      <c r="A189" s="68" t="s">
        <v>130</v>
      </c>
      <c r="B189" s="68" t="s">
        <v>1137</v>
      </c>
      <c r="C189" s="68" t="s">
        <v>473</v>
      </c>
      <c r="D189" s="135" t="s">
        <v>838</v>
      </c>
      <c r="E189" s="136"/>
      <c r="F189" s="68" t="s">
        <v>1101</v>
      </c>
      <c r="G189" s="18">
        <v>15</v>
      </c>
      <c r="H189" s="18">
        <v>0</v>
      </c>
    </row>
    <row r="190" spans="1:8" x14ac:dyDescent="0.2">
      <c r="A190" s="68" t="s">
        <v>131</v>
      </c>
      <c r="B190" s="68" t="s">
        <v>1137</v>
      </c>
      <c r="C190" s="68" t="s">
        <v>474</v>
      </c>
      <c r="D190" s="135" t="s">
        <v>839</v>
      </c>
      <c r="E190" s="136"/>
      <c r="F190" s="68" t="s">
        <v>1101</v>
      </c>
      <c r="G190" s="18">
        <v>18.5</v>
      </c>
      <c r="H190" s="18">
        <v>0</v>
      </c>
    </row>
    <row r="191" spans="1:8" x14ac:dyDescent="0.2">
      <c r="A191" s="68" t="s">
        <v>132</v>
      </c>
      <c r="B191" s="68" t="s">
        <v>1137</v>
      </c>
      <c r="C191" s="68" t="s">
        <v>475</v>
      </c>
      <c r="D191" s="135" t="s">
        <v>840</v>
      </c>
      <c r="E191" s="136"/>
      <c r="F191" s="68" t="s">
        <v>1101</v>
      </c>
      <c r="G191" s="18">
        <v>170.5</v>
      </c>
      <c r="H191" s="18">
        <v>0</v>
      </c>
    </row>
    <row r="192" spans="1:8" x14ac:dyDescent="0.2">
      <c r="A192" s="68" t="s">
        <v>133</v>
      </c>
      <c r="B192" s="68" t="s">
        <v>1137</v>
      </c>
      <c r="C192" s="68" t="s">
        <v>476</v>
      </c>
      <c r="D192" s="135" t="s">
        <v>841</v>
      </c>
      <c r="E192" s="136"/>
      <c r="F192" s="68" t="s">
        <v>1101</v>
      </c>
      <c r="G192" s="18">
        <v>31.5</v>
      </c>
      <c r="H192" s="18">
        <v>0</v>
      </c>
    </row>
    <row r="193" spans="1:8" x14ac:dyDescent="0.2">
      <c r="A193" s="68" t="s">
        <v>134</v>
      </c>
      <c r="B193" s="68" t="s">
        <v>1137</v>
      </c>
      <c r="C193" s="68" t="s">
        <v>477</v>
      </c>
      <c r="D193" s="135" t="s">
        <v>842</v>
      </c>
      <c r="E193" s="136"/>
      <c r="F193" s="68" t="s">
        <v>1101</v>
      </c>
      <c r="G193" s="18">
        <v>15</v>
      </c>
      <c r="H193" s="18">
        <v>0</v>
      </c>
    </row>
    <row r="194" spans="1:8" x14ac:dyDescent="0.2">
      <c r="A194" s="68" t="s">
        <v>135</v>
      </c>
      <c r="B194" s="68" t="s">
        <v>1137</v>
      </c>
      <c r="C194" s="68" t="s">
        <v>478</v>
      </c>
      <c r="D194" s="135" t="s">
        <v>843</v>
      </c>
      <c r="E194" s="136"/>
      <c r="F194" s="68" t="s">
        <v>1101</v>
      </c>
      <c r="G194" s="18">
        <v>18.5</v>
      </c>
      <c r="H194" s="18">
        <v>0</v>
      </c>
    </row>
    <row r="195" spans="1:8" x14ac:dyDescent="0.2">
      <c r="A195" s="68" t="s">
        <v>136</v>
      </c>
      <c r="B195" s="68" t="s">
        <v>1137</v>
      </c>
      <c r="C195" s="68" t="s">
        <v>479</v>
      </c>
      <c r="D195" s="135" t="s">
        <v>844</v>
      </c>
      <c r="E195" s="136"/>
      <c r="F195" s="68" t="s">
        <v>1103</v>
      </c>
      <c r="G195" s="18">
        <v>18</v>
      </c>
      <c r="H195" s="18">
        <v>0</v>
      </c>
    </row>
    <row r="196" spans="1:8" x14ac:dyDescent="0.2">
      <c r="A196" s="68" t="s">
        <v>137</v>
      </c>
      <c r="B196" s="68" t="s">
        <v>1137</v>
      </c>
      <c r="C196" s="68" t="s">
        <v>480</v>
      </c>
      <c r="D196" s="135" t="s">
        <v>845</v>
      </c>
      <c r="E196" s="136"/>
      <c r="F196" s="68" t="s">
        <v>1103</v>
      </c>
      <c r="G196" s="18">
        <v>2</v>
      </c>
      <c r="H196" s="18">
        <v>0</v>
      </c>
    </row>
    <row r="197" spans="1:8" x14ac:dyDescent="0.2">
      <c r="A197" s="68" t="s">
        <v>138</v>
      </c>
      <c r="B197" s="68" t="s">
        <v>1137</v>
      </c>
      <c r="C197" s="68" t="s">
        <v>481</v>
      </c>
      <c r="D197" s="135" t="s">
        <v>846</v>
      </c>
      <c r="E197" s="136"/>
      <c r="F197" s="68" t="s">
        <v>1103</v>
      </c>
      <c r="G197" s="18">
        <v>2</v>
      </c>
      <c r="H197" s="18">
        <v>0</v>
      </c>
    </row>
    <row r="198" spans="1:8" x14ac:dyDescent="0.2">
      <c r="A198" s="68" t="s">
        <v>139</v>
      </c>
      <c r="B198" s="68" t="s">
        <v>1137</v>
      </c>
      <c r="C198" s="68" t="s">
        <v>482</v>
      </c>
      <c r="D198" s="135" t="s">
        <v>847</v>
      </c>
      <c r="E198" s="136"/>
      <c r="F198" s="68" t="s">
        <v>1103</v>
      </c>
      <c r="G198" s="18">
        <v>9</v>
      </c>
      <c r="H198" s="18">
        <v>0</v>
      </c>
    </row>
    <row r="199" spans="1:8" x14ac:dyDescent="0.2">
      <c r="A199" s="68" t="s">
        <v>140</v>
      </c>
      <c r="B199" s="68" t="s">
        <v>1137</v>
      </c>
      <c r="C199" s="68" t="s">
        <v>483</v>
      </c>
      <c r="D199" s="135" t="s">
        <v>848</v>
      </c>
      <c r="E199" s="136"/>
      <c r="F199" s="68" t="s">
        <v>1103</v>
      </c>
      <c r="G199" s="18">
        <v>2</v>
      </c>
      <c r="H199" s="18">
        <v>0</v>
      </c>
    </row>
    <row r="200" spans="1:8" x14ac:dyDescent="0.2">
      <c r="A200" s="68" t="s">
        <v>141</v>
      </c>
      <c r="B200" s="68" t="s">
        <v>1137</v>
      </c>
      <c r="C200" s="68" t="s">
        <v>484</v>
      </c>
      <c r="D200" s="135" t="s">
        <v>849</v>
      </c>
      <c r="E200" s="136"/>
      <c r="F200" s="68" t="s">
        <v>1103</v>
      </c>
      <c r="G200" s="18">
        <v>1</v>
      </c>
      <c r="H200" s="18">
        <v>0</v>
      </c>
    </row>
    <row r="201" spans="1:8" x14ac:dyDescent="0.2">
      <c r="A201" s="68" t="s">
        <v>142</v>
      </c>
      <c r="B201" s="68" t="s">
        <v>1137</v>
      </c>
      <c r="C201" s="68" t="s">
        <v>485</v>
      </c>
      <c r="D201" s="135" t="s">
        <v>850</v>
      </c>
      <c r="E201" s="136"/>
      <c r="F201" s="68" t="s">
        <v>1103</v>
      </c>
      <c r="G201" s="18">
        <v>7</v>
      </c>
      <c r="H201" s="18">
        <v>0</v>
      </c>
    </row>
    <row r="202" spans="1:8" x14ac:dyDescent="0.2">
      <c r="A202" s="68" t="s">
        <v>143</v>
      </c>
      <c r="B202" s="68" t="s">
        <v>1137</v>
      </c>
      <c r="C202" s="68" t="s">
        <v>486</v>
      </c>
      <c r="D202" s="135" t="s">
        <v>851</v>
      </c>
      <c r="E202" s="136"/>
      <c r="F202" s="68" t="s">
        <v>1103</v>
      </c>
      <c r="G202" s="18">
        <v>1</v>
      </c>
      <c r="H202" s="18">
        <v>0</v>
      </c>
    </row>
    <row r="203" spans="1:8" x14ac:dyDescent="0.2">
      <c r="A203" s="68" t="s">
        <v>144</v>
      </c>
      <c r="B203" s="68" t="s">
        <v>1137</v>
      </c>
      <c r="C203" s="68" t="s">
        <v>487</v>
      </c>
      <c r="D203" s="135" t="s">
        <v>852</v>
      </c>
      <c r="E203" s="136"/>
      <c r="F203" s="68" t="s">
        <v>1103</v>
      </c>
      <c r="G203" s="18">
        <v>2</v>
      </c>
      <c r="H203" s="18">
        <v>0</v>
      </c>
    </row>
    <row r="204" spans="1:8" x14ac:dyDescent="0.2">
      <c r="A204" s="68" t="s">
        <v>145</v>
      </c>
      <c r="B204" s="68" t="s">
        <v>1137</v>
      </c>
      <c r="C204" s="68" t="s">
        <v>488</v>
      </c>
      <c r="D204" s="135" t="s">
        <v>853</v>
      </c>
      <c r="E204" s="136"/>
      <c r="F204" s="68" t="s">
        <v>1103</v>
      </c>
      <c r="G204" s="18">
        <v>4</v>
      </c>
      <c r="H204" s="18">
        <v>0</v>
      </c>
    </row>
    <row r="205" spans="1:8" x14ac:dyDescent="0.2">
      <c r="A205" s="68" t="s">
        <v>146</v>
      </c>
      <c r="B205" s="68" t="s">
        <v>1137</v>
      </c>
      <c r="C205" s="68" t="s">
        <v>489</v>
      </c>
      <c r="D205" s="135" t="s">
        <v>854</v>
      </c>
      <c r="E205" s="136"/>
      <c r="F205" s="68" t="s">
        <v>1103</v>
      </c>
      <c r="G205" s="18">
        <v>2</v>
      </c>
      <c r="H205" s="18">
        <v>0</v>
      </c>
    </row>
    <row r="206" spans="1:8" x14ac:dyDescent="0.2">
      <c r="A206" s="68" t="s">
        <v>147</v>
      </c>
      <c r="B206" s="68" t="s">
        <v>1137</v>
      </c>
      <c r="C206" s="68" t="s">
        <v>490</v>
      </c>
      <c r="D206" s="135" t="s">
        <v>855</v>
      </c>
      <c r="E206" s="136"/>
      <c r="F206" s="68" t="s">
        <v>1103</v>
      </c>
      <c r="G206" s="18">
        <v>2</v>
      </c>
      <c r="H206" s="18">
        <v>0</v>
      </c>
    </row>
    <row r="207" spans="1:8" x14ac:dyDescent="0.2">
      <c r="A207" s="68" t="s">
        <v>148</v>
      </c>
      <c r="B207" s="68" t="s">
        <v>1137</v>
      </c>
      <c r="C207" s="68" t="s">
        <v>491</v>
      </c>
      <c r="D207" s="135" t="s">
        <v>856</v>
      </c>
      <c r="E207" s="136"/>
      <c r="F207" s="68" t="s">
        <v>1103</v>
      </c>
      <c r="G207" s="18">
        <v>2</v>
      </c>
      <c r="H207" s="18">
        <v>0</v>
      </c>
    </row>
    <row r="208" spans="1:8" x14ac:dyDescent="0.2">
      <c r="A208" s="68" t="s">
        <v>149</v>
      </c>
      <c r="B208" s="68" t="s">
        <v>1137</v>
      </c>
      <c r="C208" s="68" t="s">
        <v>492</v>
      </c>
      <c r="D208" s="135" t="s">
        <v>857</v>
      </c>
      <c r="E208" s="136"/>
      <c r="F208" s="68" t="s">
        <v>1103</v>
      </c>
      <c r="G208" s="18">
        <v>68</v>
      </c>
      <c r="H208" s="18">
        <v>0</v>
      </c>
    </row>
    <row r="209" spans="1:8" x14ac:dyDescent="0.2">
      <c r="A209" s="68" t="s">
        <v>150</v>
      </c>
      <c r="B209" s="68" t="s">
        <v>1137</v>
      </c>
      <c r="C209" s="68" t="s">
        <v>493</v>
      </c>
      <c r="D209" s="135" t="s">
        <v>858</v>
      </c>
      <c r="E209" s="136"/>
      <c r="F209" s="68" t="s">
        <v>1103</v>
      </c>
      <c r="G209" s="18">
        <v>44</v>
      </c>
      <c r="H209" s="18">
        <v>0</v>
      </c>
    </row>
    <row r="210" spans="1:8" x14ac:dyDescent="0.2">
      <c r="A210" s="68" t="s">
        <v>151</v>
      </c>
      <c r="B210" s="68" t="s">
        <v>1137</v>
      </c>
      <c r="C210" s="68" t="s">
        <v>494</v>
      </c>
      <c r="D210" s="135" t="s">
        <v>859</v>
      </c>
      <c r="E210" s="136"/>
      <c r="F210" s="68" t="s">
        <v>1103</v>
      </c>
      <c r="G210" s="18">
        <v>2</v>
      </c>
      <c r="H210" s="18">
        <v>0</v>
      </c>
    </row>
    <row r="211" spans="1:8" x14ac:dyDescent="0.2">
      <c r="A211" s="68" t="s">
        <v>152</v>
      </c>
      <c r="B211" s="68" t="s">
        <v>1137</v>
      </c>
      <c r="C211" s="68" t="s">
        <v>495</v>
      </c>
      <c r="D211" s="135" t="s">
        <v>860</v>
      </c>
      <c r="E211" s="136"/>
      <c r="F211" s="68" t="s">
        <v>1103</v>
      </c>
      <c r="G211" s="18">
        <v>4</v>
      </c>
      <c r="H211" s="18">
        <v>0</v>
      </c>
    </row>
    <row r="212" spans="1:8" x14ac:dyDescent="0.2">
      <c r="A212" s="68" t="s">
        <v>153</v>
      </c>
      <c r="B212" s="68" t="s">
        <v>1137</v>
      </c>
      <c r="C212" s="68" t="s">
        <v>496</v>
      </c>
      <c r="D212" s="135" t="s">
        <v>861</v>
      </c>
      <c r="E212" s="136"/>
      <c r="F212" s="68" t="s">
        <v>1103</v>
      </c>
      <c r="G212" s="18">
        <v>2</v>
      </c>
      <c r="H212" s="18">
        <v>0</v>
      </c>
    </row>
    <row r="213" spans="1:8" x14ac:dyDescent="0.2">
      <c r="A213" s="68" t="s">
        <v>154</v>
      </c>
      <c r="B213" s="68" t="s">
        <v>1137</v>
      </c>
      <c r="C213" s="68" t="s">
        <v>497</v>
      </c>
      <c r="D213" s="135" t="s">
        <v>862</v>
      </c>
      <c r="E213" s="136"/>
      <c r="F213" s="68" t="s">
        <v>1103</v>
      </c>
      <c r="G213" s="18">
        <v>2</v>
      </c>
      <c r="H213" s="18">
        <v>0</v>
      </c>
    </row>
    <row r="214" spans="1:8" x14ac:dyDescent="0.2">
      <c r="A214" s="68" t="s">
        <v>155</v>
      </c>
      <c r="B214" s="68" t="s">
        <v>1137</v>
      </c>
      <c r="C214" s="68" t="s">
        <v>498</v>
      </c>
      <c r="D214" s="135" t="s">
        <v>863</v>
      </c>
      <c r="E214" s="136"/>
      <c r="F214" s="68" t="s">
        <v>1103</v>
      </c>
      <c r="G214" s="18">
        <v>2</v>
      </c>
      <c r="H214" s="18">
        <v>0</v>
      </c>
    </row>
    <row r="215" spans="1:8" x14ac:dyDescent="0.2">
      <c r="A215" s="68" t="s">
        <v>156</v>
      </c>
      <c r="B215" s="68" t="s">
        <v>1137</v>
      </c>
      <c r="C215" s="68" t="s">
        <v>499</v>
      </c>
      <c r="D215" s="135" t="s">
        <v>798</v>
      </c>
      <c r="E215" s="136"/>
      <c r="F215" s="68" t="s">
        <v>1103</v>
      </c>
      <c r="G215" s="18">
        <v>6</v>
      </c>
      <c r="H215" s="18">
        <v>0</v>
      </c>
    </row>
    <row r="216" spans="1:8" x14ac:dyDescent="0.2">
      <c r="A216" s="68" t="s">
        <v>157</v>
      </c>
      <c r="B216" s="68" t="s">
        <v>1137</v>
      </c>
      <c r="C216" s="68" t="s">
        <v>500</v>
      </c>
      <c r="D216" s="135" t="s">
        <v>864</v>
      </c>
      <c r="E216" s="136"/>
      <c r="F216" s="68" t="s">
        <v>1101</v>
      </c>
      <c r="G216" s="18">
        <v>101</v>
      </c>
      <c r="H216" s="18">
        <v>0</v>
      </c>
    </row>
    <row r="217" spans="1:8" x14ac:dyDescent="0.2">
      <c r="A217" s="68" t="s">
        <v>158</v>
      </c>
      <c r="B217" s="68" t="s">
        <v>1137</v>
      </c>
      <c r="C217" s="68" t="s">
        <v>501</v>
      </c>
      <c r="D217" s="135" t="s">
        <v>865</v>
      </c>
      <c r="E217" s="136"/>
      <c r="F217" s="68" t="s">
        <v>1101</v>
      </c>
      <c r="G217" s="18">
        <v>30.5</v>
      </c>
      <c r="H217" s="18">
        <v>0</v>
      </c>
    </row>
    <row r="218" spans="1:8" x14ac:dyDescent="0.2">
      <c r="A218" s="68" t="s">
        <v>159</v>
      </c>
      <c r="B218" s="68" t="s">
        <v>1137</v>
      </c>
      <c r="C218" s="68" t="s">
        <v>502</v>
      </c>
      <c r="D218" s="135" t="s">
        <v>866</v>
      </c>
      <c r="E218" s="136"/>
      <c r="F218" s="68" t="s">
        <v>1103</v>
      </c>
      <c r="G218" s="18">
        <v>2</v>
      </c>
      <c r="H218" s="18">
        <v>0</v>
      </c>
    </row>
    <row r="219" spans="1:8" x14ac:dyDescent="0.2">
      <c r="A219" s="68" t="s">
        <v>160</v>
      </c>
      <c r="B219" s="68" t="s">
        <v>1137</v>
      </c>
      <c r="C219" s="68" t="s">
        <v>503</v>
      </c>
      <c r="D219" s="135" t="s">
        <v>867</v>
      </c>
      <c r="E219" s="136"/>
      <c r="F219" s="68" t="s">
        <v>1103</v>
      </c>
      <c r="G219" s="18">
        <v>6</v>
      </c>
      <c r="H219" s="18">
        <v>0</v>
      </c>
    </row>
    <row r="220" spans="1:8" x14ac:dyDescent="0.2">
      <c r="A220" s="68" t="s">
        <v>161</v>
      </c>
      <c r="B220" s="68" t="s">
        <v>1137</v>
      </c>
      <c r="C220" s="68" t="s">
        <v>504</v>
      </c>
      <c r="D220" s="135" t="s">
        <v>820</v>
      </c>
      <c r="E220" s="136"/>
      <c r="F220" s="68" t="s">
        <v>1104</v>
      </c>
      <c r="G220" s="18">
        <v>40</v>
      </c>
      <c r="H220" s="18">
        <v>0</v>
      </c>
    </row>
    <row r="221" spans="1:8" x14ac:dyDescent="0.2">
      <c r="A221" s="68" t="s">
        <v>162</v>
      </c>
      <c r="B221" s="68" t="s">
        <v>1137</v>
      </c>
      <c r="C221" s="68" t="s">
        <v>505</v>
      </c>
      <c r="D221" s="135" t="s">
        <v>868</v>
      </c>
      <c r="E221" s="136"/>
      <c r="F221" s="68" t="s">
        <v>1103</v>
      </c>
      <c r="G221" s="18">
        <v>1</v>
      </c>
      <c r="H221" s="18">
        <v>0</v>
      </c>
    </row>
    <row r="222" spans="1:8" x14ac:dyDescent="0.2">
      <c r="A222" s="68" t="s">
        <v>163</v>
      </c>
      <c r="B222" s="68" t="s">
        <v>1137</v>
      </c>
      <c r="C222" s="68" t="s">
        <v>506</v>
      </c>
      <c r="D222" s="135" t="s">
        <v>869</v>
      </c>
      <c r="E222" s="136"/>
      <c r="F222" s="68" t="s">
        <v>1103</v>
      </c>
      <c r="G222" s="18">
        <v>1</v>
      </c>
      <c r="H222" s="18">
        <v>0</v>
      </c>
    </row>
    <row r="223" spans="1:8" x14ac:dyDescent="0.2">
      <c r="A223" s="68" t="s">
        <v>164</v>
      </c>
      <c r="B223" s="68" t="s">
        <v>1137</v>
      </c>
      <c r="C223" s="68" t="s">
        <v>507</v>
      </c>
      <c r="D223" s="135" t="s">
        <v>870</v>
      </c>
      <c r="E223" s="136"/>
      <c r="F223" s="68" t="s">
        <v>1103</v>
      </c>
      <c r="G223" s="18">
        <v>1</v>
      </c>
      <c r="H223" s="18">
        <v>0</v>
      </c>
    </row>
    <row r="224" spans="1:8" x14ac:dyDescent="0.2">
      <c r="A224" s="68" t="s">
        <v>165</v>
      </c>
      <c r="B224" s="68" t="s">
        <v>1137</v>
      </c>
      <c r="C224" s="68" t="s">
        <v>508</v>
      </c>
      <c r="D224" s="135" t="s">
        <v>871</v>
      </c>
      <c r="E224" s="136"/>
      <c r="F224" s="68" t="s">
        <v>1101</v>
      </c>
      <c r="G224" s="18">
        <v>235.5</v>
      </c>
      <c r="H224" s="18">
        <v>0</v>
      </c>
    </row>
    <row r="225" spans="1:8" x14ac:dyDescent="0.2">
      <c r="A225" s="68" t="s">
        <v>166</v>
      </c>
      <c r="B225" s="68" t="s">
        <v>1137</v>
      </c>
      <c r="C225" s="68" t="s">
        <v>509</v>
      </c>
      <c r="D225" s="135" t="s">
        <v>872</v>
      </c>
      <c r="E225" s="136"/>
      <c r="F225" s="68" t="s">
        <v>1101</v>
      </c>
      <c r="G225" s="18">
        <v>235.5</v>
      </c>
      <c r="H225" s="18">
        <v>0</v>
      </c>
    </row>
    <row r="226" spans="1:8" x14ac:dyDescent="0.2">
      <c r="A226" s="68" t="s">
        <v>167</v>
      </c>
      <c r="B226" s="68" t="s">
        <v>1137</v>
      </c>
      <c r="C226" s="68" t="s">
        <v>510</v>
      </c>
      <c r="D226" s="135" t="s">
        <v>873</v>
      </c>
      <c r="E226" s="136"/>
      <c r="F226" s="68" t="s">
        <v>1101</v>
      </c>
      <c r="G226" s="18">
        <v>235.5</v>
      </c>
      <c r="H226" s="18">
        <v>0</v>
      </c>
    </row>
    <row r="227" spans="1:8" x14ac:dyDescent="0.2">
      <c r="A227" s="68" t="s">
        <v>168</v>
      </c>
      <c r="B227" s="68" t="s">
        <v>1137</v>
      </c>
      <c r="C227" s="68" t="s">
        <v>511</v>
      </c>
      <c r="D227" s="135" t="s">
        <v>825</v>
      </c>
      <c r="E227" s="136"/>
      <c r="F227" s="68" t="s">
        <v>1104</v>
      </c>
      <c r="G227" s="18">
        <v>25</v>
      </c>
      <c r="H227" s="18">
        <v>0</v>
      </c>
    </row>
    <row r="228" spans="1:8" x14ac:dyDescent="0.2">
      <c r="A228" s="68" t="s">
        <v>169</v>
      </c>
      <c r="B228" s="68" t="s">
        <v>1137</v>
      </c>
      <c r="C228" s="68" t="s">
        <v>512</v>
      </c>
      <c r="D228" s="135" t="s">
        <v>826</v>
      </c>
      <c r="E228" s="136"/>
      <c r="F228" s="68" t="s">
        <v>1103</v>
      </c>
      <c r="G228" s="18">
        <v>1</v>
      </c>
      <c r="H228" s="18">
        <v>0</v>
      </c>
    </row>
    <row r="229" spans="1:8" x14ac:dyDescent="0.2">
      <c r="A229" s="68" t="s">
        <v>170</v>
      </c>
      <c r="B229" s="68" t="s">
        <v>1137</v>
      </c>
      <c r="C229" s="68" t="s">
        <v>513</v>
      </c>
      <c r="D229" s="135" t="s">
        <v>827</v>
      </c>
      <c r="E229" s="136"/>
      <c r="F229" s="68" t="s">
        <v>1103</v>
      </c>
      <c r="G229" s="18">
        <v>1</v>
      </c>
      <c r="H229" s="18">
        <v>0</v>
      </c>
    </row>
    <row r="230" spans="1:8" x14ac:dyDescent="0.2">
      <c r="A230" s="68" t="s">
        <v>171</v>
      </c>
      <c r="B230" s="68" t="s">
        <v>1137</v>
      </c>
      <c r="C230" s="68" t="s">
        <v>514</v>
      </c>
      <c r="D230" s="135" t="s">
        <v>828</v>
      </c>
      <c r="E230" s="136"/>
      <c r="F230" s="68" t="s">
        <v>1103</v>
      </c>
      <c r="G230" s="18">
        <v>1</v>
      </c>
      <c r="H230" s="18">
        <v>0</v>
      </c>
    </row>
    <row r="231" spans="1:8" x14ac:dyDescent="0.2">
      <c r="A231" s="68" t="s">
        <v>172</v>
      </c>
      <c r="B231" s="68" t="s">
        <v>1137</v>
      </c>
      <c r="C231" s="68" t="s">
        <v>107</v>
      </c>
      <c r="D231" s="135" t="s">
        <v>875</v>
      </c>
      <c r="E231" s="136"/>
      <c r="F231" s="68" t="s">
        <v>1103</v>
      </c>
      <c r="G231" s="18">
        <v>1</v>
      </c>
      <c r="H231" s="18">
        <v>0</v>
      </c>
    </row>
    <row r="232" spans="1:8" x14ac:dyDescent="0.2">
      <c r="A232" s="68" t="s">
        <v>173</v>
      </c>
      <c r="B232" s="68" t="s">
        <v>1137</v>
      </c>
      <c r="C232" s="68" t="s">
        <v>516</v>
      </c>
      <c r="D232" s="135" t="s">
        <v>876</v>
      </c>
      <c r="E232" s="136"/>
      <c r="F232" s="68" t="s">
        <v>1103</v>
      </c>
      <c r="G232" s="18">
        <v>1</v>
      </c>
      <c r="H232" s="18">
        <v>0</v>
      </c>
    </row>
    <row r="233" spans="1:8" x14ac:dyDescent="0.2">
      <c r="A233" s="68" t="s">
        <v>174</v>
      </c>
      <c r="B233" s="68" t="s">
        <v>1137</v>
      </c>
      <c r="C233" s="68" t="s">
        <v>517</v>
      </c>
      <c r="D233" s="135" t="s">
        <v>877</v>
      </c>
      <c r="E233" s="136"/>
      <c r="F233" s="68" t="s">
        <v>1103</v>
      </c>
      <c r="G233" s="18">
        <v>1</v>
      </c>
      <c r="H233" s="18">
        <v>0</v>
      </c>
    </row>
    <row r="234" spans="1:8" x14ac:dyDescent="0.2">
      <c r="A234" s="68" t="s">
        <v>175</v>
      </c>
      <c r="B234" s="68" t="s">
        <v>1137</v>
      </c>
      <c r="C234" s="68" t="s">
        <v>518</v>
      </c>
      <c r="D234" s="135" t="s">
        <v>878</v>
      </c>
      <c r="E234" s="136"/>
      <c r="F234" s="68" t="s">
        <v>1103</v>
      </c>
      <c r="G234" s="18">
        <v>1</v>
      </c>
      <c r="H234" s="18">
        <v>0</v>
      </c>
    </row>
    <row r="235" spans="1:8" x14ac:dyDescent="0.2">
      <c r="A235" s="68" t="s">
        <v>176</v>
      </c>
      <c r="B235" s="68" t="s">
        <v>1137</v>
      </c>
      <c r="C235" s="68" t="s">
        <v>111</v>
      </c>
      <c r="D235" s="135" t="s">
        <v>1324</v>
      </c>
      <c r="E235" s="136"/>
      <c r="F235" s="68" t="s">
        <v>1101</v>
      </c>
      <c r="G235" s="18">
        <v>0.6</v>
      </c>
      <c r="H235" s="18">
        <v>0</v>
      </c>
    </row>
    <row r="236" spans="1:8" x14ac:dyDescent="0.2">
      <c r="A236" s="68" t="s">
        <v>177</v>
      </c>
      <c r="B236" s="68" t="s">
        <v>1137</v>
      </c>
      <c r="C236" s="68" t="s">
        <v>112</v>
      </c>
      <c r="D236" s="135" t="s">
        <v>1325</v>
      </c>
      <c r="E236" s="136"/>
      <c r="F236" s="68" t="s">
        <v>1101</v>
      </c>
      <c r="G236" s="18">
        <v>1.9</v>
      </c>
      <c r="H236" s="18">
        <v>0</v>
      </c>
    </row>
    <row r="237" spans="1:8" x14ac:dyDescent="0.2">
      <c r="A237" s="68" t="s">
        <v>178</v>
      </c>
      <c r="B237" s="68" t="s">
        <v>1137</v>
      </c>
      <c r="C237" s="68" t="s">
        <v>113</v>
      </c>
      <c r="D237" s="135" t="s">
        <v>1326</v>
      </c>
      <c r="E237" s="136"/>
      <c r="F237" s="68" t="s">
        <v>1101</v>
      </c>
      <c r="G237" s="18">
        <v>14.5</v>
      </c>
      <c r="H237" s="18">
        <v>0</v>
      </c>
    </row>
    <row r="238" spans="1:8" x14ac:dyDescent="0.2">
      <c r="A238" s="68" t="s">
        <v>179</v>
      </c>
      <c r="B238" s="68" t="s">
        <v>1137</v>
      </c>
      <c r="C238" s="68" t="s">
        <v>116</v>
      </c>
      <c r="D238" s="135" t="s">
        <v>1327</v>
      </c>
      <c r="E238" s="136"/>
      <c r="F238" s="68" t="s">
        <v>1101</v>
      </c>
      <c r="G238" s="18">
        <v>6.5</v>
      </c>
      <c r="H238" s="18">
        <v>0</v>
      </c>
    </row>
    <row r="239" spans="1:8" x14ac:dyDescent="0.2">
      <c r="A239" s="68" t="s">
        <v>180</v>
      </c>
      <c r="B239" s="68" t="s">
        <v>1137</v>
      </c>
      <c r="C239" s="68" t="s">
        <v>119</v>
      </c>
      <c r="D239" s="135" t="s">
        <v>1320</v>
      </c>
      <c r="E239" s="136"/>
      <c r="F239" s="68" t="s">
        <v>1101</v>
      </c>
      <c r="G239" s="18">
        <v>10.9</v>
      </c>
      <c r="H239" s="18">
        <v>0</v>
      </c>
    </row>
    <row r="240" spans="1:8" x14ac:dyDescent="0.2">
      <c r="A240" s="68" t="s">
        <v>181</v>
      </c>
      <c r="B240" s="68" t="s">
        <v>1137</v>
      </c>
      <c r="C240" s="68" t="s">
        <v>120</v>
      </c>
      <c r="D240" s="135" t="s">
        <v>879</v>
      </c>
      <c r="E240" s="136"/>
      <c r="F240" s="68" t="s">
        <v>1103</v>
      </c>
      <c r="G240" s="18">
        <v>4</v>
      </c>
      <c r="H240" s="18">
        <v>0</v>
      </c>
    </row>
    <row r="241" spans="1:8" x14ac:dyDescent="0.2">
      <c r="A241" s="68" t="s">
        <v>182</v>
      </c>
      <c r="B241" s="68" t="s">
        <v>1137</v>
      </c>
      <c r="C241" s="68" t="s">
        <v>121</v>
      </c>
      <c r="D241" s="135" t="s">
        <v>880</v>
      </c>
      <c r="E241" s="136"/>
      <c r="F241" s="68" t="s">
        <v>1103</v>
      </c>
      <c r="G241" s="18">
        <v>2</v>
      </c>
      <c r="H241" s="18">
        <v>0</v>
      </c>
    </row>
    <row r="242" spans="1:8" x14ac:dyDescent="0.2">
      <c r="A242" s="68" t="s">
        <v>183</v>
      </c>
      <c r="B242" s="68" t="s">
        <v>1137</v>
      </c>
      <c r="C242" s="68" t="s">
        <v>122</v>
      </c>
      <c r="D242" s="135" t="s">
        <v>881</v>
      </c>
      <c r="E242" s="136"/>
      <c r="F242" s="68" t="s">
        <v>1103</v>
      </c>
      <c r="G242" s="18">
        <v>4</v>
      </c>
      <c r="H242" s="18">
        <v>0</v>
      </c>
    </row>
    <row r="243" spans="1:8" x14ac:dyDescent="0.2">
      <c r="A243" s="68" t="s">
        <v>184</v>
      </c>
      <c r="B243" s="68" t="s">
        <v>1137</v>
      </c>
      <c r="C243" s="68" t="s">
        <v>125</v>
      </c>
      <c r="D243" s="135" t="s">
        <v>882</v>
      </c>
      <c r="E243" s="136"/>
      <c r="F243" s="68" t="s">
        <v>1103</v>
      </c>
      <c r="G243" s="18">
        <v>1</v>
      </c>
      <c r="H243" s="18">
        <v>0</v>
      </c>
    </row>
    <row r="244" spans="1:8" x14ac:dyDescent="0.2">
      <c r="A244" s="68" t="s">
        <v>185</v>
      </c>
      <c r="B244" s="68" t="s">
        <v>1137</v>
      </c>
      <c r="C244" s="68" t="s">
        <v>128</v>
      </c>
      <c r="D244" s="135" t="s">
        <v>883</v>
      </c>
      <c r="E244" s="136"/>
      <c r="F244" s="68" t="s">
        <v>1103</v>
      </c>
      <c r="G244" s="18">
        <v>1</v>
      </c>
      <c r="H244" s="18">
        <v>0</v>
      </c>
    </row>
    <row r="245" spans="1:8" x14ac:dyDescent="0.2">
      <c r="A245" s="68" t="s">
        <v>186</v>
      </c>
      <c r="B245" s="68" t="s">
        <v>1137</v>
      </c>
      <c r="C245" s="68" t="s">
        <v>131</v>
      </c>
      <c r="D245" s="135" t="s">
        <v>884</v>
      </c>
      <c r="E245" s="136"/>
      <c r="F245" s="68" t="s">
        <v>1103</v>
      </c>
      <c r="G245" s="18">
        <v>1</v>
      </c>
      <c r="H245" s="18">
        <v>0</v>
      </c>
    </row>
    <row r="246" spans="1:8" x14ac:dyDescent="0.2">
      <c r="A246" s="68" t="s">
        <v>187</v>
      </c>
      <c r="B246" s="68" t="s">
        <v>1137</v>
      </c>
      <c r="C246" s="68" t="s">
        <v>134</v>
      </c>
      <c r="D246" s="135" t="s">
        <v>885</v>
      </c>
      <c r="E246" s="136"/>
      <c r="F246" s="68" t="s">
        <v>1103</v>
      </c>
      <c r="G246" s="18">
        <v>1</v>
      </c>
      <c r="H246" s="18">
        <v>0</v>
      </c>
    </row>
    <row r="247" spans="1:8" x14ac:dyDescent="0.2">
      <c r="A247" s="68" t="s">
        <v>188</v>
      </c>
      <c r="B247" s="68" t="s">
        <v>1137</v>
      </c>
      <c r="C247" s="68" t="s">
        <v>137</v>
      </c>
      <c r="D247" s="135" t="s">
        <v>886</v>
      </c>
      <c r="E247" s="136"/>
      <c r="F247" s="68" t="s">
        <v>1103</v>
      </c>
      <c r="G247" s="18">
        <v>1</v>
      </c>
      <c r="H247" s="18">
        <v>0</v>
      </c>
    </row>
    <row r="248" spans="1:8" x14ac:dyDescent="0.2">
      <c r="A248" s="68" t="s">
        <v>189</v>
      </c>
      <c r="B248" s="68" t="s">
        <v>1137</v>
      </c>
      <c r="C248" s="68" t="s">
        <v>140</v>
      </c>
      <c r="D248" s="135" t="s">
        <v>887</v>
      </c>
      <c r="E248" s="136"/>
      <c r="F248" s="68" t="s">
        <v>1103</v>
      </c>
      <c r="G248" s="18">
        <v>4</v>
      </c>
      <c r="H248" s="18">
        <v>0</v>
      </c>
    </row>
    <row r="249" spans="1:8" x14ac:dyDescent="0.2">
      <c r="A249" s="68" t="s">
        <v>190</v>
      </c>
      <c r="B249" s="68" t="s">
        <v>1137</v>
      </c>
      <c r="C249" s="68" t="s">
        <v>143</v>
      </c>
      <c r="D249" s="135" t="s">
        <v>888</v>
      </c>
      <c r="E249" s="136"/>
      <c r="F249" s="68" t="s">
        <v>1103</v>
      </c>
      <c r="G249" s="18">
        <v>8</v>
      </c>
      <c r="H249" s="18">
        <v>0</v>
      </c>
    </row>
    <row r="250" spans="1:8" x14ac:dyDescent="0.2">
      <c r="A250" s="68" t="s">
        <v>191</v>
      </c>
      <c r="B250" s="68" t="s">
        <v>1137</v>
      </c>
      <c r="C250" s="68" t="s">
        <v>144</v>
      </c>
      <c r="D250" s="135" t="s">
        <v>889</v>
      </c>
      <c r="E250" s="136"/>
      <c r="F250" s="68" t="s">
        <v>1100</v>
      </c>
      <c r="G250" s="18">
        <v>15.31967</v>
      </c>
      <c r="H250" s="18">
        <v>0</v>
      </c>
    </row>
    <row r="251" spans="1:8" x14ac:dyDescent="0.2">
      <c r="A251" s="68" t="s">
        <v>192</v>
      </c>
      <c r="B251" s="68" t="s">
        <v>1137</v>
      </c>
      <c r="C251" s="68" t="s">
        <v>145</v>
      </c>
      <c r="D251" s="135" t="s">
        <v>890</v>
      </c>
      <c r="E251" s="136"/>
      <c r="F251" s="68" t="s">
        <v>1105</v>
      </c>
      <c r="G251" s="18">
        <v>25</v>
      </c>
      <c r="H251" s="18">
        <v>0</v>
      </c>
    </row>
    <row r="252" spans="1:8" x14ac:dyDescent="0.2">
      <c r="A252" s="68" t="s">
        <v>193</v>
      </c>
      <c r="B252" s="68" t="s">
        <v>1137</v>
      </c>
      <c r="C252" s="68" t="s">
        <v>146</v>
      </c>
      <c r="D252" s="135" t="s">
        <v>891</v>
      </c>
      <c r="E252" s="136"/>
      <c r="F252" s="68" t="s">
        <v>1105</v>
      </c>
      <c r="G252" s="18">
        <v>15</v>
      </c>
      <c r="H252" s="18">
        <v>0</v>
      </c>
    </row>
    <row r="253" spans="1:8" x14ac:dyDescent="0.2">
      <c r="A253" s="68" t="s">
        <v>194</v>
      </c>
      <c r="B253" s="68" t="s">
        <v>1137</v>
      </c>
      <c r="C253" s="68" t="s">
        <v>207</v>
      </c>
      <c r="D253" s="135" t="s">
        <v>892</v>
      </c>
      <c r="E253" s="136"/>
      <c r="F253" s="68" t="s">
        <v>1099</v>
      </c>
      <c r="G253" s="18">
        <v>1</v>
      </c>
      <c r="H253" s="18">
        <v>0</v>
      </c>
    </row>
    <row r="254" spans="1:8" x14ac:dyDescent="0.2">
      <c r="A254" s="68" t="s">
        <v>195</v>
      </c>
      <c r="B254" s="68" t="s">
        <v>1137</v>
      </c>
      <c r="C254" s="68" t="s">
        <v>208</v>
      </c>
      <c r="D254" s="135" t="s">
        <v>893</v>
      </c>
      <c r="E254" s="136"/>
      <c r="F254" s="68" t="s">
        <v>1101</v>
      </c>
      <c r="G254" s="18">
        <v>8</v>
      </c>
      <c r="H254" s="18">
        <v>0</v>
      </c>
    </row>
    <row r="255" spans="1:8" x14ac:dyDescent="0.2">
      <c r="A255" s="68" t="s">
        <v>196</v>
      </c>
      <c r="B255" s="68" t="s">
        <v>1137</v>
      </c>
      <c r="C255" s="68" t="s">
        <v>307</v>
      </c>
      <c r="D255" s="135" t="s">
        <v>894</v>
      </c>
      <c r="E255" s="136"/>
      <c r="F255" s="68" t="s">
        <v>1103</v>
      </c>
      <c r="G255" s="18">
        <v>2</v>
      </c>
      <c r="H255" s="18">
        <v>0</v>
      </c>
    </row>
    <row r="256" spans="1:8" x14ac:dyDescent="0.2">
      <c r="A256" s="68" t="s">
        <v>197</v>
      </c>
      <c r="B256" s="68" t="s">
        <v>1137</v>
      </c>
      <c r="C256" s="68" t="s">
        <v>308</v>
      </c>
      <c r="D256" s="135" t="s">
        <v>895</v>
      </c>
      <c r="E256" s="136"/>
      <c r="F256" s="68" t="s">
        <v>1103</v>
      </c>
      <c r="G256" s="18">
        <v>6</v>
      </c>
      <c r="H256" s="18">
        <v>0</v>
      </c>
    </row>
    <row r="257" spans="1:8" x14ac:dyDescent="0.2">
      <c r="A257" s="68" t="s">
        <v>198</v>
      </c>
      <c r="B257" s="68" t="s">
        <v>1137</v>
      </c>
      <c r="C257" s="68" t="s">
        <v>309</v>
      </c>
      <c r="D257" s="135" t="s">
        <v>896</v>
      </c>
      <c r="E257" s="136"/>
      <c r="F257" s="68" t="s">
        <v>1106</v>
      </c>
      <c r="G257" s="18">
        <v>1</v>
      </c>
      <c r="H257" s="18">
        <v>0</v>
      </c>
    </row>
    <row r="258" spans="1:8" x14ac:dyDescent="0.2">
      <c r="A258" s="68" t="s">
        <v>199</v>
      </c>
      <c r="B258" s="68" t="s">
        <v>1137</v>
      </c>
      <c r="C258" s="68" t="s">
        <v>310</v>
      </c>
      <c r="D258" s="135" t="s">
        <v>820</v>
      </c>
      <c r="E258" s="136"/>
      <c r="F258" s="68" t="s">
        <v>1104</v>
      </c>
      <c r="G258" s="18">
        <v>15</v>
      </c>
      <c r="H258" s="18">
        <v>0</v>
      </c>
    </row>
    <row r="259" spans="1:8" x14ac:dyDescent="0.2">
      <c r="A259" s="68" t="s">
        <v>200</v>
      </c>
      <c r="B259" s="68" t="s">
        <v>1137</v>
      </c>
      <c r="C259" s="68" t="s">
        <v>311</v>
      </c>
      <c r="D259" s="135" t="s">
        <v>897</v>
      </c>
      <c r="E259" s="136"/>
      <c r="F259" s="68" t="s">
        <v>1103</v>
      </c>
      <c r="G259" s="18">
        <v>1</v>
      </c>
      <c r="H259" s="18">
        <v>0</v>
      </c>
    </row>
    <row r="260" spans="1:8" x14ac:dyDescent="0.2">
      <c r="A260" s="68" t="s">
        <v>201</v>
      </c>
      <c r="B260" s="68" t="s">
        <v>1137</v>
      </c>
      <c r="C260" s="68" t="s">
        <v>312</v>
      </c>
      <c r="D260" s="135" t="s">
        <v>898</v>
      </c>
      <c r="E260" s="136"/>
      <c r="F260" s="68" t="s">
        <v>1103</v>
      </c>
      <c r="G260" s="18">
        <v>1</v>
      </c>
      <c r="H260" s="18">
        <v>0</v>
      </c>
    </row>
    <row r="261" spans="1:8" x14ac:dyDescent="0.2">
      <c r="A261" s="68" t="s">
        <v>202</v>
      </c>
      <c r="B261" s="68" t="s">
        <v>1137</v>
      </c>
      <c r="C261" s="68" t="s">
        <v>313</v>
      </c>
      <c r="D261" s="135" t="s">
        <v>899</v>
      </c>
      <c r="E261" s="136"/>
      <c r="F261" s="68" t="s">
        <v>1103</v>
      </c>
      <c r="G261" s="18">
        <v>1</v>
      </c>
      <c r="H261" s="18">
        <v>0</v>
      </c>
    </row>
    <row r="262" spans="1:8" x14ac:dyDescent="0.2">
      <c r="A262" s="68" t="s">
        <v>203</v>
      </c>
      <c r="B262" s="68" t="s">
        <v>1137</v>
      </c>
      <c r="C262" s="68" t="s">
        <v>314</v>
      </c>
      <c r="D262" s="135" t="s">
        <v>900</v>
      </c>
      <c r="E262" s="136"/>
      <c r="F262" s="68" t="s">
        <v>1103</v>
      </c>
      <c r="G262" s="18">
        <v>1</v>
      </c>
      <c r="H262" s="18">
        <v>0</v>
      </c>
    </row>
    <row r="263" spans="1:8" x14ac:dyDescent="0.2">
      <c r="A263" s="68" t="s">
        <v>204</v>
      </c>
      <c r="B263" s="68" t="s">
        <v>1137</v>
      </c>
      <c r="C263" s="68" t="s">
        <v>315</v>
      </c>
      <c r="D263" s="135" t="s">
        <v>901</v>
      </c>
      <c r="E263" s="136"/>
      <c r="F263" s="68" t="s">
        <v>1104</v>
      </c>
      <c r="G263" s="18">
        <v>50</v>
      </c>
      <c r="H263" s="18">
        <v>0</v>
      </c>
    </row>
    <row r="264" spans="1:8" x14ac:dyDescent="0.2">
      <c r="A264" s="68" t="s">
        <v>205</v>
      </c>
      <c r="B264" s="68" t="s">
        <v>1137</v>
      </c>
      <c r="C264" s="68" t="s">
        <v>316</v>
      </c>
      <c r="D264" s="135" t="s">
        <v>902</v>
      </c>
      <c r="E264" s="136"/>
      <c r="F264" s="68" t="s">
        <v>1104</v>
      </c>
      <c r="G264" s="18">
        <v>10</v>
      </c>
      <c r="H264" s="18">
        <v>0</v>
      </c>
    </row>
    <row r="265" spans="1:8" x14ac:dyDescent="0.2">
      <c r="A265" s="68" t="s">
        <v>206</v>
      </c>
      <c r="B265" s="68" t="s">
        <v>1137</v>
      </c>
      <c r="C265" s="68" t="s">
        <v>317</v>
      </c>
      <c r="D265" s="135" t="s">
        <v>903</v>
      </c>
      <c r="E265" s="136"/>
      <c r="F265" s="68" t="s">
        <v>1103</v>
      </c>
      <c r="G265" s="18">
        <v>1</v>
      </c>
      <c r="H265" s="18">
        <v>0</v>
      </c>
    </row>
    <row r="266" spans="1:8" x14ac:dyDescent="0.2">
      <c r="A266" s="68" t="s">
        <v>207</v>
      </c>
      <c r="B266" s="68" t="s">
        <v>1137</v>
      </c>
      <c r="C266" s="68" t="s">
        <v>318</v>
      </c>
      <c r="D266" s="135" t="s">
        <v>825</v>
      </c>
      <c r="E266" s="136"/>
      <c r="F266" s="68" t="s">
        <v>1104</v>
      </c>
      <c r="G266" s="18">
        <v>25</v>
      </c>
      <c r="H266" s="18">
        <v>0</v>
      </c>
    </row>
    <row r="267" spans="1:8" x14ac:dyDescent="0.2">
      <c r="A267" s="68" t="s">
        <v>208</v>
      </c>
      <c r="B267" s="68" t="s">
        <v>1137</v>
      </c>
      <c r="C267" s="68" t="s">
        <v>319</v>
      </c>
      <c r="D267" s="135" t="s">
        <v>826</v>
      </c>
      <c r="E267" s="136"/>
      <c r="F267" s="68" t="s">
        <v>1103</v>
      </c>
      <c r="G267" s="18">
        <v>1</v>
      </c>
      <c r="H267" s="18">
        <v>0</v>
      </c>
    </row>
    <row r="268" spans="1:8" x14ac:dyDescent="0.2">
      <c r="A268" s="68" t="s">
        <v>209</v>
      </c>
      <c r="B268" s="68" t="s">
        <v>1137</v>
      </c>
      <c r="C268" s="68" t="s">
        <v>320</v>
      </c>
      <c r="D268" s="135" t="s">
        <v>827</v>
      </c>
      <c r="E268" s="136"/>
      <c r="F268" s="68" t="s">
        <v>1103</v>
      </c>
      <c r="G268" s="18">
        <v>1</v>
      </c>
      <c r="H268" s="18">
        <v>0</v>
      </c>
    </row>
    <row r="269" spans="1:8" x14ac:dyDescent="0.2">
      <c r="A269" s="68" t="s">
        <v>210</v>
      </c>
      <c r="B269" s="68" t="s">
        <v>1137</v>
      </c>
      <c r="C269" s="68" t="s">
        <v>321</v>
      </c>
      <c r="D269" s="135" t="s">
        <v>828</v>
      </c>
      <c r="E269" s="136"/>
      <c r="F269" s="68" t="s">
        <v>1103</v>
      </c>
      <c r="G269" s="18">
        <v>1</v>
      </c>
      <c r="H269" s="18">
        <v>0</v>
      </c>
    </row>
    <row r="270" spans="1:8" x14ac:dyDescent="0.2">
      <c r="A270" s="68" t="s">
        <v>211</v>
      </c>
      <c r="B270" s="68" t="s">
        <v>1137</v>
      </c>
      <c r="C270" s="68" t="s">
        <v>520</v>
      </c>
      <c r="D270" s="135" t="s">
        <v>905</v>
      </c>
      <c r="E270" s="136"/>
      <c r="F270" s="68" t="s">
        <v>1101</v>
      </c>
      <c r="G270" s="18">
        <v>89.5</v>
      </c>
      <c r="H270" s="18">
        <v>0</v>
      </c>
    </row>
    <row r="271" spans="1:8" x14ac:dyDescent="0.2">
      <c r="A271" s="68" t="s">
        <v>212</v>
      </c>
      <c r="B271" s="68" t="s">
        <v>1137</v>
      </c>
      <c r="C271" s="68" t="s">
        <v>521</v>
      </c>
      <c r="D271" s="135" t="s">
        <v>906</v>
      </c>
      <c r="E271" s="136"/>
      <c r="F271" s="68" t="s">
        <v>1103</v>
      </c>
      <c r="G271" s="18">
        <v>8</v>
      </c>
      <c r="H271" s="18">
        <v>0</v>
      </c>
    </row>
    <row r="272" spans="1:8" x14ac:dyDescent="0.2">
      <c r="A272" s="68" t="s">
        <v>213</v>
      </c>
      <c r="B272" s="68" t="s">
        <v>1137</v>
      </c>
      <c r="C272" s="68" t="s">
        <v>522</v>
      </c>
      <c r="D272" s="135" t="s">
        <v>907</v>
      </c>
      <c r="E272" s="136"/>
      <c r="F272" s="68" t="s">
        <v>1101</v>
      </c>
      <c r="G272" s="18">
        <v>38.5</v>
      </c>
      <c r="H272" s="18">
        <v>0</v>
      </c>
    </row>
    <row r="273" spans="1:8" x14ac:dyDescent="0.2">
      <c r="A273" s="68" t="s">
        <v>214</v>
      </c>
      <c r="B273" s="68" t="s">
        <v>1137</v>
      </c>
      <c r="C273" s="68" t="s">
        <v>523</v>
      </c>
      <c r="D273" s="135" t="s">
        <v>908</v>
      </c>
      <c r="E273" s="136"/>
      <c r="F273" s="68" t="s">
        <v>1101</v>
      </c>
      <c r="G273" s="18">
        <v>13.5</v>
      </c>
      <c r="H273" s="18">
        <v>0</v>
      </c>
    </row>
    <row r="274" spans="1:8" x14ac:dyDescent="0.2">
      <c r="A274" s="68" t="s">
        <v>215</v>
      </c>
      <c r="B274" s="68" t="s">
        <v>1137</v>
      </c>
      <c r="C274" s="68" t="s">
        <v>524</v>
      </c>
      <c r="D274" s="135" t="s">
        <v>909</v>
      </c>
      <c r="E274" s="136"/>
      <c r="F274" s="68" t="s">
        <v>1101</v>
      </c>
      <c r="G274" s="18">
        <v>10.5</v>
      </c>
      <c r="H274" s="18">
        <v>0</v>
      </c>
    </row>
    <row r="275" spans="1:8" x14ac:dyDescent="0.2">
      <c r="A275" s="68" t="s">
        <v>216</v>
      </c>
      <c r="B275" s="68" t="s">
        <v>1137</v>
      </c>
      <c r="C275" s="68" t="s">
        <v>525</v>
      </c>
      <c r="D275" s="135" t="s">
        <v>910</v>
      </c>
      <c r="E275" s="136"/>
      <c r="F275" s="68" t="s">
        <v>1101</v>
      </c>
      <c r="G275" s="18">
        <v>30.5</v>
      </c>
      <c r="H275" s="18">
        <v>0</v>
      </c>
    </row>
    <row r="276" spans="1:8" x14ac:dyDescent="0.2">
      <c r="A276" s="68" t="s">
        <v>217</v>
      </c>
      <c r="B276" s="68" t="s">
        <v>1137</v>
      </c>
      <c r="C276" s="68" t="s">
        <v>526</v>
      </c>
      <c r="D276" s="135" t="s">
        <v>911</v>
      </c>
      <c r="E276" s="136"/>
      <c r="F276" s="68" t="s">
        <v>1101</v>
      </c>
      <c r="G276" s="18">
        <v>1</v>
      </c>
      <c r="H276" s="18">
        <v>0</v>
      </c>
    </row>
    <row r="277" spans="1:8" x14ac:dyDescent="0.2">
      <c r="A277" s="68" t="s">
        <v>218</v>
      </c>
      <c r="B277" s="68" t="s">
        <v>1137</v>
      </c>
      <c r="C277" s="68" t="s">
        <v>527</v>
      </c>
      <c r="D277" s="135" t="s">
        <v>912</v>
      </c>
      <c r="E277" s="136"/>
      <c r="F277" s="68" t="s">
        <v>1101</v>
      </c>
      <c r="G277" s="18">
        <v>5.8</v>
      </c>
      <c r="H277" s="18">
        <v>0</v>
      </c>
    </row>
    <row r="278" spans="1:8" x14ac:dyDescent="0.2">
      <c r="A278" s="68" t="s">
        <v>219</v>
      </c>
      <c r="B278" s="68" t="s">
        <v>1137</v>
      </c>
      <c r="C278" s="68" t="s">
        <v>528</v>
      </c>
      <c r="D278" s="135" t="s">
        <v>913</v>
      </c>
      <c r="E278" s="136"/>
      <c r="F278" s="68" t="s">
        <v>1101</v>
      </c>
      <c r="G278" s="18">
        <v>1.2</v>
      </c>
      <c r="H278" s="18">
        <v>0</v>
      </c>
    </row>
    <row r="279" spans="1:8" x14ac:dyDescent="0.2">
      <c r="A279" s="68" t="s">
        <v>220</v>
      </c>
      <c r="B279" s="68" t="s">
        <v>1137</v>
      </c>
      <c r="C279" s="68" t="s">
        <v>529</v>
      </c>
      <c r="D279" s="135" t="s">
        <v>914</v>
      </c>
      <c r="E279" s="136"/>
      <c r="F279" s="68" t="s">
        <v>1101</v>
      </c>
      <c r="G279" s="18">
        <v>1.2</v>
      </c>
      <c r="H279" s="18">
        <v>0</v>
      </c>
    </row>
    <row r="280" spans="1:8" x14ac:dyDescent="0.2">
      <c r="A280" s="68" t="s">
        <v>221</v>
      </c>
      <c r="B280" s="68" t="s">
        <v>1137</v>
      </c>
      <c r="C280" s="68" t="s">
        <v>530</v>
      </c>
      <c r="D280" s="135" t="s">
        <v>915</v>
      </c>
      <c r="E280" s="136"/>
      <c r="F280" s="68" t="s">
        <v>1103</v>
      </c>
      <c r="G280" s="18">
        <v>2</v>
      </c>
      <c r="H280" s="18">
        <v>0</v>
      </c>
    </row>
    <row r="281" spans="1:8" x14ac:dyDescent="0.2">
      <c r="A281" s="68" t="s">
        <v>222</v>
      </c>
      <c r="B281" s="68" t="s">
        <v>1137</v>
      </c>
      <c r="C281" s="68" t="s">
        <v>531</v>
      </c>
      <c r="D281" s="135" t="s">
        <v>916</v>
      </c>
      <c r="E281" s="136"/>
      <c r="F281" s="68" t="s">
        <v>1103</v>
      </c>
      <c r="G281" s="18">
        <v>2</v>
      </c>
      <c r="H281" s="18">
        <v>0</v>
      </c>
    </row>
    <row r="282" spans="1:8" x14ac:dyDescent="0.2">
      <c r="A282" s="68" t="s">
        <v>223</v>
      </c>
      <c r="B282" s="68" t="s">
        <v>1137</v>
      </c>
      <c r="C282" s="68" t="s">
        <v>532</v>
      </c>
      <c r="D282" s="135" t="s">
        <v>917</v>
      </c>
      <c r="E282" s="136"/>
      <c r="F282" s="68" t="s">
        <v>1103</v>
      </c>
      <c r="G282" s="18">
        <v>4</v>
      </c>
      <c r="H282" s="18">
        <v>0</v>
      </c>
    </row>
    <row r="283" spans="1:8" x14ac:dyDescent="0.2">
      <c r="A283" s="68" t="s">
        <v>224</v>
      </c>
      <c r="B283" s="68" t="s">
        <v>1137</v>
      </c>
      <c r="C283" s="68" t="s">
        <v>533</v>
      </c>
      <c r="D283" s="135" t="s">
        <v>918</v>
      </c>
      <c r="E283" s="136"/>
      <c r="F283" s="68" t="s">
        <v>1103</v>
      </c>
      <c r="G283" s="18">
        <v>8</v>
      </c>
      <c r="H283" s="18">
        <v>0</v>
      </c>
    </row>
    <row r="284" spans="1:8" x14ac:dyDescent="0.2">
      <c r="A284" s="68" t="s">
        <v>225</v>
      </c>
      <c r="B284" s="68" t="s">
        <v>1137</v>
      </c>
      <c r="C284" s="68" t="s">
        <v>534</v>
      </c>
      <c r="D284" s="135" t="s">
        <v>919</v>
      </c>
      <c r="E284" s="136"/>
      <c r="F284" s="68" t="s">
        <v>1103</v>
      </c>
      <c r="G284" s="18">
        <v>8</v>
      </c>
      <c r="H284" s="18">
        <v>0</v>
      </c>
    </row>
    <row r="285" spans="1:8" x14ac:dyDescent="0.2">
      <c r="A285" s="68" t="s">
        <v>226</v>
      </c>
      <c r="B285" s="68" t="s">
        <v>1137</v>
      </c>
      <c r="C285" s="68" t="s">
        <v>535</v>
      </c>
      <c r="D285" s="135" t="s">
        <v>920</v>
      </c>
      <c r="E285" s="136"/>
      <c r="F285" s="68" t="s">
        <v>1103</v>
      </c>
      <c r="G285" s="18">
        <v>8</v>
      </c>
      <c r="H285" s="18">
        <v>0</v>
      </c>
    </row>
    <row r="286" spans="1:8" x14ac:dyDescent="0.2">
      <c r="A286" s="68" t="s">
        <v>227</v>
      </c>
      <c r="B286" s="68" t="s">
        <v>1137</v>
      </c>
      <c r="C286" s="68" t="s">
        <v>536</v>
      </c>
      <c r="D286" s="135" t="s">
        <v>921</v>
      </c>
      <c r="E286" s="136"/>
      <c r="F286" s="68" t="s">
        <v>1103</v>
      </c>
      <c r="G286" s="18">
        <v>8</v>
      </c>
      <c r="H286" s="18">
        <v>0</v>
      </c>
    </row>
    <row r="287" spans="1:8" x14ac:dyDescent="0.2">
      <c r="A287" s="68" t="s">
        <v>228</v>
      </c>
      <c r="B287" s="68" t="s">
        <v>1137</v>
      </c>
      <c r="C287" s="68" t="s">
        <v>537</v>
      </c>
      <c r="D287" s="135" t="s">
        <v>922</v>
      </c>
      <c r="E287" s="136"/>
      <c r="F287" s="68" t="s">
        <v>1103</v>
      </c>
      <c r="G287" s="18">
        <v>8</v>
      </c>
      <c r="H287" s="18">
        <v>0</v>
      </c>
    </row>
    <row r="288" spans="1:8" x14ac:dyDescent="0.2">
      <c r="A288" s="68" t="s">
        <v>229</v>
      </c>
      <c r="B288" s="68" t="s">
        <v>1137</v>
      </c>
      <c r="C288" s="68" t="s">
        <v>538</v>
      </c>
      <c r="D288" s="135" t="s">
        <v>923</v>
      </c>
      <c r="E288" s="136"/>
      <c r="F288" s="68" t="s">
        <v>1103</v>
      </c>
      <c r="G288" s="18">
        <v>8</v>
      </c>
      <c r="H288" s="18">
        <v>0</v>
      </c>
    </row>
    <row r="289" spans="1:8" x14ac:dyDescent="0.2">
      <c r="A289" s="68" t="s">
        <v>230</v>
      </c>
      <c r="B289" s="68" t="s">
        <v>1137</v>
      </c>
      <c r="C289" s="68" t="s">
        <v>539</v>
      </c>
      <c r="D289" s="135" t="s">
        <v>924</v>
      </c>
      <c r="E289" s="136"/>
      <c r="F289" s="68" t="s">
        <v>1103</v>
      </c>
      <c r="G289" s="18">
        <v>8</v>
      </c>
      <c r="H289" s="18">
        <v>0</v>
      </c>
    </row>
    <row r="290" spans="1:8" x14ac:dyDescent="0.2">
      <c r="A290" s="68" t="s">
        <v>231</v>
      </c>
      <c r="B290" s="68" t="s">
        <v>1137</v>
      </c>
      <c r="C290" s="68" t="s">
        <v>540</v>
      </c>
      <c r="D290" s="135" t="s">
        <v>925</v>
      </c>
      <c r="E290" s="136"/>
      <c r="F290" s="68" t="s">
        <v>1103</v>
      </c>
      <c r="G290" s="18">
        <v>8</v>
      </c>
      <c r="H290" s="18">
        <v>0</v>
      </c>
    </row>
    <row r="291" spans="1:8" x14ac:dyDescent="0.2">
      <c r="A291" s="68" t="s">
        <v>232</v>
      </c>
      <c r="B291" s="68" t="s">
        <v>1137</v>
      </c>
      <c r="C291" s="68" t="s">
        <v>541</v>
      </c>
      <c r="D291" s="135" t="s">
        <v>926</v>
      </c>
      <c r="E291" s="136"/>
      <c r="F291" s="68" t="s">
        <v>1104</v>
      </c>
      <c r="G291" s="18">
        <v>10</v>
      </c>
      <c r="H291" s="18">
        <v>0</v>
      </c>
    </row>
    <row r="292" spans="1:8" x14ac:dyDescent="0.2">
      <c r="A292" s="68" t="s">
        <v>233</v>
      </c>
      <c r="B292" s="68" t="s">
        <v>1137</v>
      </c>
      <c r="C292" s="68" t="s">
        <v>542</v>
      </c>
      <c r="D292" s="135" t="s">
        <v>927</v>
      </c>
      <c r="E292" s="136"/>
      <c r="F292" s="68" t="s">
        <v>1104</v>
      </c>
      <c r="G292" s="18">
        <v>15</v>
      </c>
      <c r="H292" s="18">
        <v>0</v>
      </c>
    </row>
    <row r="293" spans="1:8" x14ac:dyDescent="0.2">
      <c r="A293" s="68" t="s">
        <v>234</v>
      </c>
      <c r="B293" s="68" t="s">
        <v>1137</v>
      </c>
      <c r="C293" s="68" t="s">
        <v>543</v>
      </c>
      <c r="D293" s="135" t="s">
        <v>928</v>
      </c>
      <c r="E293" s="136"/>
      <c r="F293" s="68" t="s">
        <v>1107</v>
      </c>
      <c r="G293" s="18">
        <v>1</v>
      </c>
      <c r="H293" s="18">
        <v>0</v>
      </c>
    </row>
    <row r="294" spans="1:8" x14ac:dyDescent="0.2">
      <c r="A294" s="68" t="s">
        <v>235</v>
      </c>
      <c r="B294" s="68" t="s">
        <v>1137</v>
      </c>
      <c r="C294" s="68" t="s">
        <v>544</v>
      </c>
      <c r="D294" s="135" t="s">
        <v>866</v>
      </c>
      <c r="E294" s="136"/>
      <c r="F294" s="68" t="s">
        <v>1103</v>
      </c>
      <c r="G294" s="18">
        <v>2</v>
      </c>
      <c r="H294" s="18">
        <v>0</v>
      </c>
    </row>
    <row r="295" spans="1:8" x14ac:dyDescent="0.2">
      <c r="A295" s="68" t="s">
        <v>236</v>
      </c>
      <c r="B295" s="68" t="s">
        <v>1137</v>
      </c>
      <c r="C295" s="68" t="s">
        <v>545</v>
      </c>
      <c r="D295" s="135" t="s">
        <v>867</v>
      </c>
      <c r="E295" s="136"/>
      <c r="F295" s="68" t="s">
        <v>1103</v>
      </c>
      <c r="G295" s="18">
        <v>1</v>
      </c>
      <c r="H295" s="18">
        <v>0</v>
      </c>
    </row>
    <row r="296" spans="1:8" x14ac:dyDescent="0.2">
      <c r="A296" s="68" t="s">
        <v>237</v>
      </c>
      <c r="B296" s="68" t="s">
        <v>1137</v>
      </c>
      <c r="C296" s="68" t="s">
        <v>546</v>
      </c>
      <c r="D296" s="135" t="s">
        <v>865</v>
      </c>
      <c r="E296" s="136"/>
      <c r="F296" s="68" t="s">
        <v>1101</v>
      </c>
      <c r="G296" s="18">
        <v>5.8</v>
      </c>
      <c r="H296" s="18">
        <v>0</v>
      </c>
    </row>
    <row r="297" spans="1:8" x14ac:dyDescent="0.2">
      <c r="A297" s="68" t="s">
        <v>238</v>
      </c>
      <c r="B297" s="68" t="s">
        <v>1137</v>
      </c>
      <c r="C297" s="68" t="s">
        <v>547</v>
      </c>
      <c r="D297" s="135" t="s">
        <v>820</v>
      </c>
      <c r="E297" s="136"/>
      <c r="F297" s="68" t="s">
        <v>1103</v>
      </c>
      <c r="G297" s="18">
        <v>1</v>
      </c>
      <c r="H297" s="18">
        <v>0</v>
      </c>
    </row>
    <row r="298" spans="1:8" x14ac:dyDescent="0.2">
      <c r="A298" s="68" t="s">
        <v>239</v>
      </c>
      <c r="B298" s="68" t="s">
        <v>1137</v>
      </c>
      <c r="C298" s="68" t="s">
        <v>548</v>
      </c>
      <c r="D298" s="135" t="s">
        <v>929</v>
      </c>
      <c r="E298" s="136"/>
      <c r="F298" s="68" t="s">
        <v>1103</v>
      </c>
      <c r="G298" s="18">
        <v>1</v>
      </c>
      <c r="H298" s="18">
        <v>0</v>
      </c>
    </row>
    <row r="299" spans="1:8" x14ac:dyDescent="0.2">
      <c r="A299" s="68" t="s">
        <v>240</v>
      </c>
      <c r="B299" s="68" t="s">
        <v>1137</v>
      </c>
      <c r="C299" s="68" t="s">
        <v>549</v>
      </c>
      <c r="D299" s="135" t="s">
        <v>930</v>
      </c>
      <c r="E299" s="136"/>
      <c r="F299" s="68" t="s">
        <v>1103</v>
      </c>
      <c r="G299" s="18">
        <v>1</v>
      </c>
      <c r="H299" s="18">
        <v>0</v>
      </c>
    </row>
    <row r="300" spans="1:8" x14ac:dyDescent="0.2">
      <c r="A300" s="68" t="s">
        <v>241</v>
      </c>
      <c r="B300" s="68" t="s">
        <v>1137</v>
      </c>
      <c r="C300" s="68" t="s">
        <v>550</v>
      </c>
      <c r="D300" s="135" t="s">
        <v>931</v>
      </c>
      <c r="E300" s="136"/>
      <c r="F300" s="68" t="s">
        <v>1103</v>
      </c>
      <c r="G300" s="18">
        <v>2</v>
      </c>
      <c r="H300" s="18">
        <v>0</v>
      </c>
    </row>
    <row r="301" spans="1:8" x14ac:dyDescent="0.2">
      <c r="A301" s="68" t="s">
        <v>242</v>
      </c>
      <c r="B301" s="68" t="s">
        <v>1137</v>
      </c>
      <c r="C301" s="68" t="s">
        <v>551</v>
      </c>
      <c r="D301" s="135" t="s">
        <v>870</v>
      </c>
      <c r="E301" s="136"/>
      <c r="F301" s="68" t="s">
        <v>1103</v>
      </c>
      <c r="G301" s="18">
        <v>4</v>
      </c>
      <c r="H301" s="18">
        <v>0</v>
      </c>
    </row>
    <row r="302" spans="1:8" x14ac:dyDescent="0.2">
      <c r="A302" s="68" t="s">
        <v>243</v>
      </c>
      <c r="B302" s="68" t="s">
        <v>1137</v>
      </c>
      <c r="C302" s="68" t="s">
        <v>552</v>
      </c>
      <c r="D302" s="135" t="s">
        <v>932</v>
      </c>
      <c r="E302" s="136"/>
      <c r="F302" s="68" t="s">
        <v>1103</v>
      </c>
      <c r="G302" s="18">
        <v>2</v>
      </c>
      <c r="H302" s="18">
        <v>0</v>
      </c>
    </row>
    <row r="303" spans="1:8" x14ac:dyDescent="0.2">
      <c r="A303" s="68" t="s">
        <v>244</v>
      </c>
      <c r="B303" s="68" t="s">
        <v>1137</v>
      </c>
      <c r="C303" s="68" t="s">
        <v>553</v>
      </c>
      <c r="D303" s="135" t="s">
        <v>933</v>
      </c>
      <c r="E303" s="136"/>
      <c r="F303" s="68" t="s">
        <v>1103</v>
      </c>
      <c r="G303" s="18">
        <v>4</v>
      </c>
      <c r="H303" s="18">
        <v>0</v>
      </c>
    </row>
    <row r="304" spans="1:8" x14ac:dyDescent="0.2">
      <c r="A304" s="68" t="s">
        <v>245</v>
      </c>
      <c r="B304" s="68" t="s">
        <v>1137</v>
      </c>
      <c r="C304" s="68" t="s">
        <v>554</v>
      </c>
      <c r="D304" s="135" t="s">
        <v>934</v>
      </c>
      <c r="E304" s="136"/>
      <c r="F304" s="68" t="s">
        <v>1103</v>
      </c>
      <c r="G304" s="18">
        <v>1</v>
      </c>
      <c r="H304" s="18">
        <v>0</v>
      </c>
    </row>
    <row r="305" spans="1:8" x14ac:dyDescent="0.2">
      <c r="A305" s="68" t="s">
        <v>246</v>
      </c>
      <c r="B305" s="68" t="s">
        <v>1137</v>
      </c>
      <c r="C305" s="68" t="s">
        <v>555</v>
      </c>
      <c r="D305" s="135" t="s">
        <v>825</v>
      </c>
      <c r="E305" s="136"/>
      <c r="F305" s="68" t="s">
        <v>1104</v>
      </c>
      <c r="G305" s="18">
        <v>25</v>
      </c>
      <c r="H305" s="18">
        <v>0</v>
      </c>
    </row>
    <row r="306" spans="1:8" x14ac:dyDescent="0.2">
      <c r="A306" s="68" t="s">
        <v>247</v>
      </c>
      <c r="B306" s="68" t="s">
        <v>1137</v>
      </c>
      <c r="C306" s="68" t="s">
        <v>556</v>
      </c>
      <c r="D306" s="135" t="s">
        <v>826</v>
      </c>
      <c r="E306" s="136"/>
      <c r="F306" s="68" t="s">
        <v>1103</v>
      </c>
      <c r="G306" s="18">
        <v>1</v>
      </c>
      <c r="H306" s="18">
        <v>0</v>
      </c>
    </row>
    <row r="307" spans="1:8" x14ac:dyDescent="0.2">
      <c r="A307" s="68" t="s">
        <v>248</v>
      </c>
      <c r="B307" s="68" t="s">
        <v>1137</v>
      </c>
      <c r="C307" s="68" t="s">
        <v>557</v>
      </c>
      <c r="D307" s="135" t="s">
        <v>827</v>
      </c>
      <c r="E307" s="136"/>
      <c r="F307" s="68" t="s">
        <v>1103</v>
      </c>
      <c r="G307" s="18">
        <v>1</v>
      </c>
      <c r="H307" s="18">
        <v>0</v>
      </c>
    </row>
    <row r="308" spans="1:8" x14ac:dyDescent="0.2">
      <c r="A308" s="68" t="s">
        <v>249</v>
      </c>
      <c r="B308" s="68" t="s">
        <v>1137</v>
      </c>
      <c r="C308" s="68" t="s">
        <v>558</v>
      </c>
      <c r="D308" s="135" t="s">
        <v>828</v>
      </c>
      <c r="E308" s="136"/>
      <c r="F308" s="68" t="s">
        <v>1103</v>
      </c>
      <c r="G308" s="18">
        <v>1</v>
      </c>
      <c r="H308" s="18">
        <v>0</v>
      </c>
    </row>
    <row r="309" spans="1:8" x14ac:dyDescent="0.2">
      <c r="A309" s="68" t="s">
        <v>250</v>
      </c>
      <c r="B309" s="68" t="s">
        <v>1137</v>
      </c>
      <c r="C309" s="68" t="s">
        <v>560</v>
      </c>
      <c r="D309" s="135" t="s">
        <v>936</v>
      </c>
      <c r="E309" s="136"/>
      <c r="F309" s="68" t="s">
        <v>1099</v>
      </c>
      <c r="G309" s="18">
        <v>2</v>
      </c>
      <c r="H309" s="18">
        <v>0</v>
      </c>
    </row>
    <row r="310" spans="1:8" ht="12.2" customHeight="1" x14ac:dyDescent="0.2">
      <c r="A310" s="72"/>
      <c r="B310" s="72"/>
      <c r="C310" s="72"/>
      <c r="D310" s="157" t="s">
        <v>1199</v>
      </c>
      <c r="E310" s="157"/>
      <c r="F310" s="75"/>
      <c r="G310" s="50">
        <v>2</v>
      </c>
    </row>
    <row r="311" spans="1:8" x14ac:dyDescent="0.2">
      <c r="A311" s="68" t="s">
        <v>251</v>
      </c>
      <c r="B311" s="68" t="s">
        <v>1137</v>
      </c>
      <c r="C311" s="68" t="s">
        <v>561</v>
      </c>
      <c r="D311" s="135" t="s">
        <v>938</v>
      </c>
      <c r="E311" s="136"/>
      <c r="F311" s="68" t="s">
        <v>1099</v>
      </c>
      <c r="G311" s="18">
        <v>2</v>
      </c>
      <c r="H311" s="18">
        <v>0</v>
      </c>
    </row>
    <row r="312" spans="1:8" ht="12.2" customHeight="1" x14ac:dyDescent="0.2">
      <c r="A312" s="72"/>
      <c r="B312" s="72"/>
      <c r="C312" s="72"/>
      <c r="D312" s="157" t="s">
        <v>1199</v>
      </c>
      <c r="E312" s="157"/>
      <c r="F312" s="75"/>
      <c r="G312" s="50">
        <v>2</v>
      </c>
    </row>
    <row r="313" spans="1:8" x14ac:dyDescent="0.2">
      <c r="A313" s="68" t="s">
        <v>252</v>
      </c>
      <c r="B313" s="68" t="s">
        <v>1137</v>
      </c>
      <c r="C313" s="68" t="s">
        <v>562</v>
      </c>
      <c r="D313" s="135" t="s">
        <v>940</v>
      </c>
      <c r="E313" s="136"/>
      <c r="F313" s="68" t="s">
        <v>1099</v>
      </c>
      <c r="G313" s="18">
        <v>4</v>
      </c>
      <c r="H313" s="18">
        <v>0</v>
      </c>
    </row>
    <row r="314" spans="1:8" ht="12.2" customHeight="1" x14ac:dyDescent="0.2">
      <c r="A314" s="72"/>
      <c r="B314" s="72"/>
      <c r="C314" s="72"/>
      <c r="D314" s="157" t="s">
        <v>1198</v>
      </c>
      <c r="E314" s="157"/>
      <c r="F314" s="75"/>
      <c r="G314" s="50">
        <v>4</v>
      </c>
    </row>
    <row r="315" spans="1:8" x14ac:dyDescent="0.2">
      <c r="A315" s="68" t="s">
        <v>253</v>
      </c>
      <c r="B315" s="68" t="s">
        <v>1137</v>
      </c>
      <c r="C315" s="68" t="s">
        <v>563</v>
      </c>
      <c r="D315" s="135" t="s">
        <v>942</v>
      </c>
      <c r="E315" s="136"/>
      <c r="F315" s="68" t="s">
        <v>1099</v>
      </c>
      <c r="G315" s="18">
        <v>2</v>
      </c>
      <c r="H315" s="18">
        <v>0</v>
      </c>
    </row>
    <row r="316" spans="1:8" ht="12.2" customHeight="1" x14ac:dyDescent="0.2">
      <c r="A316" s="72"/>
      <c r="B316" s="72"/>
      <c r="C316" s="72"/>
      <c r="D316" s="157" t="s">
        <v>1199</v>
      </c>
      <c r="E316" s="157"/>
      <c r="F316" s="75"/>
      <c r="G316" s="50">
        <v>2</v>
      </c>
    </row>
    <row r="317" spans="1:8" x14ac:dyDescent="0.2">
      <c r="A317" s="68" t="s">
        <v>254</v>
      </c>
      <c r="B317" s="68" t="s">
        <v>1137</v>
      </c>
      <c r="C317" s="68" t="s">
        <v>564</v>
      </c>
      <c r="D317" s="135" t="s">
        <v>944</v>
      </c>
      <c r="E317" s="136"/>
      <c r="F317" s="68" t="s">
        <v>1099</v>
      </c>
      <c r="G317" s="18">
        <v>6</v>
      </c>
      <c r="H317" s="18">
        <v>0</v>
      </c>
    </row>
    <row r="318" spans="1:8" ht="12.2" customHeight="1" x14ac:dyDescent="0.2">
      <c r="A318" s="72"/>
      <c r="B318" s="72"/>
      <c r="C318" s="72"/>
      <c r="D318" s="157" t="s">
        <v>1241</v>
      </c>
      <c r="E318" s="157"/>
      <c r="F318" s="75"/>
      <c r="G318" s="50">
        <v>6</v>
      </c>
    </row>
    <row r="319" spans="1:8" x14ac:dyDescent="0.2">
      <c r="A319" s="68" t="s">
        <v>255</v>
      </c>
      <c r="B319" s="68" t="s">
        <v>1137</v>
      </c>
      <c r="C319" s="68" t="s">
        <v>565</v>
      </c>
      <c r="D319" s="135" t="s">
        <v>946</v>
      </c>
      <c r="E319" s="136"/>
      <c r="F319" s="68" t="s">
        <v>1102</v>
      </c>
      <c r="G319" s="18">
        <v>1.6568000000000001</v>
      </c>
      <c r="H319" s="18">
        <v>0</v>
      </c>
    </row>
    <row r="320" spans="1:8" x14ac:dyDescent="0.2">
      <c r="A320" s="68" t="s">
        <v>256</v>
      </c>
      <c r="B320" s="68" t="s">
        <v>1137</v>
      </c>
      <c r="C320" s="68" t="s">
        <v>567</v>
      </c>
      <c r="D320" s="135" t="s">
        <v>948</v>
      </c>
      <c r="E320" s="136"/>
      <c r="F320" s="68" t="s">
        <v>1099</v>
      </c>
      <c r="G320" s="18">
        <v>8</v>
      </c>
      <c r="H320" s="18">
        <v>0</v>
      </c>
    </row>
    <row r="321" spans="1:8" ht="12.2" customHeight="1" x14ac:dyDescent="0.2">
      <c r="A321" s="72"/>
      <c r="B321" s="72"/>
      <c r="C321" s="72"/>
      <c r="D321" s="157" t="s">
        <v>1242</v>
      </c>
      <c r="E321" s="157"/>
      <c r="F321" s="75"/>
      <c r="G321" s="50">
        <v>8</v>
      </c>
    </row>
    <row r="322" spans="1:8" x14ac:dyDescent="0.2">
      <c r="A322" s="68" t="s">
        <v>257</v>
      </c>
      <c r="B322" s="68" t="s">
        <v>1137</v>
      </c>
      <c r="C322" s="68" t="s">
        <v>568</v>
      </c>
      <c r="D322" s="135" t="s">
        <v>949</v>
      </c>
      <c r="E322" s="136"/>
      <c r="F322" s="68" t="s">
        <v>1099</v>
      </c>
      <c r="G322" s="18">
        <v>16</v>
      </c>
      <c r="H322" s="18">
        <v>0</v>
      </c>
    </row>
    <row r="323" spans="1:8" ht="12.2" customHeight="1" x14ac:dyDescent="0.2">
      <c r="A323" s="72"/>
      <c r="B323" s="72"/>
      <c r="C323" s="72"/>
      <c r="D323" s="158" t="s">
        <v>1243</v>
      </c>
      <c r="E323" s="158"/>
      <c r="F323" s="75"/>
      <c r="G323" s="50">
        <v>16</v>
      </c>
    </row>
    <row r="324" spans="1:8" x14ac:dyDescent="0.2">
      <c r="A324" s="68" t="s">
        <v>258</v>
      </c>
      <c r="B324" s="68" t="s">
        <v>1137</v>
      </c>
      <c r="C324" s="68" t="s">
        <v>569</v>
      </c>
      <c r="D324" s="135" t="s">
        <v>950</v>
      </c>
      <c r="E324" s="136"/>
      <c r="F324" s="68" t="s">
        <v>1099</v>
      </c>
      <c r="G324" s="18">
        <v>18</v>
      </c>
      <c r="H324" s="18">
        <v>0</v>
      </c>
    </row>
    <row r="325" spans="1:8" ht="12.2" customHeight="1" x14ac:dyDescent="0.2">
      <c r="A325" s="72"/>
      <c r="B325" s="72"/>
      <c r="C325" s="72"/>
      <c r="D325" s="157" t="s">
        <v>1244</v>
      </c>
      <c r="E325" s="157"/>
      <c r="F325" s="75"/>
      <c r="G325" s="50">
        <v>18</v>
      </c>
    </row>
    <row r="326" spans="1:8" x14ac:dyDescent="0.2">
      <c r="A326" s="68" t="s">
        <v>259</v>
      </c>
      <c r="B326" s="68" t="s">
        <v>1137</v>
      </c>
      <c r="C326" s="68" t="s">
        <v>570</v>
      </c>
      <c r="D326" s="135" t="s">
        <v>951</v>
      </c>
      <c r="E326" s="136"/>
      <c r="F326" s="68" t="s">
        <v>1099</v>
      </c>
      <c r="G326" s="18">
        <v>6</v>
      </c>
      <c r="H326" s="18">
        <v>0</v>
      </c>
    </row>
    <row r="327" spans="1:8" ht="12.2" customHeight="1" x14ac:dyDescent="0.2">
      <c r="A327" s="72"/>
      <c r="B327" s="72"/>
      <c r="C327" s="72"/>
      <c r="D327" s="157" t="s">
        <v>1241</v>
      </c>
      <c r="E327" s="157"/>
      <c r="F327" s="75"/>
      <c r="G327" s="50">
        <v>6</v>
      </c>
    </row>
    <row r="328" spans="1:8" x14ac:dyDescent="0.2">
      <c r="A328" s="68" t="s">
        <v>260</v>
      </c>
      <c r="B328" s="68" t="s">
        <v>1137</v>
      </c>
      <c r="C328" s="68" t="s">
        <v>571</v>
      </c>
      <c r="D328" s="135" t="s">
        <v>952</v>
      </c>
      <c r="E328" s="136"/>
      <c r="F328" s="68" t="s">
        <v>1099</v>
      </c>
      <c r="G328" s="18">
        <v>6</v>
      </c>
      <c r="H328" s="18">
        <v>0</v>
      </c>
    </row>
    <row r="329" spans="1:8" ht="12.2" customHeight="1" x14ac:dyDescent="0.2">
      <c r="A329" s="72"/>
      <c r="B329" s="72"/>
      <c r="C329" s="72"/>
      <c r="D329" s="157" t="s">
        <v>1241</v>
      </c>
      <c r="E329" s="157"/>
      <c r="F329" s="75"/>
      <c r="G329" s="50">
        <v>6</v>
      </c>
    </row>
    <row r="330" spans="1:8" x14ac:dyDescent="0.2">
      <c r="A330" s="68" t="s">
        <v>261</v>
      </c>
      <c r="B330" s="68" t="s">
        <v>1137</v>
      </c>
      <c r="C330" s="68" t="s">
        <v>572</v>
      </c>
      <c r="D330" s="135" t="s">
        <v>953</v>
      </c>
      <c r="E330" s="136"/>
      <c r="F330" s="68" t="s">
        <v>1099</v>
      </c>
      <c r="G330" s="18">
        <v>2</v>
      </c>
      <c r="H330" s="18">
        <v>0</v>
      </c>
    </row>
    <row r="331" spans="1:8" ht="12.2" customHeight="1" x14ac:dyDescent="0.2">
      <c r="A331" s="72"/>
      <c r="B331" s="72"/>
      <c r="C331" s="72"/>
      <c r="D331" s="157" t="s">
        <v>1199</v>
      </c>
      <c r="E331" s="157"/>
      <c r="F331" s="75"/>
      <c r="G331" s="50">
        <v>2</v>
      </c>
    </row>
    <row r="332" spans="1:8" x14ac:dyDescent="0.2">
      <c r="A332" s="68" t="s">
        <v>262</v>
      </c>
      <c r="B332" s="68" t="s">
        <v>1137</v>
      </c>
      <c r="C332" s="68" t="s">
        <v>573</v>
      </c>
      <c r="D332" s="135" t="s">
        <v>954</v>
      </c>
      <c r="E332" s="136"/>
      <c r="F332" s="68" t="s">
        <v>1099</v>
      </c>
      <c r="G332" s="18">
        <v>14</v>
      </c>
      <c r="H332" s="18">
        <v>0</v>
      </c>
    </row>
    <row r="333" spans="1:8" ht="12.2" customHeight="1" x14ac:dyDescent="0.2">
      <c r="A333" s="72"/>
      <c r="B333" s="72"/>
      <c r="C333" s="72"/>
      <c r="D333" s="157" t="s">
        <v>1245</v>
      </c>
      <c r="E333" s="157"/>
      <c r="F333" s="75"/>
      <c r="G333" s="50">
        <v>14</v>
      </c>
    </row>
    <row r="334" spans="1:8" x14ac:dyDescent="0.2">
      <c r="A334" s="68" t="s">
        <v>263</v>
      </c>
      <c r="B334" s="68" t="s">
        <v>1137</v>
      </c>
      <c r="C334" s="68" t="s">
        <v>574</v>
      </c>
      <c r="D334" s="135" t="s">
        <v>955</v>
      </c>
      <c r="E334" s="136"/>
      <c r="F334" s="68" t="s">
        <v>1099</v>
      </c>
      <c r="G334" s="18">
        <v>4</v>
      </c>
      <c r="H334" s="18">
        <v>0</v>
      </c>
    </row>
    <row r="335" spans="1:8" ht="12.2" customHeight="1" x14ac:dyDescent="0.2">
      <c r="A335" s="72"/>
      <c r="B335" s="72"/>
      <c r="C335" s="72"/>
      <c r="D335" s="157" t="s">
        <v>1198</v>
      </c>
      <c r="E335" s="157"/>
      <c r="F335" s="75"/>
      <c r="G335" s="50">
        <v>4</v>
      </c>
    </row>
    <row r="336" spans="1:8" x14ac:dyDescent="0.2">
      <c r="A336" s="68" t="s">
        <v>264</v>
      </c>
      <c r="B336" s="68" t="s">
        <v>1137</v>
      </c>
      <c r="C336" s="68" t="s">
        <v>574</v>
      </c>
      <c r="D336" s="135" t="s">
        <v>956</v>
      </c>
      <c r="E336" s="136"/>
      <c r="F336" s="68" t="s">
        <v>1099</v>
      </c>
      <c r="G336" s="18">
        <v>4</v>
      </c>
      <c r="H336" s="18">
        <v>0</v>
      </c>
    </row>
    <row r="337" spans="1:8" ht="12.2" customHeight="1" x14ac:dyDescent="0.2">
      <c r="A337" s="72"/>
      <c r="B337" s="72"/>
      <c r="C337" s="72"/>
      <c r="D337" s="157" t="s">
        <v>1198</v>
      </c>
      <c r="E337" s="157"/>
      <c r="F337" s="75"/>
      <c r="G337" s="50">
        <v>4</v>
      </c>
    </row>
    <row r="338" spans="1:8" x14ac:dyDescent="0.2">
      <c r="A338" s="68" t="s">
        <v>265</v>
      </c>
      <c r="B338" s="68" t="s">
        <v>1137</v>
      </c>
      <c r="C338" s="68" t="s">
        <v>575</v>
      </c>
      <c r="D338" s="135" t="s">
        <v>957</v>
      </c>
      <c r="E338" s="136"/>
      <c r="F338" s="68" t="s">
        <v>1102</v>
      </c>
      <c r="G338" s="18">
        <v>0.27</v>
      </c>
      <c r="H338" s="18">
        <v>0</v>
      </c>
    </row>
    <row r="339" spans="1:8" x14ac:dyDescent="0.2">
      <c r="A339" s="68" t="s">
        <v>266</v>
      </c>
      <c r="B339" s="68" t="s">
        <v>1137</v>
      </c>
      <c r="C339" s="68" t="s">
        <v>577</v>
      </c>
      <c r="D339" s="135" t="s">
        <v>959</v>
      </c>
      <c r="E339" s="136"/>
      <c r="F339" s="68" t="s">
        <v>1100</v>
      </c>
      <c r="G339" s="18">
        <v>105.46</v>
      </c>
      <c r="H339" s="18">
        <v>0</v>
      </c>
    </row>
    <row r="340" spans="1:8" ht="12.2" customHeight="1" x14ac:dyDescent="0.2">
      <c r="A340" s="72"/>
      <c r="B340" s="72"/>
      <c r="C340" s="72"/>
      <c r="D340" s="157" t="s">
        <v>1246</v>
      </c>
      <c r="E340" s="157"/>
      <c r="F340" s="75"/>
      <c r="G340" s="50">
        <v>105.46</v>
      </c>
    </row>
    <row r="341" spans="1:8" x14ac:dyDescent="0.2">
      <c r="A341" s="68" t="s">
        <v>267</v>
      </c>
      <c r="B341" s="68" t="s">
        <v>1137</v>
      </c>
      <c r="C341" s="68" t="s">
        <v>578</v>
      </c>
      <c r="D341" s="135" t="s">
        <v>960</v>
      </c>
      <c r="E341" s="136"/>
      <c r="F341" s="68" t="s">
        <v>1101</v>
      </c>
      <c r="G341" s="18">
        <v>142.41999999999999</v>
      </c>
      <c r="H341" s="18">
        <v>0</v>
      </c>
    </row>
    <row r="342" spans="1:8" ht="12.2" customHeight="1" x14ac:dyDescent="0.2">
      <c r="A342" s="72"/>
      <c r="B342" s="72"/>
      <c r="C342" s="72"/>
      <c r="D342" s="157" t="s">
        <v>1247</v>
      </c>
      <c r="E342" s="157"/>
      <c r="F342" s="75"/>
      <c r="G342" s="50">
        <v>142.41999999999999</v>
      </c>
    </row>
    <row r="343" spans="1:8" x14ac:dyDescent="0.2">
      <c r="A343" s="68" t="s">
        <v>268</v>
      </c>
      <c r="B343" s="68" t="s">
        <v>1137</v>
      </c>
      <c r="C343" s="68" t="s">
        <v>579</v>
      </c>
      <c r="D343" s="135" t="s">
        <v>961</v>
      </c>
      <c r="E343" s="136"/>
      <c r="F343" s="68" t="s">
        <v>1100</v>
      </c>
      <c r="G343" s="18">
        <v>105.46</v>
      </c>
      <c r="H343" s="18">
        <v>0</v>
      </c>
    </row>
    <row r="344" spans="1:8" x14ac:dyDescent="0.2">
      <c r="A344" s="68" t="s">
        <v>269</v>
      </c>
      <c r="B344" s="68" t="s">
        <v>1137</v>
      </c>
      <c r="C344" s="68" t="s">
        <v>580</v>
      </c>
      <c r="D344" s="135" t="s">
        <v>962</v>
      </c>
      <c r="E344" s="136"/>
      <c r="F344" s="68" t="s">
        <v>1100</v>
      </c>
      <c r="G344" s="18">
        <v>105.46</v>
      </c>
      <c r="H344" s="18">
        <v>0</v>
      </c>
    </row>
    <row r="345" spans="1:8" ht="12.2" customHeight="1" x14ac:dyDescent="0.2">
      <c r="A345" s="72"/>
      <c r="B345" s="72"/>
      <c r="C345" s="72"/>
      <c r="D345" s="157" t="s">
        <v>1246</v>
      </c>
      <c r="E345" s="157"/>
      <c r="F345" s="75"/>
      <c r="G345" s="50">
        <v>105.46</v>
      </c>
    </row>
    <row r="346" spans="1:8" x14ac:dyDescent="0.2">
      <c r="A346" s="69" t="s">
        <v>270</v>
      </c>
      <c r="B346" s="69" t="s">
        <v>1137</v>
      </c>
      <c r="C346" s="69" t="s">
        <v>581</v>
      </c>
      <c r="D346" s="148" t="s">
        <v>963</v>
      </c>
      <c r="E346" s="149"/>
      <c r="F346" s="69" t="s">
        <v>1100</v>
      </c>
      <c r="G346" s="19">
        <v>110.733</v>
      </c>
      <c r="H346" s="19">
        <v>0</v>
      </c>
    </row>
    <row r="347" spans="1:8" ht="12.2" customHeight="1" x14ac:dyDescent="0.2">
      <c r="A347" s="72"/>
      <c r="B347" s="72"/>
      <c r="C347" s="72"/>
      <c r="D347" s="159" t="s">
        <v>1248</v>
      </c>
      <c r="E347" s="159"/>
      <c r="F347" s="77"/>
      <c r="G347" s="73">
        <v>105.46</v>
      </c>
    </row>
    <row r="348" spans="1:8" ht="12.2" customHeight="1" x14ac:dyDescent="0.2">
      <c r="A348" s="69"/>
      <c r="B348" s="69"/>
      <c r="C348" s="69"/>
      <c r="D348" s="159" t="s">
        <v>1249</v>
      </c>
      <c r="E348" s="159"/>
      <c r="F348" s="76"/>
      <c r="G348" s="73">
        <v>5.2729999999999997</v>
      </c>
      <c r="H348" s="30"/>
    </row>
    <row r="349" spans="1:8" x14ac:dyDescent="0.2">
      <c r="A349" s="68" t="s">
        <v>271</v>
      </c>
      <c r="B349" s="68" t="s">
        <v>1137</v>
      </c>
      <c r="C349" s="68" t="s">
        <v>582</v>
      </c>
      <c r="D349" s="135" t="s">
        <v>964</v>
      </c>
      <c r="E349" s="136"/>
      <c r="F349" s="68" t="s">
        <v>1101</v>
      </c>
      <c r="G349" s="18">
        <v>142.41999999999999</v>
      </c>
      <c r="H349" s="18">
        <v>0</v>
      </c>
    </row>
    <row r="350" spans="1:8" x14ac:dyDescent="0.2">
      <c r="A350" s="68" t="s">
        <v>272</v>
      </c>
      <c r="B350" s="68" t="s">
        <v>1137</v>
      </c>
      <c r="C350" s="68" t="s">
        <v>583</v>
      </c>
      <c r="D350" s="135" t="s">
        <v>965</v>
      </c>
      <c r="E350" s="136"/>
      <c r="F350" s="68" t="s">
        <v>1100</v>
      </c>
      <c r="G350" s="18">
        <v>17.04</v>
      </c>
      <c r="H350" s="18">
        <v>0</v>
      </c>
    </row>
    <row r="351" spans="1:8" ht="12.2" customHeight="1" x14ac:dyDescent="0.2">
      <c r="A351" s="72"/>
      <c r="B351" s="72"/>
      <c r="C351" s="72"/>
      <c r="D351" s="157" t="s">
        <v>1205</v>
      </c>
      <c r="E351" s="157"/>
      <c r="F351" s="75"/>
      <c r="G351" s="50">
        <v>17.04</v>
      </c>
    </row>
    <row r="352" spans="1:8" x14ac:dyDescent="0.2">
      <c r="A352" s="68" t="s">
        <v>273</v>
      </c>
      <c r="B352" s="68" t="s">
        <v>1137</v>
      </c>
      <c r="C352" s="68" t="s">
        <v>584</v>
      </c>
      <c r="D352" s="135" t="s">
        <v>966</v>
      </c>
      <c r="E352" s="136"/>
      <c r="F352" s="68" t="s">
        <v>1100</v>
      </c>
      <c r="G352" s="18">
        <v>105.46</v>
      </c>
      <c r="H352" s="18">
        <v>0</v>
      </c>
    </row>
    <row r="353" spans="1:8" x14ac:dyDescent="0.2">
      <c r="A353" s="68" t="s">
        <v>274</v>
      </c>
      <c r="B353" s="68" t="s">
        <v>1137</v>
      </c>
      <c r="C353" s="68" t="s">
        <v>585</v>
      </c>
      <c r="D353" s="135" t="s">
        <v>967</v>
      </c>
      <c r="E353" s="136"/>
      <c r="F353" s="68" t="s">
        <v>1102</v>
      </c>
      <c r="G353" s="18">
        <v>2.7898000000000001</v>
      </c>
      <c r="H353" s="18">
        <v>0</v>
      </c>
    </row>
    <row r="354" spans="1:8" x14ac:dyDescent="0.2">
      <c r="A354" s="68" t="s">
        <v>275</v>
      </c>
      <c r="B354" s="68" t="s">
        <v>1137</v>
      </c>
      <c r="C354" s="68" t="s">
        <v>587</v>
      </c>
      <c r="D354" s="135" t="s">
        <v>969</v>
      </c>
      <c r="E354" s="136"/>
      <c r="F354" s="68" t="s">
        <v>1100</v>
      </c>
      <c r="G354" s="18">
        <v>42.725999999999999</v>
      </c>
      <c r="H354" s="18">
        <v>0</v>
      </c>
    </row>
    <row r="355" spans="1:8" ht="12.2" customHeight="1" x14ac:dyDescent="0.2">
      <c r="A355" s="72"/>
      <c r="B355" s="72"/>
      <c r="C355" s="72"/>
      <c r="D355" s="157" t="s">
        <v>1250</v>
      </c>
      <c r="E355" s="157"/>
      <c r="F355" s="75"/>
      <c r="G355" s="50">
        <v>42.725999999999999</v>
      </c>
    </row>
    <row r="356" spans="1:8" x14ac:dyDescent="0.2">
      <c r="A356" s="68" t="s">
        <v>276</v>
      </c>
      <c r="B356" s="68" t="s">
        <v>1137</v>
      </c>
      <c r="C356" s="68" t="s">
        <v>588</v>
      </c>
      <c r="D356" s="135" t="s">
        <v>970</v>
      </c>
      <c r="E356" s="136"/>
      <c r="F356" s="68" t="s">
        <v>1100</v>
      </c>
      <c r="G356" s="18">
        <v>291.65800000000002</v>
      </c>
      <c r="H356" s="18">
        <v>0</v>
      </c>
    </row>
    <row r="357" spans="1:8" ht="12.2" customHeight="1" x14ac:dyDescent="0.2">
      <c r="A357" s="72"/>
      <c r="B357" s="72"/>
      <c r="C357" s="72"/>
      <c r="D357" s="157" t="s">
        <v>1251</v>
      </c>
      <c r="E357" s="157"/>
      <c r="F357" s="75"/>
      <c r="G357" s="50">
        <v>291.65800000000002</v>
      </c>
    </row>
    <row r="358" spans="1:8" x14ac:dyDescent="0.2">
      <c r="A358" s="68" t="s">
        <v>277</v>
      </c>
      <c r="B358" s="68" t="s">
        <v>1137</v>
      </c>
      <c r="C358" s="68" t="s">
        <v>589</v>
      </c>
      <c r="D358" s="135" t="s">
        <v>971</v>
      </c>
      <c r="E358" s="136"/>
      <c r="F358" s="68" t="s">
        <v>1101</v>
      </c>
      <c r="G358" s="18">
        <v>38.840000000000003</v>
      </c>
      <c r="H358" s="18">
        <v>0</v>
      </c>
    </row>
    <row r="359" spans="1:8" ht="12.2" customHeight="1" x14ac:dyDescent="0.2">
      <c r="A359" s="72"/>
      <c r="B359" s="72"/>
      <c r="C359" s="72"/>
      <c r="D359" s="157" t="s">
        <v>1252</v>
      </c>
      <c r="E359" s="157"/>
      <c r="F359" s="75"/>
      <c r="G359" s="50">
        <v>10.039999999999999</v>
      </c>
    </row>
    <row r="360" spans="1:8" ht="12.2" customHeight="1" x14ac:dyDescent="0.2">
      <c r="A360" s="68"/>
      <c r="B360" s="68"/>
      <c r="C360" s="68"/>
      <c r="D360" s="157" t="s">
        <v>1253</v>
      </c>
      <c r="E360" s="157"/>
      <c r="F360" s="74"/>
      <c r="G360" s="50">
        <v>28.8</v>
      </c>
      <c r="H360" s="29"/>
    </row>
    <row r="361" spans="1:8" x14ac:dyDescent="0.2">
      <c r="A361" s="68" t="s">
        <v>278</v>
      </c>
      <c r="B361" s="68" t="s">
        <v>1137</v>
      </c>
      <c r="C361" s="68" t="s">
        <v>590</v>
      </c>
      <c r="D361" s="135" t="s">
        <v>972</v>
      </c>
      <c r="E361" s="136"/>
      <c r="F361" s="68" t="s">
        <v>1099</v>
      </c>
      <c r="G361" s="18">
        <v>58</v>
      </c>
      <c r="H361" s="18">
        <v>0</v>
      </c>
    </row>
    <row r="362" spans="1:8" ht="12.2" customHeight="1" x14ac:dyDescent="0.2">
      <c r="A362" s="72"/>
      <c r="B362" s="72"/>
      <c r="C362" s="72"/>
      <c r="D362" s="157" t="s">
        <v>1254</v>
      </c>
      <c r="E362" s="157"/>
      <c r="F362" s="75"/>
      <c r="G362" s="50">
        <v>58</v>
      </c>
    </row>
    <row r="363" spans="1:8" x14ac:dyDescent="0.2">
      <c r="A363" s="68" t="s">
        <v>279</v>
      </c>
      <c r="B363" s="68" t="s">
        <v>1137</v>
      </c>
      <c r="C363" s="68" t="s">
        <v>591</v>
      </c>
      <c r="D363" s="135" t="s">
        <v>973</v>
      </c>
      <c r="E363" s="136"/>
      <c r="F363" s="68" t="s">
        <v>1099</v>
      </c>
      <c r="G363" s="18">
        <v>38</v>
      </c>
      <c r="H363" s="18">
        <v>0</v>
      </c>
    </row>
    <row r="364" spans="1:8" ht="12.2" customHeight="1" x14ac:dyDescent="0.2">
      <c r="A364" s="72"/>
      <c r="B364" s="72"/>
      <c r="C364" s="72"/>
      <c r="D364" s="157" t="s">
        <v>1255</v>
      </c>
      <c r="E364" s="157"/>
      <c r="F364" s="75"/>
      <c r="G364" s="50">
        <v>38</v>
      </c>
    </row>
    <row r="365" spans="1:8" x14ac:dyDescent="0.2">
      <c r="A365" s="68" t="s">
        <v>280</v>
      </c>
      <c r="B365" s="68" t="s">
        <v>1137</v>
      </c>
      <c r="C365" s="68" t="s">
        <v>592</v>
      </c>
      <c r="D365" s="135" t="s">
        <v>974</v>
      </c>
      <c r="E365" s="136"/>
      <c r="F365" s="68" t="s">
        <v>1101</v>
      </c>
      <c r="G365" s="18">
        <v>28.8</v>
      </c>
      <c r="H365" s="18">
        <v>0</v>
      </c>
    </row>
    <row r="366" spans="1:8" ht="12.2" customHeight="1" x14ac:dyDescent="0.2">
      <c r="A366" s="72"/>
      <c r="B366" s="72"/>
      <c r="C366" s="72"/>
      <c r="D366" s="157" t="s">
        <v>1253</v>
      </c>
      <c r="E366" s="157"/>
      <c r="F366" s="75"/>
      <c r="G366" s="50">
        <v>28.8</v>
      </c>
    </row>
    <row r="367" spans="1:8" x14ac:dyDescent="0.2">
      <c r="A367" s="69" t="s">
        <v>281</v>
      </c>
      <c r="B367" s="69" t="s">
        <v>1137</v>
      </c>
      <c r="C367" s="69" t="s">
        <v>593</v>
      </c>
      <c r="D367" s="148" t="s">
        <v>975</v>
      </c>
      <c r="E367" s="149"/>
      <c r="F367" s="69" t="s">
        <v>1100</v>
      </c>
      <c r="G367" s="19">
        <v>7.2</v>
      </c>
      <c r="H367" s="19">
        <v>0</v>
      </c>
    </row>
    <row r="368" spans="1:8" ht="12.2" customHeight="1" x14ac:dyDescent="0.2">
      <c r="A368" s="72"/>
      <c r="B368" s="72"/>
      <c r="C368" s="72"/>
      <c r="D368" s="159" t="s">
        <v>1256</v>
      </c>
      <c r="E368" s="159"/>
      <c r="F368" s="77"/>
      <c r="G368" s="73">
        <v>5.76</v>
      </c>
    </row>
    <row r="369" spans="1:8" ht="12.2" customHeight="1" x14ac:dyDescent="0.2">
      <c r="A369" s="69"/>
      <c r="B369" s="69"/>
      <c r="C369" s="69"/>
      <c r="D369" s="159" t="s">
        <v>1257</v>
      </c>
      <c r="E369" s="159"/>
      <c r="F369" s="76"/>
      <c r="G369" s="73">
        <v>1.44</v>
      </c>
      <c r="H369" s="30"/>
    </row>
    <row r="370" spans="1:8" x14ac:dyDescent="0.2">
      <c r="A370" s="68" t="s">
        <v>282</v>
      </c>
      <c r="B370" s="68" t="s">
        <v>1137</v>
      </c>
      <c r="C370" s="68" t="s">
        <v>594</v>
      </c>
      <c r="D370" s="135" t="s">
        <v>976</v>
      </c>
      <c r="E370" s="136"/>
      <c r="F370" s="68" t="s">
        <v>1101</v>
      </c>
      <c r="G370" s="18">
        <v>10.039999999999999</v>
      </c>
      <c r="H370" s="18">
        <v>0</v>
      </c>
    </row>
    <row r="371" spans="1:8" ht="12.2" customHeight="1" x14ac:dyDescent="0.2">
      <c r="A371" s="72"/>
      <c r="B371" s="72"/>
      <c r="C371" s="72"/>
      <c r="D371" s="157" t="s">
        <v>1258</v>
      </c>
      <c r="E371" s="157"/>
      <c r="F371" s="75"/>
      <c r="G371" s="50">
        <v>10.039999999999999</v>
      </c>
    </row>
    <row r="372" spans="1:8" x14ac:dyDescent="0.2">
      <c r="A372" s="69" t="s">
        <v>283</v>
      </c>
      <c r="B372" s="69" t="s">
        <v>1137</v>
      </c>
      <c r="C372" s="69" t="s">
        <v>593</v>
      </c>
      <c r="D372" s="148" t="s">
        <v>975</v>
      </c>
      <c r="E372" s="149"/>
      <c r="F372" s="69" t="s">
        <v>1100</v>
      </c>
      <c r="G372" s="19">
        <v>2.3325</v>
      </c>
      <c r="H372" s="19">
        <v>0</v>
      </c>
    </row>
    <row r="373" spans="1:8" ht="12.2" customHeight="1" x14ac:dyDescent="0.2">
      <c r="A373" s="72"/>
      <c r="B373" s="72"/>
      <c r="C373" s="72"/>
      <c r="D373" s="159" t="s">
        <v>1259</v>
      </c>
      <c r="E373" s="159"/>
      <c r="F373" s="77"/>
      <c r="G373" s="73">
        <v>1.8660000000000001</v>
      </c>
    </row>
    <row r="374" spans="1:8" ht="12.2" customHeight="1" x14ac:dyDescent="0.2">
      <c r="A374" s="69"/>
      <c r="B374" s="69"/>
      <c r="C374" s="69"/>
      <c r="D374" s="159" t="s">
        <v>1260</v>
      </c>
      <c r="E374" s="159"/>
      <c r="F374" s="76"/>
      <c r="G374" s="73">
        <v>0.46650000000000003</v>
      </c>
      <c r="H374" s="30"/>
    </row>
    <row r="375" spans="1:8" x14ac:dyDescent="0.2">
      <c r="A375" s="68" t="s">
        <v>284</v>
      </c>
      <c r="B375" s="68" t="s">
        <v>1137</v>
      </c>
      <c r="C375" s="68" t="s">
        <v>595</v>
      </c>
      <c r="D375" s="135" t="s">
        <v>977</v>
      </c>
      <c r="E375" s="136"/>
      <c r="F375" s="68" t="s">
        <v>1100</v>
      </c>
      <c r="G375" s="18">
        <v>291.65800000000002</v>
      </c>
      <c r="H375" s="18">
        <v>0</v>
      </c>
    </row>
    <row r="376" spans="1:8" x14ac:dyDescent="0.2">
      <c r="A376" s="68" t="s">
        <v>285</v>
      </c>
      <c r="B376" s="68" t="s">
        <v>1137</v>
      </c>
      <c r="C376" s="68" t="s">
        <v>596</v>
      </c>
      <c r="D376" s="135" t="s">
        <v>978</v>
      </c>
      <c r="E376" s="136"/>
      <c r="F376" s="68" t="s">
        <v>1100</v>
      </c>
      <c r="G376" s="18">
        <v>291.65800000000002</v>
      </c>
      <c r="H376" s="18">
        <v>0</v>
      </c>
    </row>
    <row r="377" spans="1:8" x14ac:dyDescent="0.2">
      <c r="A377" s="69" t="s">
        <v>286</v>
      </c>
      <c r="B377" s="69" t="s">
        <v>1137</v>
      </c>
      <c r="C377" s="69" t="s">
        <v>593</v>
      </c>
      <c r="D377" s="148" t="s">
        <v>975</v>
      </c>
      <c r="E377" s="149"/>
      <c r="F377" s="69" t="s">
        <v>1100</v>
      </c>
      <c r="G377" s="19">
        <v>306.24090000000001</v>
      </c>
      <c r="H377" s="19">
        <v>0</v>
      </c>
    </row>
    <row r="378" spans="1:8" ht="12.2" customHeight="1" x14ac:dyDescent="0.2">
      <c r="A378" s="72"/>
      <c r="B378" s="72"/>
      <c r="C378" s="72"/>
      <c r="D378" s="159" t="s">
        <v>1261</v>
      </c>
      <c r="E378" s="159"/>
      <c r="F378" s="77"/>
      <c r="G378" s="73">
        <v>291.65800000000002</v>
      </c>
    </row>
    <row r="379" spans="1:8" ht="12.2" customHeight="1" x14ac:dyDescent="0.2">
      <c r="A379" s="69"/>
      <c r="B379" s="69"/>
      <c r="C379" s="69"/>
      <c r="D379" s="159" t="s">
        <v>1262</v>
      </c>
      <c r="E379" s="159"/>
      <c r="F379" s="76"/>
      <c r="G379" s="73">
        <v>14.5829</v>
      </c>
      <c r="H379" s="30"/>
    </row>
    <row r="380" spans="1:8" x14ac:dyDescent="0.2">
      <c r="A380" s="68" t="s">
        <v>287</v>
      </c>
      <c r="B380" s="68" t="s">
        <v>1137</v>
      </c>
      <c r="C380" s="68" t="s">
        <v>597</v>
      </c>
      <c r="D380" s="135" t="s">
        <v>979</v>
      </c>
      <c r="E380" s="136"/>
      <c r="F380" s="68" t="s">
        <v>1101</v>
      </c>
      <c r="G380" s="18">
        <v>391.58</v>
      </c>
      <c r="H380" s="18">
        <v>0</v>
      </c>
    </row>
    <row r="381" spans="1:8" ht="12.2" customHeight="1" x14ac:dyDescent="0.2">
      <c r="A381" s="72"/>
      <c r="B381" s="72"/>
      <c r="C381" s="72"/>
      <c r="D381" s="157" t="s">
        <v>1247</v>
      </c>
      <c r="E381" s="157"/>
      <c r="F381" s="75"/>
      <c r="G381" s="50">
        <v>142.41999999999999</v>
      </c>
    </row>
    <row r="382" spans="1:8" ht="12.2" customHeight="1" x14ac:dyDescent="0.2">
      <c r="A382" s="68"/>
      <c r="B382" s="68"/>
      <c r="C382" s="68"/>
      <c r="D382" s="157" t="s">
        <v>1263</v>
      </c>
      <c r="E382" s="157"/>
      <c r="F382" s="74"/>
      <c r="G382" s="50">
        <v>130.19999999999999</v>
      </c>
      <c r="H382" s="29"/>
    </row>
    <row r="383" spans="1:8" ht="12.2" customHeight="1" x14ac:dyDescent="0.2">
      <c r="A383" s="68"/>
      <c r="B383" s="68"/>
      <c r="C383" s="68"/>
      <c r="D383" s="157" t="s">
        <v>1264</v>
      </c>
      <c r="E383" s="157"/>
      <c r="F383" s="74"/>
      <c r="G383" s="50">
        <v>118.96</v>
      </c>
      <c r="H383" s="29"/>
    </row>
    <row r="384" spans="1:8" x14ac:dyDescent="0.2">
      <c r="A384" s="69" t="s">
        <v>288</v>
      </c>
      <c r="B384" s="69" t="s">
        <v>1137</v>
      </c>
      <c r="C384" s="69" t="s">
        <v>598</v>
      </c>
      <c r="D384" s="148" t="s">
        <v>981</v>
      </c>
      <c r="E384" s="149"/>
      <c r="F384" s="69" t="s">
        <v>1101</v>
      </c>
      <c r="G384" s="19">
        <v>156.66200000000001</v>
      </c>
      <c r="H384" s="19">
        <v>0</v>
      </c>
    </row>
    <row r="385" spans="1:8" ht="12.2" customHeight="1" x14ac:dyDescent="0.2">
      <c r="A385" s="72"/>
      <c r="B385" s="72"/>
      <c r="C385" s="72"/>
      <c r="D385" s="159" t="s">
        <v>1265</v>
      </c>
      <c r="E385" s="159"/>
      <c r="F385" s="77"/>
      <c r="G385" s="73">
        <v>142.41999999999999</v>
      </c>
    </row>
    <row r="386" spans="1:8" ht="12.2" customHeight="1" x14ac:dyDescent="0.2">
      <c r="A386" s="69"/>
      <c r="B386" s="69"/>
      <c r="C386" s="69"/>
      <c r="D386" s="159" t="s">
        <v>1266</v>
      </c>
      <c r="E386" s="159"/>
      <c r="F386" s="76"/>
      <c r="G386" s="73">
        <v>14.242000000000001</v>
      </c>
      <c r="H386" s="30"/>
    </row>
    <row r="387" spans="1:8" x14ac:dyDescent="0.2">
      <c r="A387" s="69" t="s">
        <v>289</v>
      </c>
      <c r="B387" s="69" t="s">
        <v>1137</v>
      </c>
      <c r="C387" s="69" t="s">
        <v>599</v>
      </c>
      <c r="D387" s="148" t="s">
        <v>982</v>
      </c>
      <c r="E387" s="149"/>
      <c r="F387" s="69" t="s">
        <v>1101</v>
      </c>
      <c r="G387" s="19">
        <v>143.22</v>
      </c>
      <c r="H387" s="19">
        <v>0</v>
      </c>
    </row>
    <row r="388" spans="1:8" ht="12.2" customHeight="1" x14ac:dyDescent="0.2">
      <c r="A388" s="72"/>
      <c r="B388" s="72"/>
      <c r="C388" s="72"/>
      <c r="D388" s="159" t="s">
        <v>1267</v>
      </c>
      <c r="E388" s="159"/>
      <c r="F388" s="77"/>
      <c r="G388" s="73">
        <v>130.19999999999999</v>
      </c>
    </row>
    <row r="389" spans="1:8" ht="12.2" customHeight="1" x14ac:dyDescent="0.2">
      <c r="A389" s="69"/>
      <c r="B389" s="69"/>
      <c r="C389" s="69"/>
      <c r="D389" s="159" t="s">
        <v>1268</v>
      </c>
      <c r="E389" s="159"/>
      <c r="F389" s="76"/>
      <c r="G389" s="73">
        <v>13.02</v>
      </c>
      <c r="H389" s="30"/>
    </row>
    <row r="390" spans="1:8" x14ac:dyDescent="0.2">
      <c r="A390" s="69" t="s">
        <v>290</v>
      </c>
      <c r="B390" s="69" t="s">
        <v>1137</v>
      </c>
      <c r="C390" s="69" t="s">
        <v>600</v>
      </c>
      <c r="D390" s="148" t="s">
        <v>983</v>
      </c>
      <c r="E390" s="149"/>
      <c r="F390" s="69" t="s">
        <v>1101</v>
      </c>
      <c r="G390" s="19">
        <v>130.85599999999999</v>
      </c>
      <c r="H390" s="19">
        <v>0</v>
      </c>
    </row>
    <row r="391" spans="1:8" ht="12.2" customHeight="1" x14ac:dyDescent="0.2">
      <c r="A391" s="72"/>
      <c r="B391" s="72"/>
      <c r="C391" s="72"/>
      <c r="D391" s="159" t="s">
        <v>1269</v>
      </c>
      <c r="E391" s="159"/>
      <c r="F391" s="77"/>
      <c r="G391" s="73">
        <v>118.96</v>
      </c>
    </row>
    <row r="392" spans="1:8" ht="12.2" customHeight="1" x14ac:dyDescent="0.2">
      <c r="A392" s="69"/>
      <c r="B392" s="69"/>
      <c r="C392" s="69"/>
      <c r="D392" s="159" t="s">
        <v>1270</v>
      </c>
      <c r="E392" s="159"/>
      <c r="F392" s="76"/>
      <c r="G392" s="73">
        <v>11.896000000000001</v>
      </c>
      <c r="H392" s="30"/>
    </row>
    <row r="393" spans="1:8" x14ac:dyDescent="0.2">
      <c r="A393" s="68" t="s">
        <v>291</v>
      </c>
      <c r="B393" s="68" t="s">
        <v>1137</v>
      </c>
      <c r="C393" s="68" t="s">
        <v>601</v>
      </c>
      <c r="D393" s="135" t="s">
        <v>984</v>
      </c>
      <c r="E393" s="136"/>
      <c r="F393" s="68" t="s">
        <v>1102</v>
      </c>
      <c r="G393" s="18">
        <v>7.9269999999999996</v>
      </c>
      <c r="H393" s="18">
        <v>0</v>
      </c>
    </row>
    <row r="394" spans="1:8" x14ac:dyDescent="0.2">
      <c r="A394" s="68" t="s">
        <v>292</v>
      </c>
      <c r="B394" s="68" t="s">
        <v>1137</v>
      </c>
      <c r="C394" s="68" t="s">
        <v>603</v>
      </c>
      <c r="D394" s="135" t="s">
        <v>986</v>
      </c>
      <c r="E394" s="136"/>
      <c r="F394" s="68" t="s">
        <v>1100</v>
      </c>
      <c r="G394" s="18">
        <v>90.108000000000004</v>
      </c>
      <c r="H394" s="18">
        <v>0</v>
      </c>
    </row>
    <row r="395" spans="1:8" ht="12.2" customHeight="1" x14ac:dyDescent="0.2">
      <c r="A395" s="72"/>
      <c r="B395" s="72"/>
      <c r="C395" s="72"/>
      <c r="D395" s="157" t="s">
        <v>1211</v>
      </c>
      <c r="E395" s="157"/>
      <c r="F395" s="75"/>
      <c r="G395" s="50">
        <v>44.88</v>
      </c>
    </row>
    <row r="396" spans="1:8" ht="12.2" customHeight="1" x14ac:dyDescent="0.2">
      <c r="A396" s="68"/>
      <c r="B396" s="68"/>
      <c r="C396" s="68"/>
      <c r="D396" s="157" t="s">
        <v>1212</v>
      </c>
      <c r="E396" s="157"/>
      <c r="F396" s="74"/>
      <c r="G396" s="50">
        <v>45.228000000000002</v>
      </c>
      <c r="H396" s="29"/>
    </row>
    <row r="397" spans="1:8" x14ac:dyDescent="0.2">
      <c r="A397" s="68" t="s">
        <v>293</v>
      </c>
      <c r="B397" s="68" t="s">
        <v>1137</v>
      </c>
      <c r="C397" s="68" t="s">
        <v>604</v>
      </c>
      <c r="D397" s="135" t="s">
        <v>988</v>
      </c>
      <c r="E397" s="136"/>
      <c r="F397" s="68" t="s">
        <v>1100</v>
      </c>
      <c r="G397" s="18">
        <v>17.04</v>
      </c>
      <c r="H397" s="18">
        <v>0</v>
      </c>
    </row>
    <row r="398" spans="1:8" ht="12.2" customHeight="1" x14ac:dyDescent="0.2">
      <c r="A398" s="72"/>
      <c r="B398" s="72"/>
      <c r="C398" s="72"/>
      <c r="D398" s="157" t="s">
        <v>1205</v>
      </c>
      <c r="E398" s="157"/>
      <c r="F398" s="75"/>
      <c r="G398" s="50">
        <v>17.04</v>
      </c>
    </row>
    <row r="399" spans="1:8" x14ac:dyDescent="0.2">
      <c r="A399" s="68" t="s">
        <v>294</v>
      </c>
      <c r="B399" s="68" t="s">
        <v>1137</v>
      </c>
      <c r="C399" s="68" t="s">
        <v>605</v>
      </c>
      <c r="D399" s="135" t="s">
        <v>989</v>
      </c>
      <c r="E399" s="136"/>
      <c r="F399" s="68" t="s">
        <v>1100</v>
      </c>
      <c r="G399" s="18">
        <v>265.40800000000002</v>
      </c>
      <c r="H399" s="18">
        <v>0</v>
      </c>
    </row>
    <row r="400" spans="1:8" ht="12.2" customHeight="1" x14ac:dyDescent="0.2">
      <c r="A400" s="72"/>
      <c r="B400" s="72"/>
      <c r="C400" s="72"/>
      <c r="D400" s="157" t="s">
        <v>1207</v>
      </c>
      <c r="E400" s="157"/>
      <c r="F400" s="75"/>
      <c r="G400" s="50">
        <v>23.292000000000002</v>
      </c>
    </row>
    <row r="401" spans="1:8" ht="12.2" customHeight="1" x14ac:dyDescent="0.2">
      <c r="A401" s="68"/>
      <c r="B401" s="68"/>
      <c r="C401" s="68"/>
      <c r="D401" s="157" t="s">
        <v>1208</v>
      </c>
      <c r="E401" s="157"/>
      <c r="F401" s="74"/>
      <c r="G401" s="50">
        <v>26.1</v>
      </c>
      <c r="H401" s="29"/>
    </row>
    <row r="402" spans="1:8" ht="12.2" customHeight="1" x14ac:dyDescent="0.2">
      <c r="A402" s="68"/>
      <c r="B402" s="68"/>
      <c r="C402" s="68"/>
      <c r="D402" s="157" t="s">
        <v>1209</v>
      </c>
      <c r="E402" s="157"/>
      <c r="F402" s="74"/>
      <c r="G402" s="50">
        <v>43.488</v>
      </c>
      <c r="H402" s="29"/>
    </row>
    <row r="403" spans="1:8" ht="12.2" customHeight="1" x14ac:dyDescent="0.2">
      <c r="A403" s="68"/>
      <c r="B403" s="68"/>
      <c r="C403" s="68"/>
      <c r="D403" s="157" t="s">
        <v>1211</v>
      </c>
      <c r="E403" s="157"/>
      <c r="F403" s="74"/>
      <c r="G403" s="50">
        <v>44.88</v>
      </c>
      <c r="H403" s="29"/>
    </row>
    <row r="404" spans="1:8" ht="12.2" customHeight="1" x14ac:dyDescent="0.2">
      <c r="A404" s="68"/>
      <c r="B404" s="68"/>
      <c r="C404" s="68"/>
      <c r="D404" s="157" t="s">
        <v>1212</v>
      </c>
      <c r="E404" s="157"/>
      <c r="F404" s="74"/>
      <c r="G404" s="50">
        <v>45.228000000000002</v>
      </c>
      <c r="H404" s="29"/>
    </row>
    <row r="405" spans="1:8" ht="12.2" customHeight="1" x14ac:dyDescent="0.2">
      <c r="A405" s="68"/>
      <c r="B405" s="68"/>
      <c r="C405" s="68"/>
      <c r="D405" s="157" t="s">
        <v>1206</v>
      </c>
      <c r="E405" s="157"/>
      <c r="F405" s="74"/>
      <c r="G405" s="50">
        <v>82.42</v>
      </c>
      <c r="H405" s="29"/>
    </row>
    <row r="406" spans="1:8" x14ac:dyDescent="0.2">
      <c r="A406" s="68" t="s">
        <v>295</v>
      </c>
      <c r="B406" s="68" t="s">
        <v>1137</v>
      </c>
      <c r="C406" s="68" t="s">
        <v>607</v>
      </c>
      <c r="D406" s="135" t="s">
        <v>992</v>
      </c>
      <c r="E406" s="136"/>
      <c r="F406" s="68" t="s">
        <v>1099</v>
      </c>
      <c r="G406" s="18">
        <v>16</v>
      </c>
      <c r="H406" s="18">
        <v>0</v>
      </c>
    </row>
    <row r="407" spans="1:8" x14ac:dyDescent="0.2">
      <c r="A407" s="68" t="s">
        <v>296</v>
      </c>
      <c r="B407" s="68" t="s">
        <v>1137</v>
      </c>
      <c r="C407" s="68" t="s">
        <v>608</v>
      </c>
      <c r="D407" s="135" t="s">
        <v>993</v>
      </c>
      <c r="E407" s="136"/>
      <c r="F407" s="68" t="s">
        <v>1099</v>
      </c>
      <c r="G407" s="18">
        <v>8</v>
      </c>
      <c r="H407" s="18">
        <v>0</v>
      </c>
    </row>
    <row r="408" spans="1:8" x14ac:dyDescent="0.2">
      <c r="A408" s="68" t="s">
        <v>297</v>
      </c>
      <c r="B408" s="68" t="s">
        <v>1137</v>
      </c>
      <c r="C408" s="68" t="s">
        <v>609</v>
      </c>
      <c r="D408" s="135" t="s">
        <v>994</v>
      </c>
      <c r="E408" s="136"/>
      <c r="F408" s="68" t="s">
        <v>1099</v>
      </c>
      <c r="G408" s="18">
        <v>50</v>
      </c>
      <c r="H408" s="18">
        <v>0</v>
      </c>
    </row>
    <row r="409" spans="1:8" x14ac:dyDescent="0.2">
      <c r="A409" s="68" t="s">
        <v>298</v>
      </c>
      <c r="B409" s="68" t="s">
        <v>1137</v>
      </c>
      <c r="C409" s="68" t="s">
        <v>610</v>
      </c>
      <c r="D409" s="135" t="s">
        <v>995</v>
      </c>
      <c r="E409" s="136"/>
      <c r="F409" s="68" t="s">
        <v>1101</v>
      </c>
      <c r="G409" s="18">
        <v>80</v>
      </c>
      <c r="H409" s="18">
        <v>0</v>
      </c>
    </row>
    <row r="410" spans="1:8" x14ac:dyDescent="0.2">
      <c r="A410" s="68" t="s">
        <v>299</v>
      </c>
      <c r="B410" s="68" t="s">
        <v>1137</v>
      </c>
      <c r="C410" s="68" t="s">
        <v>611</v>
      </c>
      <c r="D410" s="135" t="s">
        <v>996</v>
      </c>
      <c r="E410" s="136"/>
      <c r="F410" s="68" t="s">
        <v>1101</v>
      </c>
      <c r="G410" s="18">
        <v>16</v>
      </c>
      <c r="H410" s="18">
        <v>0</v>
      </c>
    </row>
    <row r="411" spans="1:8" x14ac:dyDescent="0.2">
      <c r="A411" s="68" t="s">
        <v>300</v>
      </c>
      <c r="B411" s="68" t="s">
        <v>1137</v>
      </c>
      <c r="C411" s="68" t="s">
        <v>612</v>
      </c>
      <c r="D411" s="135" t="s">
        <v>997</v>
      </c>
      <c r="E411" s="136"/>
      <c r="F411" s="68" t="s">
        <v>1099</v>
      </c>
      <c r="G411" s="18">
        <v>1</v>
      </c>
      <c r="H411" s="18">
        <v>0</v>
      </c>
    </row>
    <row r="412" spans="1:8" x14ac:dyDescent="0.2">
      <c r="A412" s="68" t="s">
        <v>301</v>
      </c>
      <c r="B412" s="68" t="s">
        <v>1137</v>
      </c>
      <c r="C412" s="68" t="s">
        <v>613</v>
      </c>
      <c r="D412" s="135" t="s">
        <v>998</v>
      </c>
      <c r="E412" s="136"/>
      <c r="F412" s="68" t="s">
        <v>1104</v>
      </c>
      <c r="G412" s="18">
        <v>20</v>
      </c>
      <c r="H412" s="18">
        <v>0</v>
      </c>
    </row>
    <row r="413" spans="1:8" x14ac:dyDescent="0.2">
      <c r="A413" s="68" t="s">
        <v>302</v>
      </c>
      <c r="B413" s="68" t="s">
        <v>1137</v>
      </c>
      <c r="C413" s="68" t="s">
        <v>614</v>
      </c>
      <c r="D413" s="135" t="s">
        <v>999</v>
      </c>
      <c r="E413" s="136"/>
      <c r="F413" s="68" t="s">
        <v>1103</v>
      </c>
      <c r="G413" s="18">
        <v>2</v>
      </c>
      <c r="H413" s="18">
        <v>0</v>
      </c>
    </row>
    <row r="414" spans="1:8" x14ac:dyDescent="0.2">
      <c r="A414" s="68" t="s">
        <v>303</v>
      </c>
      <c r="B414" s="68" t="s">
        <v>1137</v>
      </c>
      <c r="C414" s="68" t="s">
        <v>615</v>
      </c>
      <c r="D414" s="135" t="s">
        <v>1000</v>
      </c>
      <c r="E414" s="136"/>
      <c r="F414" s="68" t="s">
        <v>1108</v>
      </c>
      <c r="G414" s="18">
        <v>2</v>
      </c>
      <c r="H414" s="18">
        <v>0</v>
      </c>
    </row>
    <row r="415" spans="1:8" x14ac:dyDescent="0.2">
      <c r="A415" s="68" t="s">
        <v>304</v>
      </c>
      <c r="B415" s="68" t="s">
        <v>1137</v>
      </c>
      <c r="C415" s="68" t="s">
        <v>616</v>
      </c>
      <c r="D415" s="135" t="s">
        <v>1001</v>
      </c>
      <c r="E415" s="136"/>
      <c r="F415" s="68" t="s">
        <v>1104</v>
      </c>
      <c r="G415" s="18">
        <v>8</v>
      </c>
      <c r="H415" s="18">
        <v>0</v>
      </c>
    </row>
    <row r="416" spans="1:8" x14ac:dyDescent="0.2">
      <c r="A416" s="68" t="s">
        <v>305</v>
      </c>
      <c r="B416" s="68" t="s">
        <v>1137</v>
      </c>
      <c r="C416" s="68" t="s">
        <v>617</v>
      </c>
      <c r="D416" s="135" t="s">
        <v>1002</v>
      </c>
      <c r="E416" s="136"/>
      <c r="F416" s="68" t="s">
        <v>1101</v>
      </c>
      <c r="G416" s="18">
        <v>40</v>
      </c>
      <c r="H416" s="18">
        <v>0</v>
      </c>
    </row>
    <row r="417" spans="1:8" x14ac:dyDescent="0.2">
      <c r="A417" s="68" t="s">
        <v>306</v>
      </c>
      <c r="B417" s="68" t="s">
        <v>1137</v>
      </c>
      <c r="C417" s="68" t="s">
        <v>618</v>
      </c>
      <c r="D417" s="135" t="s">
        <v>1321</v>
      </c>
      <c r="E417" s="136"/>
      <c r="F417" s="68" t="s">
        <v>1101</v>
      </c>
      <c r="G417" s="18">
        <v>40</v>
      </c>
      <c r="H417" s="18">
        <v>0</v>
      </c>
    </row>
    <row r="418" spans="1:8" x14ac:dyDescent="0.2">
      <c r="A418" s="68" t="s">
        <v>307</v>
      </c>
      <c r="B418" s="68" t="s">
        <v>1137</v>
      </c>
      <c r="C418" s="68" t="s">
        <v>619</v>
      </c>
      <c r="D418" s="135" t="s">
        <v>1004</v>
      </c>
      <c r="E418" s="136"/>
      <c r="F418" s="68" t="s">
        <v>1101</v>
      </c>
      <c r="G418" s="18">
        <v>12</v>
      </c>
      <c r="H418" s="18">
        <v>0</v>
      </c>
    </row>
    <row r="419" spans="1:8" x14ac:dyDescent="0.2">
      <c r="A419" s="68" t="s">
        <v>308</v>
      </c>
      <c r="B419" s="68" t="s">
        <v>1137</v>
      </c>
      <c r="C419" s="68" t="s">
        <v>620</v>
      </c>
      <c r="D419" s="135" t="s">
        <v>1322</v>
      </c>
      <c r="E419" s="136"/>
      <c r="F419" s="68" t="s">
        <v>1101</v>
      </c>
      <c r="G419" s="18">
        <v>12</v>
      </c>
      <c r="H419" s="18">
        <v>0</v>
      </c>
    </row>
    <row r="420" spans="1:8" x14ac:dyDescent="0.2">
      <c r="A420" s="68" t="s">
        <v>309</v>
      </c>
      <c r="B420" s="68" t="s">
        <v>1137</v>
      </c>
      <c r="C420" s="68" t="s">
        <v>621</v>
      </c>
      <c r="D420" s="135" t="s">
        <v>1006</v>
      </c>
      <c r="E420" s="136"/>
      <c r="F420" s="68" t="s">
        <v>1103</v>
      </c>
      <c r="G420" s="18">
        <v>68</v>
      </c>
      <c r="H420" s="18">
        <v>0</v>
      </c>
    </row>
    <row r="421" spans="1:8" x14ac:dyDescent="0.2">
      <c r="A421" s="68" t="s">
        <v>310</v>
      </c>
      <c r="B421" s="68" t="s">
        <v>1137</v>
      </c>
      <c r="C421" s="68" t="s">
        <v>622</v>
      </c>
      <c r="D421" s="135" t="s">
        <v>1007</v>
      </c>
      <c r="E421" s="136"/>
      <c r="F421" s="68" t="s">
        <v>1099</v>
      </c>
      <c r="G421" s="18">
        <v>16</v>
      </c>
      <c r="H421" s="18">
        <v>0</v>
      </c>
    </row>
    <row r="422" spans="1:8" x14ac:dyDescent="0.2">
      <c r="A422" s="69" t="s">
        <v>311</v>
      </c>
      <c r="B422" s="69" t="s">
        <v>1137</v>
      </c>
      <c r="C422" s="69" t="s">
        <v>623</v>
      </c>
      <c r="D422" s="148" t="s">
        <v>1008</v>
      </c>
      <c r="E422" s="149"/>
      <c r="F422" s="69" t="s">
        <v>1099</v>
      </c>
      <c r="G422" s="19">
        <v>48</v>
      </c>
      <c r="H422" s="19">
        <v>0</v>
      </c>
    </row>
    <row r="423" spans="1:8" x14ac:dyDescent="0.2">
      <c r="A423" s="68" t="s">
        <v>312</v>
      </c>
      <c r="B423" s="68" t="s">
        <v>1137</v>
      </c>
      <c r="C423" s="68" t="s">
        <v>624</v>
      </c>
      <c r="D423" s="135" t="s">
        <v>1009</v>
      </c>
      <c r="E423" s="136"/>
      <c r="F423" s="68" t="s">
        <v>1099</v>
      </c>
      <c r="G423" s="18">
        <v>2</v>
      </c>
      <c r="H423" s="18">
        <v>0</v>
      </c>
    </row>
    <row r="424" spans="1:8" x14ac:dyDescent="0.2">
      <c r="A424" s="68" t="s">
        <v>313</v>
      </c>
      <c r="B424" s="68" t="s">
        <v>1137</v>
      </c>
      <c r="C424" s="68" t="s">
        <v>625</v>
      </c>
      <c r="D424" s="135" t="s">
        <v>1010</v>
      </c>
      <c r="E424" s="136"/>
      <c r="F424" s="68" t="s">
        <v>1099</v>
      </c>
      <c r="G424" s="18">
        <v>2</v>
      </c>
      <c r="H424" s="18">
        <v>0</v>
      </c>
    </row>
    <row r="425" spans="1:8" x14ac:dyDescent="0.2">
      <c r="A425" s="68" t="s">
        <v>314</v>
      </c>
      <c r="B425" s="68" t="s">
        <v>1137</v>
      </c>
      <c r="C425" s="68" t="s">
        <v>626</v>
      </c>
      <c r="D425" s="135" t="s">
        <v>1011</v>
      </c>
      <c r="E425" s="136"/>
      <c r="F425" s="68" t="s">
        <v>1099</v>
      </c>
      <c r="G425" s="18">
        <v>2</v>
      </c>
      <c r="H425" s="18">
        <v>0</v>
      </c>
    </row>
    <row r="426" spans="1:8" x14ac:dyDescent="0.2">
      <c r="A426" s="68" t="s">
        <v>315</v>
      </c>
      <c r="B426" s="68" t="s">
        <v>1137</v>
      </c>
      <c r="C426" s="68" t="s">
        <v>627</v>
      </c>
      <c r="D426" s="135" t="s">
        <v>1012</v>
      </c>
      <c r="E426" s="136"/>
      <c r="F426" s="68" t="s">
        <v>1099</v>
      </c>
      <c r="G426" s="18">
        <v>2</v>
      </c>
      <c r="H426" s="18">
        <v>0</v>
      </c>
    </row>
    <row r="427" spans="1:8" x14ac:dyDescent="0.2">
      <c r="A427" s="68" t="s">
        <v>316</v>
      </c>
      <c r="B427" s="68" t="s">
        <v>1137</v>
      </c>
      <c r="C427" s="68" t="s">
        <v>628</v>
      </c>
      <c r="D427" s="135" t="s">
        <v>1013</v>
      </c>
      <c r="E427" s="136"/>
      <c r="F427" s="68" t="s">
        <v>1104</v>
      </c>
      <c r="G427" s="18">
        <v>24</v>
      </c>
      <c r="H427" s="18">
        <v>0</v>
      </c>
    </row>
    <row r="428" spans="1:8" x14ac:dyDescent="0.2">
      <c r="A428" s="68" t="s">
        <v>317</v>
      </c>
      <c r="B428" s="68" t="s">
        <v>1137</v>
      </c>
      <c r="C428" s="68" t="s">
        <v>629</v>
      </c>
      <c r="D428" s="135" t="s">
        <v>1014</v>
      </c>
      <c r="E428" s="136"/>
      <c r="F428" s="68" t="s">
        <v>1101</v>
      </c>
      <c r="G428" s="18">
        <v>100</v>
      </c>
      <c r="H428" s="18">
        <v>0</v>
      </c>
    </row>
    <row r="429" spans="1:8" x14ac:dyDescent="0.2">
      <c r="A429" s="68" t="s">
        <v>318</v>
      </c>
      <c r="B429" s="68" t="s">
        <v>1137</v>
      </c>
      <c r="C429" s="68" t="s">
        <v>630</v>
      </c>
      <c r="D429" s="135" t="s">
        <v>1015</v>
      </c>
      <c r="E429" s="136"/>
      <c r="F429" s="68" t="s">
        <v>1101</v>
      </c>
      <c r="G429" s="18">
        <v>60</v>
      </c>
      <c r="H429" s="18">
        <v>0</v>
      </c>
    </row>
    <row r="430" spans="1:8" x14ac:dyDescent="0.2">
      <c r="A430" s="68" t="s">
        <v>319</v>
      </c>
      <c r="B430" s="68" t="s">
        <v>1137</v>
      </c>
      <c r="C430" s="68" t="s">
        <v>631</v>
      </c>
      <c r="D430" s="135" t="s">
        <v>1016</v>
      </c>
      <c r="E430" s="136"/>
      <c r="F430" s="68" t="s">
        <v>1101</v>
      </c>
      <c r="G430" s="18">
        <v>40</v>
      </c>
      <c r="H430" s="18">
        <v>0</v>
      </c>
    </row>
    <row r="431" spans="1:8" x14ac:dyDescent="0.2">
      <c r="A431" s="68" t="s">
        <v>320</v>
      </c>
      <c r="B431" s="68" t="s">
        <v>1137</v>
      </c>
      <c r="C431" s="68" t="s">
        <v>632</v>
      </c>
      <c r="D431" s="135" t="s">
        <v>1017</v>
      </c>
      <c r="E431" s="136"/>
      <c r="F431" s="68" t="s">
        <v>1101</v>
      </c>
      <c r="G431" s="18">
        <v>800</v>
      </c>
      <c r="H431" s="18">
        <v>0</v>
      </c>
    </row>
    <row r="432" spans="1:8" x14ac:dyDescent="0.2">
      <c r="A432" s="68" t="s">
        <v>321</v>
      </c>
      <c r="B432" s="68" t="s">
        <v>1137</v>
      </c>
      <c r="C432" s="68" t="s">
        <v>633</v>
      </c>
      <c r="D432" s="135" t="s">
        <v>1018</v>
      </c>
      <c r="E432" s="136"/>
      <c r="F432" s="68" t="s">
        <v>1101</v>
      </c>
      <c r="G432" s="18">
        <v>540</v>
      </c>
      <c r="H432" s="18">
        <v>0</v>
      </c>
    </row>
    <row r="433" spans="1:8" x14ac:dyDescent="0.2">
      <c r="A433" s="68" t="s">
        <v>322</v>
      </c>
      <c r="B433" s="68" t="s">
        <v>1137</v>
      </c>
      <c r="C433" s="68" t="s">
        <v>634</v>
      </c>
      <c r="D433" s="135" t="s">
        <v>1019</v>
      </c>
      <c r="E433" s="136"/>
      <c r="F433" s="68" t="s">
        <v>1101</v>
      </c>
      <c r="G433" s="18">
        <v>180</v>
      </c>
      <c r="H433" s="18">
        <v>0</v>
      </c>
    </row>
    <row r="434" spans="1:8" x14ac:dyDescent="0.2">
      <c r="A434" s="68" t="s">
        <v>323</v>
      </c>
      <c r="B434" s="68" t="s">
        <v>1137</v>
      </c>
      <c r="C434" s="68" t="s">
        <v>635</v>
      </c>
      <c r="D434" s="135" t="s">
        <v>1323</v>
      </c>
      <c r="E434" s="136"/>
      <c r="F434" s="68" t="s">
        <v>1101</v>
      </c>
      <c r="G434" s="18">
        <v>80</v>
      </c>
      <c r="H434" s="18">
        <v>0</v>
      </c>
    </row>
    <row r="435" spans="1:8" x14ac:dyDescent="0.2">
      <c r="A435" s="68" t="s">
        <v>324</v>
      </c>
      <c r="B435" s="68" t="s">
        <v>1137</v>
      </c>
      <c r="C435" s="68" t="s">
        <v>636</v>
      </c>
      <c r="D435" s="135" t="s">
        <v>1021</v>
      </c>
      <c r="E435" s="136"/>
      <c r="F435" s="68" t="s">
        <v>1101</v>
      </c>
      <c r="G435" s="18">
        <v>190</v>
      </c>
      <c r="H435" s="18">
        <v>0</v>
      </c>
    </row>
    <row r="436" spans="1:8" x14ac:dyDescent="0.2">
      <c r="A436" s="68" t="s">
        <v>325</v>
      </c>
      <c r="B436" s="68" t="s">
        <v>1137</v>
      </c>
      <c r="C436" s="68" t="s">
        <v>637</v>
      </c>
      <c r="D436" s="135" t="s">
        <v>1022</v>
      </c>
      <c r="E436" s="136"/>
      <c r="F436" s="68" t="s">
        <v>1101</v>
      </c>
      <c r="G436" s="18">
        <v>150</v>
      </c>
      <c r="H436" s="18">
        <v>0</v>
      </c>
    </row>
    <row r="437" spans="1:8" x14ac:dyDescent="0.2">
      <c r="A437" s="68" t="s">
        <v>326</v>
      </c>
      <c r="B437" s="68" t="s">
        <v>1137</v>
      </c>
      <c r="C437" s="68" t="s">
        <v>638</v>
      </c>
      <c r="D437" s="135" t="s">
        <v>1023</v>
      </c>
      <c r="E437" s="136"/>
      <c r="F437" s="68" t="s">
        <v>1101</v>
      </c>
      <c r="G437" s="18">
        <v>40</v>
      </c>
      <c r="H437" s="18">
        <v>0</v>
      </c>
    </row>
    <row r="438" spans="1:8" x14ac:dyDescent="0.2">
      <c r="A438" s="68" t="s">
        <v>327</v>
      </c>
      <c r="B438" s="68" t="s">
        <v>1137</v>
      </c>
      <c r="C438" s="68" t="s">
        <v>639</v>
      </c>
      <c r="D438" s="135" t="s">
        <v>1024</v>
      </c>
      <c r="E438" s="136"/>
      <c r="F438" s="68" t="s">
        <v>1099</v>
      </c>
      <c r="G438" s="18">
        <v>112</v>
      </c>
      <c r="H438" s="18">
        <v>0</v>
      </c>
    </row>
    <row r="439" spans="1:8" x14ac:dyDescent="0.2">
      <c r="A439" s="68" t="s">
        <v>328</v>
      </c>
      <c r="B439" s="68" t="s">
        <v>1137</v>
      </c>
      <c r="C439" s="68" t="s">
        <v>640</v>
      </c>
      <c r="D439" s="135" t="s">
        <v>1025</v>
      </c>
      <c r="E439" s="136"/>
      <c r="F439" s="68" t="s">
        <v>1103</v>
      </c>
      <c r="G439" s="18">
        <v>32</v>
      </c>
      <c r="H439" s="18">
        <v>0</v>
      </c>
    </row>
    <row r="440" spans="1:8" x14ac:dyDescent="0.2">
      <c r="A440" s="68" t="s">
        <v>329</v>
      </c>
      <c r="B440" s="68" t="s">
        <v>1137</v>
      </c>
      <c r="C440" s="68" t="s">
        <v>641</v>
      </c>
      <c r="D440" s="135" t="s">
        <v>1026</v>
      </c>
      <c r="E440" s="136"/>
      <c r="F440" s="68" t="s">
        <v>1103</v>
      </c>
      <c r="G440" s="18">
        <v>2</v>
      </c>
      <c r="H440" s="18">
        <v>0</v>
      </c>
    </row>
    <row r="441" spans="1:8" x14ac:dyDescent="0.2">
      <c r="A441" s="68" t="s">
        <v>330</v>
      </c>
      <c r="B441" s="68" t="s">
        <v>1137</v>
      </c>
      <c r="C441" s="68" t="s">
        <v>642</v>
      </c>
      <c r="D441" s="135" t="s">
        <v>1027</v>
      </c>
      <c r="E441" s="136"/>
      <c r="F441" s="68" t="s">
        <v>1103</v>
      </c>
      <c r="G441" s="18">
        <v>28</v>
      </c>
      <c r="H441" s="18">
        <v>0</v>
      </c>
    </row>
    <row r="442" spans="1:8" x14ac:dyDescent="0.2">
      <c r="A442" s="68" t="s">
        <v>331</v>
      </c>
      <c r="B442" s="68" t="s">
        <v>1137</v>
      </c>
      <c r="C442" s="68" t="s">
        <v>643</v>
      </c>
      <c r="D442" s="135" t="s">
        <v>1028</v>
      </c>
      <c r="E442" s="136"/>
      <c r="F442" s="68" t="s">
        <v>1109</v>
      </c>
      <c r="G442" s="18">
        <v>10</v>
      </c>
      <c r="H442" s="18">
        <v>0</v>
      </c>
    </row>
    <row r="443" spans="1:8" x14ac:dyDescent="0.2">
      <c r="A443" s="68" t="s">
        <v>332</v>
      </c>
      <c r="B443" s="68" t="s">
        <v>1137</v>
      </c>
      <c r="C443" s="68" t="s">
        <v>644</v>
      </c>
      <c r="D443" s="135" t="s">
        <v>1029</v>
      </c>
      <c r="E443" s="136"/>
      <c r="F443" s="68" t="s">
        <v>1099</v>
      </c>
      <c r="G443" s="18">
        <v>4</v>
      </c>
      <c r="H443" s="18">
        <v>0</v>
      </c>
    </row>
    <row r="444" spans="1:8" x14ac:dyDescent="0.2">
      <c r="A444" s="68" t="s">
        <v>333</v>
      </c>
      <c r="B444" s="68" t="s">
        <v>1137</v>
      </c>
      <c r="C444" s="68" t="s">
        <v>645</v>
      </c>
      <c r="D444" s="135" t="s">
        <v>1030</v>
      </c>
      <c r="E444" s="136"/>
      <c r="F444" s="68" t="s">
        <v>1099</v>
      </c>
      <c r="G444" s="18">
        <v>2</v>
      </c>
      <c r="H444" s="18">
        <v>0</v>
      </c>
    </row>
    <row r="445" spans="1:8" x14ac:dyDescent="0.2">
      <c r="A445" s="68" t="s">
        <v>334</v>
      </c>
      <c r="B445" s="68" t="s">
        <v>1137</v>
      </c>
      <c r="C445" s="68" t="s">
        <v>646</v>
      </c>
      <c r="D445" s="135" t="s">
        <v>1031</v>
      </c>
      <c r="E445" s="136"/>
      <c r="F445" s="68" t="s">
        <v>1110</v>
      </c>
      <c r="G445" s="18">
        <v>2</v>
      </c>
      <c r="H445" s="18">
        <v>0</v>
      </c>
    </row>
    <row r="446" spans="1:8" x14ac:dyDescent="0.2">
      <c r="A446" s="68" t="s">
        <v>335</v>
      </c>
      <c r="B446" s="68" t="s">
        <v>1137</v>
      </c>
      <c r="C446" s="68" t="s">
        <v>647</v>
      </c>
      <c r="D446" s="135" t="s">
        <v>1032</v>
      </c>
      <c r="E446" s="136"/>
      <c r="F446" s="68" t="s">
        <v>1099</v>
      </c>
      <c r="G446" s="18">
        <v>10</v>
      </c>
      <c r="H446" s="18">
        <v>0</v>
      </c>
    </row>
    <row r="447" spans="1:8" x14ac:dyDescent="0.2">
      <c r="A447" s="68" t="s">
        <v>336</v>
      </c>
      <c r="B447" s="68" t="s">
        <v>1137</v>
      </c>
      <c r="C447" s="68" t="s">
        <v>648</v>
      </c>
      <c r="D447" s="135" t="s">
        <v>1033</v>
      </c>
      <c r="E447" s="136"/>
      <c r="F447" s="68" t="s">
        <v>1099</v>
      </c>
      <c r="G447" s="18">
        <v>10</v>
      </c>
      <c r="H447" s="18">
        <v>0</v>
      </c>
    </row>
    <row r="448" spans="1:8" x14ac:dyDescent="0.2">
      <c r="A448" s="68" t="s">
        <v>337</v>
      </c>
      <c r="B448" s="68" t="s">
        <v>1137</v>
      </c>
      <c r="C448" s="68" t="s">
        <v>649</v>
      </c>
      <c r="D448" s="135" t="s">
        <v>1034</v>
      </c>
      <c r="E448" s="136"/>
      <c r="F448" s="68" t="s">
        <v>1099</v>
      </c>
      <c r="G448" s="18">
        <v>4</v>
      </c>
      <c r="H448" s="18">
        <v>0</v>
      </c>
    </row>
    <row r="449" spans="1:8" x14ac:dyDescent="0.2">
      <c r="A449" s="68" t="s">
        <v>338</v>
      </c>
      <c r="B449" s="68" t="s">
        <v>1137</v>
      </c>
      <c r="C449" s="68" t="s">
        <v>650</v>
      </c>
      <c r="D449" s="135" t="s">
        <v>1035</v>
      </c>
      <c r="E449" s="136"/>
      <c r="F449" s="68" t="s">
        <v>1099</v>
      </c>
      <c r="G449" s="18">
        <v>4</v>
      </c>
      <c r="H449" s="18">
        <v>0</v>
      </c>
    </row>
    <row r="450" spans="1:8" x14ac:dyDescent="0.2">
      <c r="A450" s="68" t="s">
        <v>339</v>
      </c>
      <c r="B450" s="68" t="s">
        <v>1137</v>
      </c>
      <c r="C450" s="68" t="s">
        <v>651</v>
      </c>
      <c r="D450" s="135" t="s">
        <v>1036</v>
      </c>
      <c r="E450" s="136"/>
      <c r="F450" s="68" t="s">
        <v>1099</v>
      </c>
      <c r="G450" s="18">
        <v>4</v>
      </c>
      <c r="H450" s="18">
        <v>0</v>
      </c>
    </row>
    <row r="451" spans="1:8" x14ac:dyDescent="0.2">
      <c r="A451" s="68" t="s">
        <v>340</v>
      </c>
      <c r="B451" s="68" t="s">
        <v>1137</v>
      </c>
      <c r="C451" s="68" t="s">
        <v>652</v>
      </c>
      <c r="D451" s="135" t="s">
        <v>1036</v>
      </c>
      <c r="E451" s="136"/>
      <c r="F451" s="68" t="s">
        <v>1099</v>
      </c>
      <c r="G451" s="18">
        <v>4</v>
      </c>
      <c r="H451" s="18">
        <v>0</v>
      </c>
    </row>
    <row r="452" spans="1:8" x14ac:dyDescent="0.2">
      <c r="A452" s="68" t="s">
        <v>341</v>
      </c>
      <c r="B452" s="68" t="s">
        <v>1137</v>
      </c>
      <c r="C452" s="68" t="s">
        <v>653</v>
      </c>
      <c r="D452" s="135" t="s">
        <v>1037</v>
      </c>
      <c r="E452" s="136"/>
      <c r="F452" s="68" t="s">
        <v>1099</v>
      </c>
      <c r="G452" s="18">
        <v>12</v>
      </c>
      <c r="H452" s="18">
        <v>0</v>
      </c>
    </row>
    <row r="453" spans="1:8" x14ac:dyDescent="0.2">
      <c r="A453" s="68" t="s">
        <v>342</v>
      </c>
      <c r="B453" s="68" t="s">
        <v>1137</v>
      </c>
      <c r="C453" s="68" t="s">
        <v>654</v>
      </c>
      <c r="D453" s="135" t="s">
        <v>1038</v>
      </c>
      <c r="E453" s="136"/>
      <c r="F453" s="68" t="s">
        <v>1103</v>
      </c>
      <c r="G453" s="18">
        <v>8</v>
      </c>
      <c r="H453" s="18">
        <v>0</v>
      </c>
    </row>
    <row r="454" spans="1:8" x14ac:dyDescent="0.2">
      <c r="A454" s="68" t="s">
        <v>343</v>
      </c>
      <c r="B454" s="68" t="s">
        <v>1137</v>
      </c>
      <c r="C454" s="68" t="s">
        <v>655</v>
      </c>
      <c r="D454" s="135" t="s">
        <v>1039</v>
      </c>
      <c r="E454" s="136"/>
      <c r="F454" s="68" t="s">
        <v>1103</v>
      </c>
      <c r="G454" s="18">
        <v>4</v>
      </c>
      <c r="H454" s="18">
        <v>0</v>
      </c>
    </row>
    <row r="455" spans="1:8" x14ac:dyDescent="0.2">
      <c r="A455" s="68" t="s">
        <v>344</v>
      </c>
      <c r="B455" s="68" t="s">
        <v>1137</v>
      </c>
      <c r="C455" s="68" t="s">
        <v>651</v>
      </c>
      <c r="D455" s="135" t="s">
        <v>1040</v>
      </c>
      <c r="E455" s="136"/>
      <c r="F455" s="68" t="s">
        <v>1099</v>
      </c>
      <c r="G455" s="18">
        <v>2</v>
      </c>
      <c r="H455" s="18">
        <v>0</v>
      </c>
    </row>
    <row r="456" spans="1:8" x14ac:dyDescent="0.2">
      <c r="A456" s="68" t="s">
        <v>345</v>
      </c>
      <c r="B456" s="68" t="s">
        <v>1137</v>
      </c>
      <c r="C456" s="68" t="s">
        <v>656</v>
      </c>
      <c r="D456" s="135" t="s">
        <v>1040</v>
      </c>
      <c r="E456" s="136"/>
      <c r="F456" s="68" t="s">
        <v>1099</v>
      </c>
      <c r="G456" s="18">
        <v>2</v>
      </c>
      <c r="H456" s="18">
        <v>0</v>
      </c>
    </row>
    <row r="457" spans="1:8" x14ac:dyDescent="0.2">
      <c r="A457" s="68" t="s">
        <v>346</v>
      </c>
      <c r="B457" s="68" t="s">
        <v>1137</v>
      </c>
      <c r="C457" s="68" t="s">
        <v>657</v>
      </c>
      <c r="D457" s="135" t="s">
        <v>1041</v>
      </c>
      <c r="E457" s="136"/>
      <c r="F457" s="68" t="s">
        <v>1099</v>
      </c>
      <c r="G457" s="18">
        <v>2</v>
      </c>
      <c r="H457" s="18">
        <v>0</v>
      </c>
    </row>
    <row r="458" spans="1:8" x14ac:dyDescent="0.2">
      <c r="A458" s="68" t="s">
        <v>347</v>
      </c>
      <c r="B458" s="68" t="s">
        <v>1137</v>
      </c>
      <c r="C458" s="68" t="s">
        <v>658</v>
      </c>
      <c r="D458" s="135" t="s">
        <v>1042</v>
      </c>
      <c r="E458" s="136"/>
      <c r="F458" s="68" t="s">
        <v>1099</v>
      </c>
      <c r="G458" s="18">
        <v>32</v>
      </c>
      <c r="H458" s="18">
        <v>0</v>
      </c>
    </row>
    <row r="459" spans="1:8" x14ac:dyDescent="0.2">
      <c r="A459" s="68" t="s">
        <v>348</v>
      </c>
      <c r="B459" s="68" t="s">
        <v>1137</v>
      </c>
      <c r="C459" s="68" t="s">
        <v>659</v>
      </c>
      <c r="D459" s="135" t="s">
        <v>1043</v>
      </c>
      <c r="E459" s="136"/>
      <c r="F459" s="68" t="s">
        <v>1099</v>
      </c>
      <c r="G459" s="18">
        <v>12</v>
      </c>
      <c r="H459" s="18">
        <v>0</v>
      </c>
    </row>
    <row r="460" spans="1:8" x14ac:dyDescent="0.2">
      <c r="A460" s="68" t="s">
        <v>349</v>
      </c>
      <c r="B460" s="68" t="s">
        <v>1137</v>
      </c>
      <c r="C460" s="68" t="s">
        <v>660</v>
      </c>
      <c r="D460" s="135" t="s">
        <v>1044</v>
      </c>
      <c r="E460" s="136"/>
      <c r="F460" s="68" t="s">
        <v>1099</v>
      </c>
      <c r="G460" s="18">
        <v>12</v>
      </c>
      <c r="H460" s="18">
        <v>0</v>
      </c>
    </row>
    <row r="461" spans="1:8" x14ac:dyDescent="0.2">
      <c r="A461" s="68" t="s">
        <v>350</v>
      </c>
      <c r="B461" s="68" t="s">
        <v>1137</v>
      </c>
      <c r="C461" s="68" t="s">
        <v>661</v>
      </c>
      <c r="D461" s="135" t="s">
        <v>1045</v>
      </c>
      <c r="E461" s="136"/>
      <c r="F461" s="68" t="s">
        <v>1099</v>
      </c>
      <c r="G461" s="18">
        <v>8</v>
      </c>
      <c r="H461" s="18">
        <v>0</v>
      </c>
    </row>
    <row r="462" spans="1:8" x14ac:dyDescent="0.2">
      <c r="A462" s="68" t="s">
        <v>351</v>
      </c>
      <c r="B462" s="68" t="s">
        <v>1137</v>
      </c>
      <c r="C462" s="68" t="s">
        <v>662</v>
      </c>
      <c r="D462" s="135" t="s">
        <v>1046</v>
      </c>
      <c r="E462" s="136"/>
      <c r="F462" s="68" t="s">
        <v>1099</v>
      </c>
      <c r="G462" s="18">
        <v>8</v>
      </c>
      <c r="H462" s="18">
        <v>0</v>
      </c>
    </row>
    <row r="463" spans="1:8" x14ac:dyDescent="0.2">
      <c r="A463" s="68" t="s">
        <v>352</v>
      </c>
      <c r="B463" s="68" t="s">
        <v>1137</v>
      </c>
      <c r="C463" s="68" t="s">
        <v>663</v>
      </c>
      <c r="D463" s="135" t="s">
        <v>1047</v>
      </c>
      <c r="E463" s="136"/>
      <c r="F463" s="68" t="s">
        <v>1099</v>
      </c>
      <c r="G463" s="18">
        <v>8</v>
      </c>
      <c r="H463" s="18">
        <v>0</v>
      </c>
    </row>
    <row r="464" spans="1:8" x14ac:dyDescent="0.2">
      <c r="A464" s="68" t="s">
        <v>353</v>
      </c>
      <c r="B464" s="68" t="s">
        <v>1137</v>
      </c>
      <c r="C464" s="68" t="s">
        <v>664</v>
      </c>
      <c r="D464" s="135" t="s">
        <v>1048</v>
      </c>
      <c r="E464" s="136"/>
      <c r="F464" s="68" t="s">
        <v>1111</v>
      </c>
      <c r="G464" s="18">
        <v>2</v>
      </c>
      <c r="H464" s="18">
        <v>0</v>
      </c>
    </row>
    <row r="465" spans="1:8" x14ac:dyDescent="0.2">
      <c r="A465" s="68" t="s">
        <v>354</v>
      </c>
      <c r="B465" s="68" t="s">
        <v>1137</v>
      </c>
      <c r="C465" s="68" t="s">
        <v>665</v>
      </c>
      <c r="D465" s="135" t="s">
        <v>1050</v>
      </c>
      <c r="E465" s="136"/>
      <c r="F465" s="68" t="s">
        <v>1111</v>
      </c>
      <c r="G465" s="18">
        <v>2</v>
      </c>
      <c r="H465" s="18">
        <v>0</v>
      </c>
    </row>
    <row r="466" spans="1:8" x14ac:dyDescent="0.2">
      <c r="A466" s="68" t="s">
        <v>355</v>
      </c>
      <c r="B466" s="68" t="s">
        <v>1137</v>
      </c>
      <c r="C466" s="68" t="s">
        <v>666</v>
      </c>
      <c r="D466" s="135" t="s">
        <v>1051</v>
      </c>
      <c r="E466" s="136"/>
      <c r="F466" s="68" t="s">
        <v>1104</v>
      </c>
      <c r="G466" s="18">
        <v>12</v>
      </c>
      <c r="H466" s="18">
        <v>0</v>
      </c>
    </row>
    <row r="467" spans="1:8" x14ac:dyDescent="0.2">
      <c r="A467" s="68" t="s">
        <v>356</v>
      </c>
      <c r="B467" s="68" t="s">
        <v>1137</v>
      </c>
      <c r="C467" s="68" t="s">
        <v>667</v>
      </c>
      <c r="D467" s="135" t="s">
        <v>1051</v>
      </c>
      <c r="E467" s="136"/>
      <c r="F467" s="68" t="s">
        <v>1103</v>
      </c>
      <c r="G467" s="18">
        <v>2</v>
      </c>
      <c r="H467" s="18">
        <v>0</v>
      </c>
    </row>
    <row r="468" spans="1:8" x14ac:dyDescent="0.2">
      <c r="A468" s="68" t="s">
        <v>357</v>
      </c>
      <c r="B468" s="68" t="s">
        <v>1137</v>
      </c>
      <c r="C468" s="68" t="s">
        <v>668</v>
      </c>
      <c r="D468" s="135" t="s">
        <v>1052</v>
      </c>
      <c r="E468" s="136"/>
      <c r="F468" s="68" t="s">
        <v>1111</v>
      </c>
      <c r="G468" s="18">
        <v>2</v>
      </c>
      <c r="H468" s="18">
        <v>0</v>
      </c>
    </row>
    <row r="469" spans="1:8" x14ac:dyDescent="0.2">
      <c r="A469" s="68" t="s">
        <v>358</v>
      </c>
      <c r="B469" s="68" t="s">
        <v>1137</v>
      </c>
      <c r="C469" s="68" t="s">
        <v>669</v>
      </c>
      <c r="D469" s="135" t="s">
        <v>1053</v>
      </c>
      <c r="E469" s="136"/>
      <c r="F469" s="68" t="s">
        <v>1111</v>
      </c>
      <c r="G469" s="18">
        <v>2</v>
      </c>
      <c r="H469" s="18">
        <v>0</v>
      </c>
    </row>
    <row r="470" spans="1:8" x14ac:dyDescent="0.2">
      <c r="A470" s="68" t="s">
        <v>359</v>
      </c>
      <c r="B470" s="68" t="s">
        <v>1137</v>
      </c>
      <c r="C470" s="68" t="s">
        <v>670</v>
      </c>
      <c r="D470" s="135" t="s">
        <v>1054</v>
      </c>
      <c r="E470" s="136"/>
      <c r="F470" s="68" t="s">
        <v>1111</v>
      </c>
      <c r="G470" s="18">
        <v>2</v>
      </c>
      <c r="H470" s="18">
        <v>0</v>
      </c>
    </row>
    <row r="471" spans="1:8" x14ac:dyDescent="0.2">
      <c r="A471" s="68" t="s">
        <v>360</v>
      </c>
      <c r="B471" s="68" t="s">
        <v>1137</v>
      </c>
      <c r="C471" s="68" t="s">
        <v>671</v>
      </c>
      <c r="D471" s="135" t="s">
        <v>1055</v>
      </c>
      <c r="E471" s="136"/>
      <c r="F471" s="68" t="s">
        <v>1111</v>
      </c>
      <c r="G471" s="18">
        <v>2</v>
      </c>
      <c r="H471" s="18">
        <v>0</v>
      </c>
    </row>
    <row r="472" spans="1:8" x14ac:dyDescent="0.2">
      <c r="A472" s="68" t="s">
        <v>361</v>
      </c>
      <c r="B472" s="68" t="s">
        <v>1137</v>
      </c>
      <c r="C472" s="68" t="s">
        <v>672</v>
      </c>
      <c r="D472" s="135" t="s">
        <v>1056</v>
      </c>
      <c r="E472" s="136"/>
      <c r="F472" s="68" t="s">
        <v>1104</v>
      </c>
      <c r="G472" s="18">
        <v>30</v>
      </c>
      <c r="H472" s="18">
        <v>0</v>
      </c>
    </row>
    <row r="473" spans="1:8" x14ac:dyDescent="0.2">
      <c r="A473" s="68" t="s">
        <v>362</v>
      </c>
      <c r="B473" s="68" t="s">
        <v>1137</v>
      </c>
      <c r="C473" s="68" t="s">
        <v>673</v>
      </c>
      <c r="D473" s="135" t="s">
        <v>1057</v>
      </c>
      <c r="E473" s="136"/>
      <c r="F473" s="68" t="s">
        <v>1100</v>
      </c>
      <c r="G473" s="18">
        <v>15</v>
      </c>
      <c r="H473" s="18">
        <v>0</v>
      </c>
    </row>
    <row r="474" spans="1:8" x14ac:dyDescent="0.2">
      <c r="A474" s="68" t="s">
        <v>363</v>
      </c>
      <c r="B474" s="68" t="s">
        <v>1137</v>
      </c>
      <c r="C474" s="68" t="s">
        <v>674</v>
      </c>
      <c r="D474" s="135" t="s">
        <v>1058</v>
      </c>
      <c r="E474" s="136"/>
      <c r="F474" s="68" t="s">
        <v>1111</v>
      </c>
      <c r="G474" s="18">
        <v>2</v>
      </c>
      <c r="H474" s="18">
        <v>0</v>
      </c>
    </row>
    <row r="476" spans="1:8" ht="11.25" customHeight="1" x14ac:dyDescent="0.2">
      <c r="A476" s="10" t="s">
        <v>364</v>
      </c>
    </row>
    <row r="477" spans="1:8" x14ac:dyDescent="0.2">
      <c r="A477" s="96"/>
      <c r="B477" s="87"/>
      <c r="C477" s="87"/>
      <c r="D477" s="87"/>
      <c r="E477" s="87"/>
      <c r="F477" s="87"/>
      <c r="G477" s="87"/>
    </row>
  </sheetData>
  <sheetProtection algorithmName="SHA-512" hashValue="upkwjyLEG6nAuiq2BU1NIaid+qdwuFcOohNQHDVZbsOJHkhImppfcqFzSs10Brinb0sIkzgL+CdtGt4N0gVtlw==" saltValue="R3ieppLir6o1UXLXV/M7kw==" spinCount="100000" sheet="1" objects="1" scenarios="1"/>
  <mergeCells count="483">
    <mergeCell ref="D472:E472"/>
    <mergeCell ref="D473:E473"/>
    <mergeCell ref="D474:E474"/>
    <mergeCell ref="A477:G477"/>
    <mergeCell ref="D466:E466"/>
    <mergeCell ref="D467:E467"/>
    <mergeCell ref="D468:E468"/>
    <mergeCell ref="D469:E469"/>
    <mergeCell ref="D470:E470"/>
    <mergeCell ref="D471:E471"/>
    <mergeCell ref="D460:E460"/>
    <mergeCell ref="D461:E461"/>
    <mergeCell ref="D462:E462"/>
    <mergeCell ref="D463:E463"/>
    <mergeCell ref="D464:E464"/>
    <mergeCell ref="D465:E465"/>
    <mergeCell ref="D454:E454"/>
    <mergeCell ref="D455:E455"/>
    <mergeCell ref="D456:E456"/>
    <mergeCell ref="D457:E457"/>
    <mergeCell ref="D458:E458"/>
    <mergeCell ref="D459:E459"/>
    <mergeCell ref="D448:E448"/>
    <mergeCell ref="D449:E449"/>
    <mergeCell ref="D450:E450"/>
    <mergeCell ref="D451:E451"/>
    <mergeCell ref="D452:E452"/>
    <mergeCell ref="D453:E453"/>
    <mergeCell ref="D442:E442"/>
    <mergeCell ref="D443:E443"/>
    <mergeCell ref="D444:E444"/>
    <mergeCell ref="D445:E445"/>
    <mergeCell ref="D446:E446"/>
    <mergeCell ref="D447:E447"/>
    <mergeCell ref="D436:E436"/>
    <mergeCell ref="D437:E437"/>
    <mergeCell ref="D438:E438"/>
    <mergeCell ref="D439:E439"/>
    <mergeCell ref="D440:E440"/>
    <mergeCell ref="D441:E441"/>
    <mergeCell ref="D430:E430"/>
    <mergeCell ref="D431:E431"/>
    <mergeCell ref="D432:E432"/>
    <mergeCell ref="D433:E433"/>
    <mergeCell ref="D434:E434"/>
    <mergeCell ref="D435:E435"/>
    <mergeCell ref="D424:E424"/>
    <mergeCell ref="D425:E425"/>
    <mergeCell ref="D426:E426"/>
    <mergeCell ref="D427:E427"/>
    <mergeCell ref="D428:E428"/>
    <mergeCell ref="D429:E429"/>
    <mergeCell ref="D418:E418"/>
    <mergeCell ref="D419:E419"/>
    <mergeCell ref="D420:E420"/>
    <mergeCell ref="D421:E421"/>
    <mergeCell ref="D422:E422"/>
    <mergeCell ref="D423:E423"/>
    <mergeCell ref="D412:E412"/>
    <mergeCell ref="D413:E413"/>
    <mergeCell ref="D414:E414"/>
    <mergeCell ref="D415:E415"/>
    <mergeCell ref="D416:E416"/>
    <mergeCell ref="D417:E417"/>
    <mergeCell ref="D406:E406"/>
    <mergeCell ref="D407:E407"/>
    <mergeCell ref="D408:E408"/>
    <mergeCell ref="D409:E409"/>
    <mergeCell ref="D410:E410"/>
    <mergeCell ref="D411:E411"/>
    <mergeCell ref="D394:E394"/>
    <mergeCell ref="D397:E397"/>
    <mergeCell ref="D399:E399"/>
    <mergeCell ref="D400:E400"/>
    <mergeCell ref="D401:E401"/>
    <mergeCell ref="D402:E402"/>
    <mergeCell ref="D403:E403"/>
    <mergeCell ref="D404:E404"/>
    <mergeCell ref="D405:E405"/>
    <mergeCell ref="D398:E398"/>
    <mergeCell ref="D395:E395"/>
    <mergeCell ref="D396:E396"/>
    <mergeCell ref="D390:E390"/>
    <mergeCell ref="D393:E393"/>
    <mergeCell ref="D384:E384"/>
    <mergeCell ref="D387:E387"/>
    <mergeCell ref="D391:E391"/>
    <mergeCell ref="D392:E392"/>
    <mergeCell ref="D388:E388"/>
    <mergeCell ref="D389:E389"/>
    <mergeCell ref="D385:E385"/>
    <mergeCell ref="D386:E386"/>
    <mergeCell ref="D382:E382"/>
    <mergeCell ref="D383:E383"/>
    <mergeCell ref="D376:E376"/>
    <mergeCell ref="D377:E377"/>
    <mergeCell ref="D380:E380"/>
    <mergeCell ref="D370:E370"/>
    <mergeCell ref="D372:E372"/>
    <mergeCell ref="D375:E375"/>
    <mergeCell ref="D381:E381"/>
    <mergeCell ref="D378:E378"/>
    <mergeCell ref="D379:E379"/>
    <mergeCell ref="D373:E373"/>
    <mergeCell ref="D374:E374"/>
    <mergeCell ref="D371:E371"/>
    <mergeCell ref="D365:E365"/>
    <mergeCell ref="D367:E367"/>
    <mergeCell ref="D358:E358"/>
    <mergeCell ref="D361:E361"/>
    <mergeCell ref="D363:E363"/>
    <mergeCell ref="D368:E368"/>
    <mergeCell ref="D369:E369"/>
    <mergeCell ref="D366:E366"/>
    <mergeCell ref="D364:E364"/>
    <mergeCell ref="D362:E362"/>
    <mergeCell ref="D359:E359"/>
    <mergeCell ref="D360:E360"/>
    <mergeCell ref="D352:E352"/>
    <mergeCell ref="D353:E353"/>
    <mergeCell ref="D354:E354"/>
    <mergeCell ref="D356:E356"/>
    <mergeCell ref="D346:E346"/>
    <mergeCell ref="D349:E349"/>
    <mergeCell ref="D350:E350"/>
    <mergeCell ref="D357:E357"/>
    <mergeCell ref="D355:E355"/>
    <mergeCell ref="D351:E351"/>
    <mergeCell ref="D347:E347"/>
    <mergeCell ref="D348:E348"/>
    <mergeCell ref="D341:E341"/>
    <mergeCell ref="D343:E343"/>
    <mergeCell ref="D344:E344"/>
    <mergeCell ref="D334:E334"/>
    <mergeCell ref="D336:E336"/>
    <mergeCell ref="D338:E338"/>
    <mergeCell ref="D339:E339"/>
    <mergeCell ref="D345:E345"/>
    <mergeCell ref="D342:E342"/>
    <mergeCell ref="D340:E340"/>
    <mergeCell ref="D337:E337"/>
    <mergeCell ref="D335:E335"/>
    <mergeCell ref="D328:E328"/>
    <mergeCell ref="D330:E330"/>
    <mergeCell ref="D332:E332"/>
    <mergeCell ref="D322:E322"/>
    <mergeCell ref="D324:E324"/>
    <mergeCell ref="D326:E326"/>
    <mergeCell ref="D333:E333"/>
    <mergeCell ref="D331:E331"/>
    <mergeCell ref="D329:E329"/>
    <mergeCell ref="D327:E327"/>
    <mergeCell ref="D325:E325"/>
    <mergeCell ref="D323:E323"/>
    <mergeCell ref="D317:E317"/>
    <mergeCell ref="D319:E319"/>
    <mergeCell ref="D320:E320"/>
    <mergeCell ref="D311:E311"/>
    <mergeCell ref="D313:E313"/>
    <mergeCell ref="D315:E315"/>
    <mergeCell ref="D321:E321"/>
    <mergeCell ref="D318:E318"/>
    <mergeCell ref="D316:E316"/>
    <mergeCell ref="D314:E314"/>
    <mergeCell ref="D312:E312"/>
    <mergeCell ref="D310:E310"/>
    <mergeCell ref="D304:E304"/>
    <mergeCell ref="D305:E305"/>
    <mergeCell ref="D306:E306"/>
    <mergeCell ref="D307:E307"/>
    <mergeCell ref="D308:E308"/>
    <mergeCell ref="D309:E309"/>
    <mergeCell ref="D298:E298"/>
    <mergeCell ref="D299:E299"/>
    <mergeCell ref="D300:E300"/>
    <mergeCell ref="D301:E301"/>
    <mergeCell ref="D302:E302"/>
    <mergeCell ref="D303:E303"/>
    <mergeCell ref="D292:E292"/>
    <mergeCell ref="D293:E293"/>
    <mergeCell ref="D294:E294"/>
    <mergeCell ref="D295:E295"/>
    <mergeCell ref="D296:E296"/>
    <mergeCell ref="D297:E297"/>
    <mergeCell ref="D286:E286"/>
    <mergeCell ref="D287:E287"/>
    <mergeCell ref="D288:E288"/>
    <mergeCell ref="D289:E289"/>
    <mergeCell ref="D290:E290"/>
    <mergeCell ref="D291:E291"/>
    <mergeCell ref="D280:E280"/>
    <mergeCell ref="D281:E281"/>
    <mergeCell ref="D282:E282"/>
    <mergeCell ref="D283:E283"/>
    <mergeCell ref="D284:E284"/>
    <mergeCell ref="D285:E285"/>
    <mergeCell ref="D274:E274"/>
    <mergeCell ref="D275:E275"/>
    <mergeCell ref="D276:E276"/>
    <mergeCell ref="D277:E277"/>
    <mergeCell ref="D278:E278"/>
    <mergeCell ref="D279:E279"/>
    <mergeCell ref="D268:E268"/>
    <mergeCell ref="D269:E269"/>
    <mergeCell ref="D270:E270"/>
    <mergeCell ref="D271:E271"/>
    <mergeCell ref="D272:E272"/>
    <mergeCell ref="D273:E273"/>
    <mergeCell ref="D262:E262"/>
    <mergeCell ref="D263:E263"/>
    <mergeCell ref="D264:E264"/>
    <mergeCell ref="D265:E265"/>
    <mergeCell ref="D266:E266"/>
    <mergeCell ref="D267:E267"/>
    <mergeCell ref="D256:E256"/>
    <mergeCell ref="D257:E257"/>
    <mergeCell ref="D258:E258"/>
    <mergeCell ref="D259:E259"/>
    <mergeCell ref="D260:E260"/>
    <mergeCell ref="D261:E261"/>
    <mergeCell ref="D250:E250"/>
    <mergeCell ref="D251:E251"/>
    <mergeCell ref="D252:E252"/>
    <mergeCell ref="D253:E253"/>
    <mergeCell ref="D254:E254"/>
    <mergeCell ref="D255:E255"/>
    <mergeCell ref="D244:E244"/>
    <mergeCell ref="D245:E245"/>
    <mergeCell ref="D246:E246"/>
    <mergeCell ref="D247:E247"/>
    <mergeCell ref="D248:E248"/>
    <mergeCell ref="D249:E249"/>
    <mergeCell ref="D238:E238"/>
    <mergeCell ref="D239:E239"/>
    <mergeCell ref="D240:E240"/>
    <mergeCell ref="D241:E241"/>
    <mergeCell ref="D242:E242"/>
    <mergeCell ref="D243:E243"/>
    <mergeCell ref="D232:E232"/>
    <mergeCell ref="D233:E233"/>
    <mergeCell ref="D234:E234"/>
    <mergeCell ref="D235:E235"/>
    <mergeCell ref="D236:E236"/>
    <mergeCell ref="D237:E237"/>
    <mergeCell ref="D226:E226"/>
    <mergeCell ref="D227:E227"/>
    <mergeCell ref="D228:E228"/>
    <mergeCell ref="D229:E229"/>
    <mergeCell ref="D230:E230"/>
    <mergeCell ref="D231:E231"/>
    <mergeCell ref="D220:E220"/>
    <mergeCell ref="D221:E221"/>
    <mergeCell ref="D222:E222"/>
    <mergeCell ref="D223:E223"/>
    <mergeCell ref="D224:E224"/>
    <mergeCell ref="D225:E225"/>
    <mergeCell ref="D214:E214"/>
    <mergeCell ref="D215:E215"/>
    <mergeCell ref="D216:E216"/>
    <mergeCell ref="D217:E217"/>
    <mergeCell ref="D218:E218"/>
    <mergeCell ref="D219:E219"/>
    <mergeCell ref="D208:E208"/>
    <mergeCell ref="D209:E209"/>
    <mergeCell ref="D210:E210"/>
    <mergeCell ref="D211:E211"/>
    <mergeCell ref="D212:E212"/>
    <mergeCell ref="D213:E213"/>
    <mergeCell ref="D202:E202"/>
    <mergeCell ref="D203:E203"/>
    <mergeCell ref="D204:E204"/>
    <mergeCell ref="D205:E205"/>
    <mergeCell ref="D206:E206"/>
    <mergeCell ref="D207:E207"/>
    <mergeCell ref="D196:E196"/>
    <mergeCell ref="D197:E197"/>
    <mergeCell ref="D198:E198"/>
    <mergeCell ref="D199:E199"/>
    <mergeCell ref="D200:E200"/>
    <mergeCell ref="D201:E201"/>
    <mergeCell ref="D190:E190"/>
    <mergeCell ref="D191:E191"/>
    <mergeCell ref="D192:E192"/>
    <mergeCell ref="D193:E193"/>
    <mergeCell ref="D194:E194"/>
    <mergeCell ref="D195:E195"/>
    <mergeCell ref="D184:E184"/>
    <mergeCell ref="D185:E185"/>
    <mergeCell ref="D186:E186"/>
    <mergeCell ref="D187:E187"/>
    <mergeCell ref="D188:E188"/>
    <mergeCell ref="D189:E189"/>
    <mergeCell ref="D178:E178"/>
    <mergeCell ref="D179:E179"/>
    <mergeCell ref="D180:E180"/>
    <mergeCell ref="D181:E181"/>
    <mergeCell ref="D182:E182"/>
    <mergeCell ref="D183:E183"/>
    <mergeCell ref="D172:E172"/>
    <mergeCell ref="D173:E173"/>
    <mergeCell ref="D174:E174"/>
    <mergeCell ref="D175:E175"/>
    <mergeCell ref="D176:E176"/>
    <mergeCell ref="D177:E177"/>
    <mergeCell ref="D166:E166"/>
    <mergeCell ref="D167:E167"/>
    <mergeCell ref="D168:E168"/>
    <mergeCell ref="D169:E169"/>
    <mergeCell ref="D170:E170"/>
    <mergeCell ref="D171:E171"/>
    <mergeCell ref="D160:E160"/>
    <mergeCell ref="D161:E161"/>
    <mergeCell ref="D162:E162"/>
    <mergeCell ref="D163:E163"/>
    <mergeCell ref="D164:E164"/>
    <mergeCell ref="D165:E165"/>
    <mergeCell ref="D154:E154"/>
    <mergeCell ref="D155:E155"/>
    <mergeCell ref="D156:E156"/>
    <mergeCell ref="D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1:E131"/>
    <mergeCell ref="D133:E133"/>
    <mergeCell ref="D134:E134"/>
    <mergeCell ref="D135:E135"/>
    <mergeCell ref="D132:E132"/>
    <mergeCell ref="D130:E130"/>
    <mergeCell ref="D124:E124"/>
    <mergeCell ref="D125:E125"/>
    <mergeCell ref="D126:E126"/>
    <mergeCell ref="D127:E127"/>
    <mergeCell ref="D129:E129"/>
    <mergeCell ref="D119:E119"/>
    <mergeCell ref="D121:E121"/>
    <mergeCell ref="D122:E122"/>
    <mergeCell ref="D128:E128"/>
    <mergeCell ref="D123:E123"/>
    <mergeCell ref="D120:E120"/>
    <mergeCell ref="D118:E118"/>
    <mergeCell ref="D112:E112"/>
    <mergeCell ref="D115:E115"/>
    <mergeCell ref="D117:E117"/>
    <mergeCell ref="D106:E106"/>
    <mergeCell ref="D108:E108"/>
    <mergeCell ref="D110:E110"/>
    <mergeCell ref="D116:E116"/>
    <mergeCell ref="D113:E113"/>
    <mergeCell ref="D114:E114"/>
    <mergeCell ref="D111:E111"/>
    <mergeCell ref="D109:E109"/>
    <mergeCell ref="D107:E107"/>
    <mergeCell ref="D100:E100"/>
    <mergeCell ref="D102:E102"/>
    <mergeCell ref="D104:E104"/>
    <mergeCell ref="D95:E95"/>
    <mergeCell ref="D97:E97"/>
    <mergeCell ref="D105:E105"/>
    <mergeCell ref="D103:E103"/>
    <mergeCell ref="D101:E101"/>
    <mergeCell ref="D99:E99"/>
    <mergeCell ref="D98:E98"/>
    <mergeCell ref="D96:E96"/>
    <mergeCell ref="D94:E94"/>
    <mergeCell ref="D89:E89"/>
    <mergeCell ref="D91:E91"/>
    <mergeCell ref="D93:E93"/>
    <mergeCell ref="D82:E82"/>
    <mergeCell ref="D84:E84"/>
    <mergeCell ref="D87:E87"/>
    <mergeCell ref="D92:E92"/>
    <mergeCell ref="D90:E90"/>
    <mergeCell ref="D88:E88"/>
    <mergeCell ref="D85:E85"/>
    <mergeCell ref="D86:E86"/>
    <mergeCell ref="D83:E83"/>
    <mergeCell ref="D77:E77"/>
    <mergeCell ref="D79:E79"/>
    <mergeCell ref="D81:E81"/>
    <mergeCell ref="D72:E72"/>
    <mergeCell ref="D74:E74"/>
    <mergeCell ref="D75:E75"/>
    <mergeCell ref="D80:E80"/>
    <mergeCell ref="D78:E78"/>
    <mergeCell ref="D76:E76"/>
    <mergeCell ref="D73:E73"/>
    <mergeCell ref="D70:E70"/>
    <mergeCell ref="D71:E71"/>
    <mergeCell ref="D67:E67"/>
    <mergeCell ref="D69:E69"/>
    <mergeCell ref="D59:E59"/>
    <mergeCell ref="D61:E61"/>
    <mergeCell ref="D63:E63"/>
    <mergeCell ref="D68:E68"/>
    <mergeCell ref="D64:E64"/>
    <mergeCell ref="D66:E66"/>
    <mergeCell ref="D65:E65"/>
    <mergeCell ref="D62:E62"/>
    <mergeCell ref="D60:E60"/>
    <mergeCell ref="D58:E58"/>
    <mergeCell ref="D53:E53"/>
    <mergeCell ref="D55:E55"/>
    <mergeCell ref="D57:E57"/>
    <mergeCell ref="D47:E47"/>
    <mergeCell ref="D49:E49"/>
    <mergeCell ref="D51:E51"/>
    <mergeCell ref="D56:E56"/>
    <mergeCell ref="D54:E54"/>
    <mergeCell ref="D52:E52"/>
    <mergeCell ref="D50:E50"/>
    <mergeCell ref="D48:E48"/>
    <mergeCell ref="D46:E46"/>
    <mergeCell ref="D43:E43"/>
    <mergeCell ref="D44:E44"/>
    <mergeCell ref="D45:E45"/>
    <mergeCell ref="D35:E35"/>
    <mergeCell ref="D37:E37"/>
    <mergeCell ref="D39:E39"/>
    <mergeCell ref="D40:E40"/>
    <mergeCell ref="D41:E41"/>
    <mergeCell ref="D42:E42"/>
    <mergeCell ref="D38:E38"/>
    <mergeCell ref="D36:E36"/>
    <mergeCell ref="D34:E34"/>
    <mergeCell ref="D29:E29"/>
    <mergeCell ref="D31:E31"/>
    <mergeCell ref="D33:E33"/>
    <mergeCell ref="D22:E22"/>
    <mergeCell ref="D23:E23"/>
    <mergeCell ref="D25:E25"/>
    <mergeCell ref="D27:E27"/>
    <mergeCell ref="D32:E32"/>
    <mergeCell ref="D30:E30"/>
    <mergeCell ref="D28:E28"/>
    <mergeCell ref="D26:E26"/>
    <mergeCell ref="D24:E24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A6:B7"/>
    <mergeCell ref="C6:D7"/>
    <mergeCell ref="E6:E7"/>
    <mergeCell ref="F6:H7"/>
    <mergeCell ref="A8:B9"/>
    <mergeCell ref="C8:D9"/>
    <mergeCell ref="E8:E9"/>
    <mergeCell ref="F8:H9"/>
    <mergeCell ref="A1:H1"/>
    <mergeCell ref="A2:B3"/>
    <mergeCell ref="C2:D3"/>
    <mergeCell ref="E2:E3"/>
    <mergeCell ref="F2:H3"/>
    <mergeCell ref="A4:B5"/>
    <mergeCell ref="C4:D5"/>
    <mergeCell ref="E4:E5"/>
    <mergeCell ref="F4:H5"/>
  </mergeCells>
  <pageMargins left="0.39400000000000002" right="0.39400000000000002" top="0.59099999999999997" bottom="0.59099999999999997" header="0.5" footer="0.5"/>
  <pageSetup paperSize="0" fitToHeight="0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Krycí list rozpočtu</vt:lpstr>
      <vt:lpstr>Stavební rozpočet - součet</vt:lpstr>
      <vt:lpstr>Stavební rozpočet</vt:lpstr>
      <vt:lpstr>Výkaz výměr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Hefner</dc:creator>
  <cp:lastModifiedBy>Milan Ballák</cp:lastModifiedBy>
  <dcterms:created xsi:type="dcterms:W3CDTF">2019-10-03T15:52:44Z</dcterms:created>
  <dcterms:modified xsi:type="dcterms:W3CDTF">2019-12-10T07:40:34Z</dcterms:modified>
</cp:coreProperties>
</file>